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tables/table4.xml" ContentType="application/vnd.openxmlformats-officedocument.spreadsheetml.table+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Reservations" sheetId="2" state="visible" r:id="rId2"/>
    <sheet xmlns:r="http://schemas.openxmlformats.org/officeDocument/2006/relationships" name="Expenses" sheetId="3" state="visible" r:id="rId3"/>
    <sheet xmlns:r="http://schemas.openxmlformats.org/officeDocument/2006/relationships" name="Assumptions" sheetId="4" state="visible" r:id="rId4"/>
  </sheets>
  <definedNames>
    <definedName name="_xlnm._FilterDatabase" localSheetId="1" hidden="1">'Reservations'!$A$3:$AK$153</definedName>
    <definedName name="_xlnm._FilterDatabase" localSheetId="2" hidden="1">'Expenses'!$A$3:$W$153</definedName>
  </definedNames>
  <calcPr calcId="124519" fullCalcOnLoad="1"/>
</workbook>
</file>

<file path=xl/styles.xml><?xml version="1.0" encoding="utf-8"?>
<styleSheet xmlns="http://schemas.openxmlformats.org/spreadsheetml/2006/main">
  <numFmts count="5">
    <numFmt numFmtId="164" formatCode="$#,##0.00"/>
    <numFmt numFmtId="165" formatCode="0.0%"/>
    <numFmt numFmtId="166" formatCode="mmm"/>
    <numFmt numFmtId="167" formatCode="m/d/yyyy"/>
    <numFmt numFmtId="168" formatCode="0.0"/>
  </numFmts>
  <fonts count="8">
    <font>
      <name val="Calibri"/>
      <family val="2"/>
      <color theme="1"/>
      <sz val="11"/>
      <scheme val="minor"/>
    </font>
    <font>
      <name val="Calibri"/>
      <b val="1"/>
      <color rgb="00FFFFFF"/>
      <sz val="18"/>
    </font>
    <font>
      <name val="Calibri"/>
      <i val="1"/>
      <color rgb="00D9EAF2"/>
      <sz val="11"/>
    </font>
    <font>
      <name val="Calibri"/>
      <b val="1"/>
      <color rgb="00FFFFFF"/>
      <sz val="11"/>
    </font>
    <font>
      <name val="Calibri"/>
      <color rgb="001F2933"/>
      <sz val="10"/>
    </font>
    <font>
      <name val="Calibri"/>
      <b val="1"/>
      <color rgb="0017324D"/>
      <sz val="10"/>
    </font>
    <font>
      <name val="Calibri"/>
      <color rgb="007A7A7A"/>
      <sz val="10"/>
    </font>
    <font>
      <name val="Calibri"/>
      <b val="1"/>
      <color rgb="00C73939"/>
      <sz val="10"/>
    </font>
  </fonts>
  <fills count="9">
    <fill>
      <patternFill/>
    </fill>
    <fill>
      <patternFill patternType="gray125"/>
    </fill>
    <fill>
      <patternFill patternType="solid">
        <fgColor rgb="0017324D"/>
      </patternFill>
    </fill>
    <fill>
      <patternFill patternType="solid">
        <fgColor rgb="002B5D74"/>
      </patternFill>
    </fill>
    <fill>
      <patternFill patternType="solid">
        <fgColor rgb="00DDEBF7"/>
      </patternFill>
    </fill>
    <fill>
      <patternFill patternType="solid">
        <fgColor rgb="00F2F7F8"/>
      </patternFill>
    </fill>
    <fill>
      <patternFill patternType="solid">
        <fgColor rgb="00E7EBEF"/>
      </patternFill>
    </fill>
    <fill>
      <patternFill patternType="solid">
        <fgColor rgb="00FFFFFF"/>
      </patternFill>
    </fill>
    <fill>
      <patternFill patternType="solid">
        <fgColor rgb="00FFF1CE"/>
      </patternFill>
    </fill>
  </fills>
  <borders count="5">
    <border>
      <left/>
      <right/>
      <top/>
      <bottom/>
      <diagonal/>
    </border>
    <border>
      <left style="thin">
        <color rgb="00C7D5E0"/>
      </left>
      <right style="thin">
        <color rgb="00C7D5E0"/>
      </right>
      <top style="thin">
        <color rgb="00C7D5E0"/>
      </top>
      <bottom style="thin">
        <color rgb="00C7D5E0"/>
      </bottom>
    </border>
    <border>
      <left/>
      <right/>
      <top style="thin">
        <color rgb="00C7D5E0"/>
      </top>
      <bottom/>
      <diagonal/>
    </border>
    <border>
      <left/>
      <right style="thin">
        <color rgb="00C7D5E0"/>
      </right>
      <top style="thin">
        <color rgb="00C7D5E0"/>
      </top>
      <bottom/>
      <diagonal/>
    </border>
    <border>
      <left/>
      <right style="thin">
        <color rgb="00C7D5E0"/>
      </right>
      <top style="thin">
        <color rgb="00C7D5E0"/>
      </top>
      <bottom style="thin">
        <color rgb="00C7D5E0"/>
      </bottom>
      <diagonal/>
    </border>
  </borders>
  <cellStyleXfs count="1">
    <xf numFmtId="0" fontId="0" fillId="0" borderId="0"/>
  </cellStyleXfs>
  <cellXfs count="55">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top" wrapText="1"/>
    </xf>
    <xf numFmtId="0" fontId="6" fillId="0" borderId="0" applyAlignment="1" pivotButton="0" quotePrefix="0" xfId="0">
      <alignment horizontal="left" vertical="top" wrapText="1"/>
    </xf>
    <xf numFmtId="0" fontId="3" fillId="3" borderId="1" pivotButton="0" quotePrefix="0" xfId="0"/>
    <xf numFmtId="0" fontId="5" fillId="4" borderId="1" applyProtection="1" pivotButton="0" quotePrefix="0" xfId="0">
      <protection locked="0" hidden="0"/>
    </xf>
    <xf numFmtId="0" fontId="0" fillId="0" borderId="4" pivotButton="0" quotePrefix="0" xfId="0"/>
    <xf numFmtId="164" fontId="5" fillId="5" borderId="1" pivotButton="0" quotePrefix="0" xfId="0"/>
    <xf numFmtId="165" fontId="5" fillId="5" borderId="1" pivotButton="0" quotePrefix="0" xfId="0"/>
    <xf numFmtId="1" fontId="5" fillId="5" borderId="1" pivotButton="0" quotePrefix="0" xfId="0"/>
    <xf numFmtId="0" fontId="3" fillId="2" borderId="1" applyAlignment="1" pivotButton="0" quotePrefix="0" xfId="0">
      <alignment horizontal="center" vertical="center"/>
    </xf>
    <xf numFmtId="166" fontId="0" fillId="5" borderId="1" pivotButton="0" quotePrefix="0" xfId="0"/>
    <xf numFmtId="164" fontId="0" fillId="5" borderId="1" pivotButton="0" quotePrefix="0" xfId="0"/>
    <xf numFmtId="0" fontId="0" fillId="5" borderId="1" pivotButton="0" quotePrefix="0" xfId="0"/>
    <xf numFmtId="165" fontId="0" fillId="5" borderId="1" pivotButton="0" quotePrefix="0" xfId="0"/>
    <xf numFmtId="166" fontId="0" fillId="7" borderId="1" pivotButton="0" quotePrefix="0" xfId="0"/>
    <xf numFmtId="164" fontId="0" fillId="7" borderId="1" pivotButton="0" quotePrefix="0" xfId="0"/>
    <xf numFmtId="0" fontId="0" fillId="7" borderId="1" pivotButton="0" quotePrefix="0" xfId="0"/>
    <xf numFmtId="165" fontId="0" fillId="7" borderId="1" pivotButton="0" quotePrefix="0" xfId="0"/>
    <xf numFmtId="0" fontId="3" fillId="2" borderId="0" pivotButton="0" quotePrefix="0" xfId="0"/>
    <xf numFmtId="166" fontId="0" fillId="0" borderId="0" pivotButton="0" quotePrefix="0" xfId="0"/>
    <xf numFmtId="165" fontId="0" fillId="0" borderId="0" pivotButton="0" quotePrefix="0" xfId="0"/>
    <xf numFmtId="1" fontId="7" fillId="8" borderId="1" pivotButton="0" quotePrefix="0" xfId="0"/>
    <xf numFmtId="0" fontId="3" fillId="3" borderId="0" pivotButton="0" quotePrefix="0" xfId="0"/>
    <xf numFmtId="1" fontId="0" fillId="5" borderId="1" pivotButton="0" quotePrefix="0" xfId="0"/>
    <xf numFmtId="0" fontId="4" fillId="4" borderId="1" applyProtection="1" pivotButton="0" quotePrefix="0" xfId="0">
      <protection locked="0" hidden="0"/>
    </xf>
    <xf numFmtId="167" fontId="4" fillId="4" borderId="1" applyProtection="1" pivotButton="0" quotePrefix="0" xfId="0">
      <protection locked="0" hidden="0"/>
    </xf>
    <xf numFmtId="0" fontId="4" fillId="6" borderId="1" pivotButton="0" quotePrefix="0" xfId="0"/>
    <xf numFmtId="164" fontId="4" fillId="4" borderId="1" applyProtection="1" pivotButton="0" quotePrefix="0" xfId="0">
      <protection locked="0" hidden="0"/>
    </xf>
    <xf numFmtId="165" fontId="4" fillId="6" borderId="1" pivotButton="0" quotePrefix="0" xfId="0"/>
    <xf numFmtId="164" fontId="4" fillId="6" borderId="1" pivotButton="0" quotePrefix="0" xfId="0"/>
    <xf numFmtId="0" fontId="4" fillId="4" borderId="1" applyAlignment="1" applyProtection="1" pivotButton="0" quotePrefix="0" xfId="0">
      <alignment horizontal="left" vertical="top" wrapText="1"/>
      <protection locked="0" hidden="0"/>
    </xf>
    <xf numFmtId="168" fontId="4" fillId="4" borderId="1" applyProtection="1" pivotButton="0" quotePrefix="0" xfId="0">
      <protection locked="0" hidden="0"/>
    </xf>
    <xf numFmtId="165" fontId="4" fillId="4" borderId="1" applyProtection="1" pivotButton="0" quotePrefix="0" xfId="0">
      <protection locked="0" hidden="0"/>
    </xf>
    <xf numFmtId="0" fontId="0" fillId="3" borderId="0" pivotButton="0" quotePrefix="0" xfId="0"/>
    <xf numFmtId="0" fontId="5" fillId="5" borderId="1" pivotButton="0" quotePrefix="0" xfId="0"/>
    <xf numFmtId="0" fontId="0" fillId="4" borderId="1" applyProtection="1" pivotButton="0" quotePrefix="0" xfId="0">
      <protection locked="0" hidden="0"/>
    </xf>
    <xf numFmtId="165" fontId="0" fillId="4" borderId="1" applyProtection="1" pivotButton="0" quotePrefix="0" xfId="0">
      <protection locked="0" hidden="0"/>
    </xf>
    <xf numFmtId="164" fontId="0" fillId="4" borderId="1" applyProtection="1" pivotButton="0" quotePrefix="0" xfId="0">
      <protection locked="0" hidden="0"/>
    </xf>
    <xf numFmtId="164" fontId="5" fillId="5" borderId="1" pivotButton="0" quotePrefix="0" xfId="0"/>
    <xf numFmtId="165" fontId="5" fillId="5" borderId="1" pivotButton="0" quotePrefix="0" xfId="0"/>
    <xf numFmtId="166" fontId="0" fillId="5" borderId="1" pivotButton="0" quotePrefix="0" xfId="0"/>
    <xf numFmtId="164" fontId="0" fillId="5" borderId="1" pivotButton="0" quotePrefix="0" xfId="0"/>
    <xf numFmtId="165" fontId="0" fillId="5" borderId="1" pivotButton="0" quotePrefix="0" xfId="0"/>
    <xf numFmtId="166" fontId="0" fillId="7" borderId="1" pivotButton="0" quotePrefix="0" xfId="0"/>
    <xf numFmtId="164" fontId="0" fillId="7" borderId="1" pivotButton="0" quotePrefix="0" xfId="0"/>
    <xf numFmtId="165" fontId="0" fillId="7" borderId="1" pivotButton="0" quotePrefix="0" xfId="0"/>
    <xf numFmtId="166" fontId="0" fillId="0" borderId="0" pivotButton="0" quotePrefix="0" xfId="0"/>
    <xf numFmtId="165" fontId="0" fillId="0" borderId="0" pivotButton="0" quotePrefix="0" xfId="0"/>
    <xf numFmtId="164" fontId="4" fillId="4" borderId="1" applyProtection="1" pivotButton="0" quotePrefix="0" xfId="0">
      <protection locked="0" hidden="0"/>
    </xf>
    <xf numFmtId="165" fontId="4" fillId="6" borderId="1" pivotButton="0" quotePrefix="0" xfId="0"/>
    <xf numFmtId="164" fontId="4" fillId="6" borderId="1" pivotButton="0" quotePrefix="0" xfId="0"/>
    <xf numFmtId="165" fontId="4" fillId="4" borderId="1" applyProtection="1" pivotButton="0" quotePrefix="0" xfId="0">
      <protection locked="0" hidden="0"/>
    </xf>
    <xf numFmtId="165" fontId="0" fillId="4" borderId="1" applyProtection="1" pivotButton="0" quotePrefix="0" xfId="0">
      <protection locked="0" hidden="0"/>
    </xf>
    <xf numFmtId="164" fontId="0" fillId="4" borderId="1" applyProtection="1" pivotButton="0" quotePrefix="0" xfId="0">
      <protection locked="0" hidden="0"/>
    </xf>
  </cellXfs>
  <cellStyles count="1">
    <cellStyle name="Normal" xfId="0" builtinId="0" hidden="0"/>
  </cellStyles>
  <dxfs count="9">
    <dxf>
      <font>
        <name val="Calibri"/>
        <b val="1"/>
        <color rgb="00147D64"/>
        <sz val="10"/>
      </font>
      <fill>
        <patternFill patternType="solid">
          <fgColor rgb="00D9EAD3"/>
        </patternFill>
      </fill>
    </dxf>
    <dxf>
      <font>
        <name val="Calibri"/>
        <b val="1"/>
        <color rgb="00C73939"/>
        <sz val="10"/>
      </font>
      <fill>
        <patternFill patternType="solid">
          <fgColor rgb="00FFF1CE"/>
        </patternFill>
      </fill>
    </dxf>
    <dxf>
      <fill>
        <patternFill patternType="solid">
          <fgColor rgb="00FFF1CE"/>
        </patternFill>
      </fill>
    </dxf>
    <dxf>
      <font>
        <name val="Calibri"/>
        <b val="1"/>
        <color rgb="00C73939"/>
        <sz val="10"/>
      </font>
      <fill>
        <patternFill patternType="solid">
          <fgColor rgb="00F4CCCC"/>
        </patternFill>
      </fill>
    </dxf>
    <dxf>
      <font>
        <name val="Calibri"/>
        <color rgb="007A7A7A"/>
        <sz val="10"/>
      </font>
      <fill>
        <patternFill patternType="solid">
          <fgColor rgb="00E7EBEF"/>
        </patternFill>
      </fill>
    </dxf>
    <dxf>
      <fill>
        <patternFill patternType="solid">
          <fgColor rgb="00D9EAD3"/>
        </patternFill>
      </fill>
    </dxf>
    <dxf>
      <font>
        <name val="Calibri"/>
        <b val="1"/>
        <color rgb="00C73939"/>
        <sz val="10"/>
      </font>
    </dxf>
    <dxf>
      <fill>
        <patternFill patternType="solid">
          <fgColor rgb="00D9EAF7"/>
        </patternFill>
      </fill>
    </dxf>
    <dxf>
      <fill>
        <patternFill patternType="solid">
          <fgColor rgb="00FFF2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Monthly Revenue and Operating Profit</a:t>
            </a:r>
          </a:p>
        </rich>
      </tx>
    </title>
    <plotArea>
      <barChart>
        <barDir val="col"/>
        <grouping val="clustered"/>
        <ser>
          <idx val="0"/>
          <order val="0"/>
          <tx>
            <strRef>
              <f>'Dashboard'!C19</f>
            </strRef>
          </tx>
          <spPr>
            <a:solidFill xmlns:a="http://schemas.openxmlformats.org/drawingml/2006/main">
              <a:srgbClr val="2B5D74"/>
            </a:solidFill>
            <a:ln xmlns:a="http://schemas.openxmlformats.org/drawingml/2006/main">
              <a:solidFill>
                <a:srgbClr val="2B5D74"/>
              </a:solidFill>
              <a:prstDash val="solid"/>
            </a:ln>
          </spPr>
          <cat>
            <numRef>
              <f>'Dashboard'!$A$20:$A$31</f>
            </numRef>
          </cat>
          <val>
            <numRef>
              <f>'Dashboard'!$C$20:$C$31</f>
            </numRef>
          </val>
        </ser>
        <ser>
          <idx val="1"/>
          <order val="1"/>
          <tx>
            <strRef>
              <f>'Dashboard'!D19</f>
            </strRef>
          </tx>
          <spPr>
            <a:ln xmlns:a="http://schemas.openxmlformats.org/drawingml/2006/main">
              <a:prstDash val="solid"/>
            </a:ln>
          </spPr>
          <cat>
            <numRef>
              <f>'Dashboard'!$A$20:$A$31</f>
            </numRef>
          </cat>
          <val>
            <numRef>
              <f>'Dashboard'!$D$20:$D$31</f>
            </numRef>
          </val>
        </ser>
        <ser>
          <idx val="2"/>
          <order val="2"/>
          <tx>
            <strRef>
              <f>'Dashboard'!E19</f>
            </strRef>
          </tx>
          <spPr>
            <a:solidFill xmlns:a="http://schemas.openxmlformats.org/drawingml/2006/main">
              <a:srgbClr val="147D64"/>
            </a:solidFill>
            <a:ln xmlns:a="http://schemas.openxmlformats.org/drawingml/2006/main">
              <a:solidFill>
                <a:srgbClr val="147D64"/>
              </a:solidFill>
              <a:prstDash val="solid"/>
            </a:ln>
          </spPr>
          <cat>
            <numRef>
              <f>'Dashboard'!$A$20:$A$31</f>
            </numRef>
          </cat>
          <val>
            <numRef>
              <f>'Dashboard'!$E$20:$E$31</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Month</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U.S. Dollars</a:t>
                </a:r>
              </a:p>
            </rich>
          </tx>
        </title>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Monthly Occupancy versus Target</a:t>
            </a:r>
          </a:p>
        </rich>
      </tx>
    </title>
    <plotArea>
      <lineChart>
        <grouping val="standard"/>
        <ser>
          <idx val="0"/>
          <order val="0"/>
          <tx>
            <strRef>
              <f>'Dashboard'!K34</f>
            </strRef>
          </tx>
          <spPr>
            <a:ln xmlns:a="http://schemas.openxmlformats.org/drawingml/2006/main">
              <a:solidFill>
                <a:srgbClr val="2B5D74"/>
              </a:solidFill>
              <a:prstDash val="solid"/>
            </a:ln>
          </spPr>
          <marker>
            <symbol val="none"/>
            <spPr>
              <a:ln xmlns:a="http://schemas.openxmlformats.org/drawingml/2006/main">
                <a:prstDash val="solid"/>
              </a:ln>
            </spPr>
          </marker>
          <cat>
            <numRef>
              <f>'Dashboard'!$J$35:$J$46</f>
            </numRef>
          </cat>
          <val>
            <numRef>
              <f>'Dashboard'!$K$35:$K$46</f>
            </numRef>
          </val>
        </ser>
        <ser>
          <idx val="1"/>
          <order val="1"/>
          <tx>
            <strRef>
              <f>'Dashboard'!L34</f>
            </strRef>
          </tx>
          <spPr>
            <a:ln xmlns:a="http://schemas.openxmlformats.org/drawingml/2006/main">
              <a:solidFill>
                <a:srgbClr val="D4A72C"/>
              </a:solidFill>
              <a:prstDash val="solid"/>
            </a:ln>
          </spPr>
          <marker>
            <symbol val="none"/>
            <spPr>
              <a:ln xmlns:a="http://schemas.openxmlformats.org/drawingml/2006/main">
                <a:prstDash val="solid"/>
              </a:ln>
            </spPr>
          </marker>
          <cat>
            <numRef>
              <f>'Dashboard'!$J$35:$J$46</f>
            </numRef>
          </cat>
          <val>
            <numRef>
              <f>'Dashboard'!$L$35:$L$46</f>
            </numRef>
          </val>
        </ser>
        <axId val="10"/>
        <axId val="100"/>
      </lineChart>
      <catAx>
        <axId val="10"/>
        <scaling>
          <orientation val="minMax"/>
        </scaling>
        <axPos val="l"/>
        <title>
          <tx>
            <rich>
              <a:bodyPr xmlns:a="http://schemas.openxmlformats.org/drawingml/2006/main"/>
              <a:p xmlns:a="http://schemas.openxmlformats.org/drawingml/2006/main">
                <a:pPr>
                  <a:defRPr/>
                </a:pPr>
                <a:r>
                  <a:t>Month</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Occupancy</a:t>
                </a:r>
              </a:p>
            </rich>
          </tx>
        </title>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2</row>
      <rowOff>0</rowOff>
    </from>
    <ext cx="522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18</row>
      <rowOff>0</rowOff>
    </from>
    <ext cx="522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Reservations" displayName="tblReservations" ref="A3:AK153" headerRowCount="1">
  <autoFilter ref="A3:AK153"/>
  <tableColumns count="37">
    <tableColumn id="1" name="Reservation ID"/>
    <tableColumn id="2" name="Property"/>
    <tableColumn id="3" name="Guest Name"/>
    <tableColumn id="4" name="Booking Channel"/>
    <tableColumn id="5" name="Booking Date"/>
    <tableColumn id="6" name="Check-In Date"/>
    <tableColumn id="7" name="Check-Out Date"/>
    <tableColumn id="8" name="Nights"/>
    <tableColumn id="9" name="Adults"/>
    <tableColumn id="10" name="Children"/>
    <tableColumn id="11" name="Pets"/>
    <tableColumn id="12" name="Status"/>
    <tableColumn id="13" name="Nightly Room Revenue"/>
    <tableColumn id="14" name="Cleaning Fee"/>
    <tableColumn id="15" name="Pet Fee"/>
    <tableColumn id="16" name="Other Guest Fees"/>
    <tableColumn id="17" name="Discount"/>
    <tableColumn id="18" name="Refund"/>
    <tableColumn id="19" name="Lodging Tax Rate"/>
    <tableColumn id="20" name="Taxable Guest Charges"/>
    <tableColumn id="21" name="Lodging Tax Collected"/>
    <tableColumn id="22" name="Gross Booking Revenue"/>
    <tableColumn id="23" name="Channel Commission Rate"/>
    <tableColumn id="24" name="Channel Commission"/>
    <tableColumn id="25" name="Processing Fee Rate"/>
    <tableColumn id="26" name="Payment Processing Fee"/>
    <tableColumn id="27" name="Management Fee Rate"/>
    <tableColumn id="28" name="Management Fee"/>
    <tableColumn id="29" name="Net Rental Revenue"/>
    <tableColumn id="30" name="Amount Paid"/>
    <tableColumn id="31" name="Balance Due"/>
    <tableColumn id="32" name="Payment Status"/>
    <tableColumn id="33" name="Confirmation Number"/>
    <tableColumn id="34" name="Internal Notes"/>
    <tableColumn id="35" name="Date Check"/>
    <tableColumn id="36" name="Overlap Check"/>
    <tableColumn id="37" name="Record Check"/>
  </tableColumns>
  <tableStyleInfo name="TableStyleMedium2" showFirstColumn="0" showLastColumn="0" showRowStripes="1"/>
</table>
</file>

<file path=xl/tables/table2.xml><?xml version="1.0" encoding="utf-8"?>
<table xmlns="http://schemas.openxmlformats.org/spreadsheetml/2006/main" id="2" name="tblExpenses" displayName="tblExpenses" ref="A3:W153" headerRowCount="1">
  <autoFilter ref="A3:W153"/>
  <tableColumns count="23">
    <tableColumn id="1" name="Expense ID"/>
    <tableColumn id="2" name="Expense Date"/>
    <tableColumn id="3" name="Property"/>
    <tableColumn id="4" name="Vendor"/>
    <tableColumn id="5" name="Expense Category"/>
    <tableColumn id="6" name="Expense Type"/>
    <tableColumn id="7" name="Payment Method"/>
    <tableColumn id="8" name="Reference Number"/>
    <tableColumn id="9" name="Description"/>
    <tableColumn id="10" name="Quantity"/>
    <tableColumn id="11" name="Unit Cost"/>
    <tableColumn id="12" name="Subtotal"/>
    <tableColumn id="13" name="Sales Tax"/>
    <tableColumn id="14" name="Tip"/>
    <tableColumn id="15" name="Total Expense"/>
    <tableColumn id="16" name="Labor Hours"/>
    <tableColumn id="17" name="Labor Cost"/>
    <tableColumn id="18" name="Operating Expense Amount"/>
    <tableColumn id="19" name="Capital Expense Amount"/>
    <tableColumn id="20" name="Status"/>
    <tableColumn id="21" name="Receipt Available"/>
    <tableColumn id="22" name="Review Flag"/>
    <tableColumn id="23" name="Notes"/>
  </tableColumns>
  <tableStyleInfo name="TableStyleMedium2" showFirstColumn="0" showLastColumn="0" showRowStripes="1"/>
</table>
</file>

<file path=xl/tables/table3.xml><?xml version="1.0" encoding="utf-8"?>
<table xmlns="http://schemas.openxmlformats.org/spreadsheetml/2006/main" id="3" name="tblProperties" displayName="tblProperties" ref="A4:R104" headerRowCount="1">
  <autoFilter ref="A4:R104"/>
  <tableColumns count="18">
    <tableColumn id="1" name="Property ID"/>
    <tableColumn id="2" name="Property Name"/>
    <tableColumn id="3" name="Market"/>
    <tableColumn id="4" name="State"/>
    <tableColumn id="5" name="Active"/>
    <tableColumn id="6" name="Bedrooms"/>
    <tableColumn id="7" name="Maximum Guests"/>
    <tableColumn id="8" name="Lodging Tax Rate"/>
    <tableColumn id="9" name="Taxable Fee Share"/>
    <tableColumn id="10" name="Processing Fee Rate"/>
    <tableColumn id="11" name="Management Fee Rate"/>
    <tableColumn id="12" name="Annual Owner-Blocked Nights"/>
    <tableColumn id="13" name="Annual Maintenance-Blocked Nights"/>
    <tableColumn id="14" name="Occupancy Target"/>
    <tableColumn id="15" name="Operating Margin Target"/>
    <tableColumn id="16" name="Labor Cost Target"/>
    <tableColumn id="17" name="Minimum Nightly Rate"/>
    <tableColumn id="18" name="Notes"/>
  </tableColumns>
  <tableStyleInfo name="TableStyleMedium2" showFirstColumn="0" showLastColumn="0" showRowStripes="1"/>
</table>
</file>

<file path=xl/tables/table4.xml><?xml version="1.0" encoding="utf-8"?>
<table xmlns="http://schemas.openxmlformats.org/spreadsheetml/2006/main" id="4" name="tblChannels" displayName="tblChannels" ref="U4:W104" headerRowCount="1">
  <autoFilter ref="U4:W104"/>
  <tableColumns count="3">
    <tableColumn id="21" name="Booking Channel"/>
    <tableColumn id="22" name="Commission Rate"/>
    <tableColumn id="23" name="Notes"/>
  </tableColumns>
  <tableStyleInfo name="TableStyleMedium4" showFirstColumn="0" showLastColumn="0"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table" Target="/xl/tables/table4.xml" Id="rId2"/></Relationships>
</file>

<file path=xl/worksheets/sheet1.xml><?xml version="1.0" encoding="utf-8"?>
<worksheet xmlns="http://schemas.openxmlformats.org/spreadsheetml/2006/main">
  <sheetPr>
    <outlinePr summaryBelow="1" summaryRight="1"/>
    <pageSetUpPr/>
  </sheetPr>
  <dimension ref="A1:R101"/>
  <sheetViews>
    <sheetView showGridLines="0" zoomScale="70" zoomScaleNormal="70" workbookViewId="0">
      <pane ySplit="18" topLeftCell="A19" activePane="bottomLeft" state="frozen"/>
      <selection pane="bottomLeft" activeCell="A1" sqref="A1"/>
    </sheetView>
  </sheetViews>
  <sheetFormatPr baseColWidth="8" defaultRowHeight="15"/>
  <cols>
    <col width="23" customWidth="1" min="1" max="1"/>
    <col width="18" customWidth="1" min="2" max="2"/>
    <col width="23" customWidth="1" min="3" max="3"/>
    <col width="18" customWidth="1" min="4" max="4"/>
    <col width="23" customWidth="1" min="5" max="5"/>
    <col width="18" customWidth="1" min="6" max="6"/>
    <col width="35" customWidth="1" min="7" max="7"/>
    <col width="16" customWidth="1" min="8" max="8"/>
    <col width="18" customWidth="1" min="9" max="9"/>
    <col hidden="1" width="13" customWidth="1" min="10" max="10"/>
    <col hidden="1" width="13" customWidth="1" min="11" max="11"/>
    <col hidden="1" width="13" customWidth="1" min="12" max="12"/>
    <col width="14" customWidth="1" min="13" max="13"/>
    <col width="14" customWidth="1" min="14" max="14"/>
    <col width="14" customWidth="1" min="15" max="15"/>
    <col width="14" customWidth="1" min="16" max="16"/>
    <col width="14" customWidth="1" min="17" max="17"/>
    <col width="14" customWidth="1" min="18" max="18"/>
  </cols>
  <sheetData>
    <row r="1" ht="28" customHeight="1">
      <c r="A1" s="1" t="inlineStr">
        <is>
          <t>Vacation Rental Profitability Dashboard</t>
        </is>
      </c>
    </row>
    <row r="2" ht="30" customHeight="1">
      <c r="A2" s="2" t="inlineStr">
        <is>
          <t>Operational revenue, expense, occupancy, and profit overview</t>
        </is>
      </c>
    </row>
    <row r="3">
      <c r="A3" s="3" t="inlineStr">
        <is>
          <t>Revenue is assigned to the reservation check-out month. Verify all tax rates and policy assumptions for each property.</t>
        </is>
      </c>
    </row>
    <row r="4">
      <c r="A4" s="4" t="inlineStr">
        <is>
          <t>Reporting Year</t>
        </is>
      </c>
      <c r="B4" s="5" t="n">
        <v>2026</v>
      </c>
      <c r="D4" s="4" t="inlineStr">
        <is>
          <t>Property</t>
        </is>
      </c>
      <c r="E4" s="5" t="inlineStr">
        <is>
          <t>All Properties</t>
        </is>
      </c>
    </row>
    <row r="5"/>
    <row r="6"/>
    <row r="7">
      <c r="A7" s="4" t="inlineStr">
        <is>
          <t>Gross Booking Revenue</t>
        </is>
      </c>
      <c r="B7" s="6" t="n"/>
      <c r="C7" s="4" t="inlineStr">
        <is>
          <t>Net Rental Revenue</t>
        </is>
      </c>
      <c r="D7" s="6" t="n"/>
      <c r="E7" s="4" t="inlineStr">
        <is>
          <t>Operating Expenses</t>
        </is>
      </c>
      <c r="F7" s="6" t="n"/>
      <c r="G7" s="4" t="inlineStr">
        <is>
          <t>Operating Profit</t>
        </is>
      </c>
      <c r="H7" s="6" t="n"/>
    </row>
    <row r="8">
      <c r="A8" s="39">
        <f>IFERROR(SUMIFS('Reservations'!$V$4:$V$153,'Reservations'!$G$4:$G$153,"&gt;="&amp;DATE($B$4,1,1),'Reservations'!$G$4:$G$153,"&lt;"&amp;DATE($B$4+1,1,1),'Reservations'!$B$4:$B$153,IF($E$4="All Properties","&lt;&gt;",$E$4),'Reservations'!$L$4:$L$153,"Confirmed")+SUMIFS('Reservations'!$V$4:$V$153,'Reservations'!$G$4:$G$153,"&gt;="&amp;DATE($B$4,1,1),'Reservations'!$G$4:$G$153,"&lt;"&amp;DATE($B$4+1,1,1),'Reservations'!$B$4:$B$153,IF($E$4="All Properties","&lt;&gt;",$E$4),'Reservations'!$L$4:$L$153,"Checked In")+SUMIFS('Reservations'!$V$4:$V$153,'Reservations'!$G$4:$G$153,"&gt;="&amp;DATE($B$4,1,1),'Reservations'!$G$4:$G$153,"&lt;"&amp;DATE($B$4+1,1,1),'Reservations'!$B$4:$B$153,IF($E$4="All Properties","&lt;&gt;",$E$4),'Reservations'!$L$4:$L$153,"Completed"),0)</f>
        <v/>
      </c>
      <c r="B8" s="6" t="n"/>
      <c r="C8" s="39">
        <f>IFERROR(SUMIFS('Reservations'!$AC$4:$AC$153,'Reservations'!$G$4:$G$153,"&gt;="&amp;DATE($B$4,1,1),'Reservations'!$G$4:$G$153,"&lt;"&amp;DATE($B$4+1,1,1),'Reservations'!$B$4:$B$153,IF($E$4="All Properties","&lt;&gt;",$E$4),'Reservations'!$L$4:$L$153,"Confirmed")+SUMIFS('Reservations'!$AC$4:$AC$153,'Reservations'!$G$4:$G$153,"&gt;="&amp;DATE($B$4,1,1),'Reservations'!$G$4:$G$153,"&lt;"&amp;DATE($B$4+1,1,1),'Reservations'!$B$4:$B$153,IF($E$4="All Properties","&lt;&gt;",$E$4),'Reservations'!$L$4:$L$153,"Checked In")+SUMIFS('Reservations'!$AC$4:$AC$153,'Reservations'!$G$4:$G$153,"&gt;="&amp;DATE($B$4,1,1),'Reservations'!$G$4:$G$153,"&lt;"&amp;DATE($B$4+1,1,1),'Reservations'!$B$4:$B$153,IF($E$4="All Properties","&lt;&gt;",$E$4),'Reservations'!$L$4:$L$153,"Completed"),0)</f>
        <v/>
      </c>
      <c r="D8" s="6" t="n"/>
      <c r="E8" s="39">
        <f>IFERROR(SUMIFS('Expenses'!$R$4:$R$153,'Expenses'!$B$4:$B$153,"&gt;="&amp;DATE($B$4,1,1),'Expenses'!$B$4:$B$153,"&lt;"&amp;DATE($B$4+1,1,1),'Expenses'!$C$4:$C$153,IF($E$4="All Properties","&lt;&gt;",$E$4),'Expenses'!$F$4:$F$153,"Operating",'Expenses'!$T$4:$T$153,"Paid")+SUMIFS('Expenses'!$R$4:$R$153,'Expenses'!$B$4:$B$153,"&gt;="&amp;DATE($B$4,1,1),'Expenses'!$B$4:$B$153,"&lt;"&amp;DATE($B$4+1,1,1),'Expenses'!$C$4:$C$153,IF($E$4="All Properties","&lt;&gt;",$E$4),'Expenses'!$F$4:$F$153,"Operating",'Expenses'!$T$4:$T$153,"Pending"),0)</f>
        <v/>
      </c>
      <c r="F8" s="6" t="n"/>
      <c r="G8" s="39">
        <f>IFERROR(B8-D8,0)</f>
        <v/>
      </c>
      <c r="H8" s="6" t="n"/>
    </row>
    <row r="9"/>
    <row r="10"/>
    <row r="11">
      <c r="A11" s="4" t="inlineStr">
        <is>
          <t>Operating Margin</t>
        </is>
      </c>
      <c r="B11" s="6" t="n"/>
      <c r="C11" s="4" t="inlineStr">
        <is>
          <t>Booked Nights</t>
        </is>
      </c>
      <c r="D11" s="6" t="n"/>
      <c r="E11" s="4" t="inlineStr">
        <is>
          <t>Available Nights</t>
        </is>
      </c>
      <c r="F11" s="6" t="n"/>
      <c r="G11" s="4" t="inlineStr">
        <is>
          <t>Occupancy</t>
        </is>
      </c>
      <c r="H11" s="6" t="n"/>
    </row>
    <row r="12">
      <c r="A12" s="40">
        <f>IFERROR(F8/B8,0)</f>
        <v/>
      </c>
      <c r="B12" s="6" t="n"/>
      <c r="C12" s="9">
        <f>IFERROR(SUMIFS('Reservations'!$H$4:$H$153,'Reservations'!$G$4:$G$153,"&gt;="&amp;DATE($B$4,1,1),'Reservations'!$G$4:$G$153,"&lt;"&amp;DATE($B$4+1,1,1),'Reservations'!$B$4:$B$153,IF($E$4="All Properties","&lt;&gt;",$E$4),'Reservations'!$L$4:$L$153,"Confirmed")+SUMIFS('Reservations'!$H$4:$H$153,'Reservations'!$G$4:$G$153,"&gt;="&amp;DATE($B$4,1,1),'Reservations'!$G$4:$G$153,"&lt;"&amp;DATE($B$4+1,1,1),'Reservations'!$B$4:$B$153,IF($E$4="All Properties","&lt;&gt;",$E$4),'Reservations'!$L$4:$L$153,"Checked In")+SUMIFS('Reservations'!$H$4:$H$153,'Reservations'!$G$4:$G$153,"&gt;="&amp;DATE($B$4,1,1),'Reservations'!$G$4:$G$153,"&lt;"&amp;DATE($B$4+1,1,1),'Reservations'!$B$4:$B$153,IF($E$4="All Properties","&lt;&gt;",$E$4),'Reservations'!$L$4:$L$153,"Completed"),0)</f>
        <v/>
      </c>
      <c r="D12" s="6" t="n"/>
      <c r="E12" s="9">
        <f>IFERROR(IF($E$4="All Properties",SUM(IF('Assumptions'!$E$5="Yes",MAX(0,DATE($B$4+1,1,1)-DATE($B$4,1,1)-'Assumptions'!$L$5-'Assumptions'!$M$5),0),IF('Assumptions'!$E$6="Yes",MAX(0,DATE($B$4+1,1,1)-DATE($B$4,1,1)-'Assumptions'!$L$6-'Assumptions'!$M$6),0),IF('Assumptions'!$E$7="Yes",MAX(0,DATE($B$4+1,1,1)-DATE($B$4,1,1)-'Assumptions'!$L$7-'Assumptions'!$M$7),0)),MAX(0,DATE($B$4+1,1,1)-DATE($B$4,1,1)-VLOOKUP($E$4,'Assumptions'!$B$5:$M$104,11,FALSE)-VLOOKUP($E$4,'Assumptions'!$B$5:$M$104,12,FALSE))),0)</f>
        <v/>
      </c>
      <c r="F12" s="6" t="n"/>
      <c r="G12" s="40">
        <f>IFERROR(D12/F12,0)</f>
        <v/>
      </c>
      <c r="H12" s="6" t="n"/>
    </row>
    <row r="13"/>
    <row r="14"/>
    <row r="15">
      <c r="A15" s="4" t="inlineStr">
        <is>
          <t>Average Daily Rate</t>
        </is>
      </c>
      <c r="B15" s="6" t="n"/>
      <c r="C15" s="4" t="inlineStr">
        <is>
          <t>Revenue per Available Night</t>
        </is>
      </c>
      <c r="D15" s="6" t="n"/>
      <c r="E15" s="4" t="inlineStr">
        <is>
          <t>Labor Cost Percentage</t>
        </is>
      </c>
      <c r="F15" s="6" t="n"/>
      <c r="G15" s="4" t="inlineStr">
        <is>
          <t>Average Profit per Reservation</t>
        </is>
      </c>
      <c r="H15" s="6" t="n"/>
    </row>
    <row r="16">
      <c r="A16" s="39">
        <f>IFERROR((SUMIFS('Reservations'!$M$4:$M$153,'Reservations'!$G$4:$G$153,"&gt;="&amp;DATE($B$4,1,1),'Reservations'!$G$4:$G$153,"&lt;"&amp;DATE($B$4+1,1,1),'Reservations'!$B$4:$B$153,IF($E$4="All Properties","&lt;&gt;",$E$4),'Reservations'!$L$4:$L$153,"Confirmed")+SUMIFS('Reservations'!$M$4:$M$153,'Reservations'!$G$4:$G$153,"&gt;="&amp;DATE($B$4,1,1),'Reservations'!$G$4:$G$153,"&lt;"&amp;DATE($B$4+1,1,1),'Reservations'!$B$4:$B$153,IF($E$4="All Properties","&lt;&gt;",$E$4),'Reservations'!$L$4:$L$153,"Checked In")+SUMIFS('Reservations'!$M$4:$M$153,'Reservations'!$G$4:$G$153,"&gt;="&amp;DATE($B$4,1,1),'Reservations'!$G$4:$G$153,"&lt;"&amp;DATE($B$4+1,1,1),'Reservations'!$B$4:$B$153,IF($E$4="All Properties","&lt;&gt;",$E$4),'Reservations'!$L$4:$L$153,"Completed")-SUMIFS('Reservations'!$Q$4:$Q$153,'Reservations'!$G$4:$G$153,"&gt;="&amp;DATE($B$4,1,1),'Reservations'!$G$4:$G$153,"&lt;"&amp;DATE($B$4+1,1,1),'Reservations'!$B$4:$B$153,IF($E$4="All Properties","&lt;&gt;",$E$4),'Reservations'!$L$4:$L$153,"Confirmed")+SUMIFS('Reservations'!$Q$4:$Q$153,'Reservations'!$G$4:$G$153,"&gt;="&amp;DATE($B$4,1,1),'Reservations'!$G$4:$G$153,"&lt;"&amp;DATE($B$4+1,1,1),'Reservations'!$B$4:$B$153,IF($E$4="All Properties","&lt;&gt;",$E$4),'Reservations'!$L$4:$L$153,"Checked In")+SUMIFS('Reservations'!$Q$4:$Q$153,'Reservations'!$G$4:$G$153,"&gt;="&amp;DATE($B$4,1,1),'Reservations'!$G$4:$G$153,"&lt;"&amp;DATE($B$4+1,1,1),'Reservations'!$B$4:$B$153,IF($E$4="All Properties","&lt;&gt;",$E$4),'Reservations'!$L$4:$L$153,"Completed")-SUMIFS('Reservations'!$R$4:$R$153,'Reservations'!$G$4:$G$153,"&gt;="&amp;DATE($B$4,1,1),'Reservations'!$G$4:$G$153,"&lt;"&amp;DATE($B$4+1,1,1),'Reservations'!$B$4:$B$153,IF($E$4="All Properties","&lt;&gt;",$E$4),'Reservations'!$L$4:$L$153,"Confirmed")+SUMIFS('Reservations'!$R$4:$R$153,'Reservations'!$G$4:$G$153,"&gt;="&amp;DATE($B$4,1,1),'Reservations'!$G$4:$G$153,"&lt;"&amp;DATE($B$4+1,1,1),'Reservations'!$B$4:$B$153,IF($E$4="All Properties","&lt;&gt;",$E$4),'Reservations'!$L$4:$L$153,"Checked In")+SUMIFS('Reservations'!$R$4:$R$153,'Reservations'!$G$4:$G$153,"&gt;="&amp;DATE($B$4,1,1),'Reservations'!$G$4:$G$153,"&lt;"&amp;DATE($B$4+1,1,1),'Reservations'!$B$4:$B$153,IF($E$4="All Properties","&lt;&gt;",$E$4),'Reservations'!$L$4:$L$153,"Completed"))/D12,0)</f>
        <v/>
      </c>
      <c r="B16" s="6" t="n"/>
      <c r="C16" s="39">
        <f>IFERROR((SUMIFS('Reservations'!$M$4:$M$153,'Reservations'!$G$4:$G$153,"&gt;="&amp;DATE($B$4,1,1),'Reservations'!$G$4:$G$153,"&lt;"&amp;DATE($B$4+1,1,1),'Reservations'!$B$4:$B$153,IF($E$4="All Properties","&lt;&gt;",$E$4),'Reservations'!$L$4:$L$153,"Confirmed")+SUMIFS('Reservations'!$M$4:$M$153,'Reservations'!$G$4:$G$153,"&gt;="&amp;DATE($B$4,1,1),'Reservations'!$G$4:$G$153,"&lt;"&amp;DATE($B$4+1,1,1),'Reservations'!$B$4:$B$153,IF($E$4="All Properties","&lt;&gt;",$E$4),'Reservations'!$L$4:$L$153,"Checked In")+SUMIFS('Reservations'!$M$4:$M$153,'Reservations'!$G$4:$G$153,"&gt;="&amp;DATE($B$4,1,1),'Reservations'!$G$4:$G$153,"&lt;"&amp;DATE($B$4+1,1,1),'Reservations'!$B$4:$B$153,IF($E$4="All Properties","&lt;&gt;",$E$4),'Reservations'!$L$4:$L$153,"Completed")-SUMIFS('Reservations'!$Q$4:$Q$153,'Reservations'!$G$4:$G$153,"&gt;="&amp;DATE($B$4,1,1),'Reservations'!$G$4:$G$153,"&lt;"&amp;DATE($B$4+1,1,1),'Reservations'!$B$4:$B$153,IF($E$4="All Properties","&lt;&gt;",$E$4),'Reservations'!$L$4:$L$153,"Confirmed")+SUMIFS('Reservations'!$Q$4:$Q$153,'Reservations'!$G$4:$G$153,"&gt;="&amp;DATE($B$4,1,1),'Reservations'!$G$4:$G$153,"&lt;"&amp;DATE($B$4+1,1,1),'Reservations'!$B$4:$B$153,IF($E$4="All Properties","&lt;&gt;",$E$4),'Reservations'!$L$4:$L$153,"Checked In")+SUMIFS('Reservations'!$Q$4:$Q$153,'Reservations'!$G$4:$G$153,"&gt;="&amp;DATE($B$4,1,1),'Reservations'!$G$4:$G$153,"&lt;"&amp;DATE($B$4+1,1,1),'Reservations'!$B$4:$B$153,IF($E$4="All Properties","&lt;&gt;",$E$4),'Reservations'!$L$4:$L$153,"Completed")-SUMIFS('Reservations'!$R$4:$R$153,'Reservations'!$G$4:$G$153,"&gt;="&amp;DATE($B$4,1,1),'Reservations'!$G$4:$G$153,"&lt;"&amp;DATE($B$4+1,1,1),'Reservations'!$B$4:$B$153,IF($E$4="All Properties","&lt;&gt;",$E$4),'Reservations'!$L$4:$L$153,"Confirmed")+SUMIFS('Reservations'!$R$4:$R$153,'Reservations'!$G$4:$G$153,"&gt;="&amp;DATE($B$4,1,1),'Reservations'!$G$4:$G$153,"&lt;"&amp;DATE($B$4+1,1,1),'Reservations'!$B$4:$B$153,IF($E$4="All Properties","&lt;&gt;",$E$4),'Reservations'!$L$4:$L$153,"Checked In")+SUMIFS('Reservations'!$R$4:$R$153,'Reservations'!$G$4:$G$153,"&gt;="&amp;DATE($B$4,1,1),'Reservations'!$G$4:$G$153,"&lt;"&amp;DATE($B$4+1,1,1),'Reservations'!$B$4:$B$153,IF($E$4="All Properties","&lt;&gt;",$E$4),'Reservations'!$L$4:$L$153,"Completed"))/F12,0)</f>
        <v/>
      </c>
      <c r="D16" s="6" t="n"/>
      <c r="E16" s="40">
        <f>IFERROR(H49/B8,0)</f>
        <v/>
      </c>
      <c r="F16" s="6" t="n"/>
      <c r="G16" s="39">
        <f>IFERROR(F8/H49,0)</f>
        <v/>
      </c>
      <c r="H16" s="6" t="n"/>
    </row>
    <row r="17"/>
    <row r="18"/>
    <row r="19">
      <c r="A19" s="10" t="inlineStr">
        <is>
          <t>Month</t>
        </is>
      </c>
      <c r="B19" s="10" t="inlineStr">
        <is>
          <t>Gross Booking Revenue</t>
        </is>
      </c>
      <c r="C19" s="10" t="inlineStr">
        <is>
          <t>Net Rental Revenue</t>
        </is>
      </c>
      <c r="D19" s="10" t="inlineStr">
        <is>
          <t>Operating Expenses</t>
        </is>
      </c>
      <c r="E19" s="10" t="inlineStr">
        <is>
          <t>Operating Profit</t>
        </is>
      </c>
      <c r="F19" s="10" t="inlineStr">
        <is>
          <t>Booked Nights</t>
        </is>
      </c>
      <c r="G19" s="10" t="inlineStr">
        <is>
          <t>Available Nights</t>
        </is>
      </c>
      <c r="H19" s="10" t="inlineStr">
        <is>
          <t>Occupancy</t>
        </is>
      </c>
      <c r="I19" s="10" t="inlineStr">
        <is>
          <t>Average Daily Rate</t>
        </is>
      </c>
    </row>
    <row r="20">
      <c r="A20" s="41">
        <f>IFERROR(DATE($B$4,1,1),"")</f>
        <v/>
      </c>
      <c r="B20" s="42">
        <f>IFERROR(SUMIFS('Reservations'!$V$4:$V$153,'Reservations'!$G$4:$G$153,"&gt;="&amp;A20,'Reservations'!$G$4:$G$153,"&lt;"&amp;DATE(YEAR(A20),MONTH(A20)+1,1),'Reservations'!$B$4:$B$153,IF($E$4="All Properties","&lt;&gt;",$E$4),'Reservations'!$L$4:$L$153,"Confirmed")+SUMIFS('Reservations'!$V$4:$V$153,'Reservations'!$G$4:$G$153,"&gt;="&amp;A20,'Reservations'!$G$4:$G$153,"&lt;"&amp;DATE(YEAR(A20),MONTH(A20)+1,1),'Reservations'!$B$4:$B$153,IF($E$4="All Properties","&lt;&gt;",$E$4),'Reservations'!$L$4:$L$153,"Checked In")+SUMIFS('Reservations'!$V$4:$V$153,'Reservations'!$G$4:$G$153,"&gt;="&amp;A20,'Reservations'!$G$4:$G$153,"&lt;"&amp;DATE(YEAR(A20),MONTH(A20)+1,1),'Reservations'!$B$4:$B$153,IF($E$4="All Properties","&lt;&gt;",$E$4),'Reservations'!$L$4:$L$153,"Completed"),0)</f>
        <v/>
      </c>
      <c r="C20" s="42">
        <f>IFERROR(SUMIFS('Reservations'!$AC$4:$AC$153,'Reservations'!$G$4:$G$153,"&gt;="&amp;A20,'Reservations'!$G$4:$G$153,"&lt;"&amp;DATE(YEAR(A20),MONTH(A20)+1,1),'Reservations'!$B$4:$B$153,IF($E$4="All Properties","&lt;&gt;",$E$4),'Reservations'!$L$4:$L$153,"Confirmed")+SUMIFS('Reservations'!$AC$4:$AC$153,'Reservations'!$G$4:$G$153,"&gt;="&amp;A20,'Reservations'!$G$4:$G$153,"&lt;"&amp;DATE(YEAR(A20),MONTH(A20)+1,1),'Reservations'!$B$4:$B$153,IF($E$4="All Properties","&lt;&gt;",$E$4),'Reservations'!$L$4:$L$153,"Checked In")+SUMIFS('Reservations'!$AC$4:$AC$153,'Reservations'!$G$4:$G$153,"&gt;="&amp;A20,'Reservations'!$G$4:$G$153,"&lt;"&amp;DATE(YEAR(A20),MONTH(A20)+1,1),'Reservations'!$B$4:$B$153,IF($E$4="All Properties","&lt;&gt;",$E$4),'Reservations'!$L$4:$L$153,"Completed"),0)</f>
        <v/>
      </c>
      <c r="D20" s="42">
        <f>IFERROR(SUMIFS('Expenses'!$R$4:$R$153,'Expenses'!$B$4:$B$153,"&gt;="&amp;A20,'Expenses'!$B$4:$B$153,"&lt;"&amp;DATE(YEAR(A20),MONTH(A20)+1,1),'Expenses'!$C$4:$C$153,IF($E$4="All Properties","&lt;&gt;",$E$4),'Expenses'!$F$4:$F$153,"Operating",'Expenses'!$T$4:$T$153,"Paid")+SUMIFS('Expenses'!$R$4:$R$153,'Expenses'!$B$4:$B$153,"&gt;="&amp;A20,'Expenses'!$B$4:$B$153,"&lt;"&amp;DATE(YEAR(A20),MONTH(A20)+1,1),'Expenses'!$C$4:$C$153,IF($E$4="All Properties","&lt;&gt;",$E$4),'Expenses'!$F$4:$F$153,"Operating",'Expenses'!$T$4:$T$153,"Pending"),0)</f>
        <v/>
      </c>
      <c r="E20" s="42">
        <f>IFERROR(C20-D20,0)</f>
        <v/>
      </c>
      <c r="F20" s="13">
        <f>IFERROR(SUMIFS('Reservations'!$H$4:$H$153,'Reservations'!$G$4:$G$153,"&gt;="&amp;A20,'Reservations'!$G$4:$G$153,"&lt;"&amp;DATE(YEAR(A20),MONTH(A20)+1,1),'Reservations'!$B$4:$B$153,IF($E$4="All Properties","&lt;&gt;",$E$4),'Reservations'!$L$4:$L$153,"Confirmed")+SUMIFS('Reservations'!$H$4:$H$153,'Reservations'!$G$4:$G$153,"&gt;="&amp;A20,'Reservations'!$G$4:$G$153,"&lt;"&amp;DATE(YEAR(A20),MONTH(A20)+1,1),'Reservations'!$B$4:$B$153,IF($E$4="All Properties","&lt;&gt;",$E$4),'Reservations'!$L$4:$L$153,"Checked In")+SUMIFS('Reservations'!$H$4:$H$153,'Reservations'!$G$4:$G$153,"&gt;="&amp;A20,'Reservations'!$G$4:$G$153,"&lt;"&amp;DATE(YEAR(A20),MONTH(A20)+1,1),'Reservations'!$B$4:$B$153,IF($E$4="All Properties","&lt;&gt;",$E$4),'Reservations'!$L$4:$L$153,"Completed"),0)</f>
        <v/>
      </c>
      <c r="G20" s="13">
        <f>IFERROR($F$12/12,0)</f>
        <v/>
      </c>
      <c r="H20" s="43">
        <f>IFERROR(F20/G20,0)</f>
        <v/>
      </c>
      <c r="I20" s="42">
        <f>IFERROR((SUMIFS('Reservations'!$M$4:$M$153,'Reservations'!$G$4:$G$153,"&gt;="&amp;A20,'Reservations'!$G$4:$G$153,"&lt;"&amp;DATE(YEAR(A20),MONTH(A20)+1,1),'Reservations'!$B$4:$B$153,IF($E$4="All Properties","&lt;&gt;",$E$4),'Reservations'!$L$4:$L$153,"Confirmed")+SUMIFS('Reservations'!$M$4:$M$153,'Reservations'!$G$4:$G$153,"&gt;="&amp;A20,'Reservations'!$G$4:$G$153,"&lt;"&amp;DATE(YEAR(A20),MONTH(A20)+1,1),'Reservations'!$B$4:$B$153,IF($E$4="All Properties","&lt;&gt;",$E$4),'Reservations'!$L$4:$L$153,"Checked In")+SUMIFS('Reservations'!$M$4:$M$153,'Reservations'!$G$4:$G$153,"&gt;="&amp;A20,'Reservations'!$G$4:$G$153,"&lt;"&amp;DATE(YEAR(A20),MONTH(A20)+1,1),'Reservations'!$B$4:$B$153,IF($E$4="All Properties","&lt;&gt;",$E$4),'Reservations'!$L$4:$L$153,"Completed")-SUMIFS('Reservations'!$Q$4:$Q$153,'Reservations'!$G$4:$G$153,"&gt;="&amp;A20,'Reservations'!$G$4:$G$153,"&lt;"&amp;DATE(YEAR(A20),MONTH(A20)+1,1),'Reservations'!$B$4:$B$153,IF($E$4="All Properties","&lt;&gt;",$E$4),'Reservations'!$L$4:$L$153,"Confirmed")+SUMIFS('Reservations'!$Q$4:$Q$153,'Reservations'!$G$4:$G$153,"&gt;="&amp;A20,'Reservations'!$G$4:$G$153,"&lt;"&amp;DATE(YEAR(A20),MONTH(A20)+1,1),'Reservations'!$B$4:$B$153,IF($E$4="All Properties","&lt;&gt;",$E$4),'Reservations'!$L$4:$L$153,"Checked In")+SUMIFS('Reservations'!$Q$4:$Q$153,'Reservations'!$G$4:$G$153,"&gt;="&amp;A20,'Reservations'!$G$4:$G$153,"&lt;"&amp;DATE(YEAR(A20),MONTH(A20)+1,1),'Reservations'!$B$4:$B$153,IF($E$4="All Properties","&lt;&gt;",$E$4),'Reservations'!$L$4:$L$153,"Completed")-SUMIFS('Reservations'!$R$4:$R$153,'Reservations'!$G$4:$G$153,"&gt;="&amp;A20,'Reservations'!$G$4:$G$153,"&lt;"&amp;DATE(YEAR(A20),MONTH(A20)+1,1),'Reservations'!$B$4:$B$153,IF($E$4="All Properties","&lt;&gt;",$E$4),'Reservations'!$L$4:$L$153,"Confirmed")+SUMIFS('Reservations'!$R$4:$R$153,'Reservations'!$G$4:$G$153,"&gt;="&amp;A20,'Reservations'!$G$4:$G$153,"&lt;"&amp;DATE(YEAR(A20),MONTH(A20)+1,1),'Reservations'!$B$4:$B$153,IF($E$4="All Properties","&lt;&gt;",$E$4),'Reservations'!$L$4:$L$153,"Checked In")+SUMIFS('Reservations'!$R$4:$R$153,'Reservations'!$G$4:$G$153,"&gt;="&amp;A20,'Reservations'!$G$4:$G$153,"&lt;"&amp;DATE(YEAR(A20),MONTH(A20)+1,1),'Reservations'!$B$4:$B$153,IF($E$4="All Properties","&lt;&gt;",$E$4),'Reservations'!$L$4:$L$153,"Completed"))/F20,0)</f>
        <v/>
      </c>
    </row>
    <row r="21">
      <c r="A21" s="44">
        <f>IFERROR(DATE($B$4,2,1),"")</f>
        <v/>
      </c>
      <c r="B21" s="45">
        <f>IFERROR(SUMIFS('Reservations'!$V$4:$V$153,'Reservations'!$G$4:$G$153,"&gt;="&amp;A21,'Reservations'!$G$4:$G$153,"&lt;"&amp;DATE(YEAR(A21),MONTH(A21)+1,1),'Reservations'!$B$4:$B$153,IF($E$4="All Properties","&lt;&gt;",$E$4),'Reservations'!$L$4:$L$153,"Confirmed")+SUMIFS('Reservations'!$V$4:$V$153,'Reservations'!$G$4:$G$153,"&gt;="&amp;A21,'Reservations'!$G$4:$G$153,"&lt;"&amp;DATE(YEAR(A21),MONTH(A21)+1,1),'Reservations'!$B$4:$B$153,IF($E$4="All Properties","&lt;&gt;",$E$4),'Reservations'!$L$4:$L$153,"Checked In")+SUMIFS('Reservations'!$V$4:$V$153,'Reservations'!$G$4:$G$153,"&gt;="&amp;A21,'Reservations'!$G$4:$G$153,"&lt;"&amp;DATE(YEAR(A21),MONTH(A21)+1,1),'Reservations'!$B$4:$B$153,IF($E$4="All Properties","&lt;&gt;",$E$4),'Reservations'!$L$4:$L$153,"Completed"),0)</f>
        <v/>
      </c>
      <c r="C21" s="45">
        <f>IFERROR(SUMIFS('Reservations'!$AC$4:$AC$153,'Reservations'!$G$4:$G$153,"&gt;="&amp;A21,'Reservations'!$G$4:$G$153,"&lt;"&amp;DATE(YEAR(A21),MONTH(A21)+1,1),'Reservations'!$B$4:$B$153,IF($E$4="All Properties","&lt;&gt;",$E$4),'Reservations'!$L$4:$L$153,"Confirmed")+SUMIFS('Reservations'!$AC$4:$AC$153,'Reservations'!$G$4:$G$153,"&gt;="&amp;A21,'Reservations'!$G$4:$G$153,"&lt;"&amp;DATE(YEAR(A21),MONTH(A21)+1,1),'Reservations'!$B$4:$B$153,IF($E$4="All Properties","&lt;&gt;",$E$4),'Reservations'!$L$4:$L$153,"Checked In")+SUMIFS('Reservations'!$AC$4:$AC$153,'Reservations'!$G$4:$G$153,"&gt;="&amp;A21,'Reservations'!$G$4:$G$153,"&lt;"&amp;DATE(YEAR(A21),MONTH(A21)+1,1),'Reservations'!$B$4:$B$153,IF($E$4="All Properties","&lt;&gt;",$E$4),'Reservations'!$L$4:$L$153,"Completed"),0)</f>
        <v/>
      </c>
      <c r="D21" s="45">
        <f>IFERROR(SUMIFS('Expenses'!$R$4:$R$153,'Expenses'!$B$4:$B$153,"&gt;="&amp;A21,'Expenses'!$B$4:$B$153,"&lt;"&amp;DATE(YEAR(A21),MONTH(A21)+1,1),'Expenses'!$C$4:$C$153,IF($E$4="All Properties","&lt;&gt;",$E$4),'Expenses'!$F$4:$F$153,"Operating",'Expenses'!$T$4:$T$153,"Paid")+SUMIFS('Expenses'!$R$4:$R$153,'Expenses'!$B$4:$B$153,"&gt;="&amp;A21,'Expenses'!$B$4:$B$153,"&lt;"&amp;DATE(YEAR(A21),MONTH(A21)+1,1),'Expenses'!$C$4:$C$153,IF($E$4="All Properties","&lt;&gt;",$E$4),'Expenses'!$F$4:$F$153,"Operating",'Expenses'!$T$4:$T$153,"Pending"),0)</f>
        <v/>
      </c>
      <c r="E21" s="45">
        <f>IFERROR(C21-D21,0)</f>
        <v/>
      </c>
      <c r="F21" s="17">
        <f>IFERROR(SUMIFS('Reservations'!$H$4:$H$153,'Reservations'!$G$4:$G$153,"&gt;="&amp;A21,'Reservations'!$G$4:$G$153,"&lt;"&amp;DATE(YEAR(A21),MONTH(A21)+1,1),'Reservations'!$B$4:$B$153,IF($E$4="All Properties","&lt;&gt;",$E$4),'Reservations'!$L$4:$L$153,"Confirmed")+SUMIFS('Reservations'!$H$4:$H$153,'Reservations'!$G$4:$G$153,"&gt;="&amp;A21,'Reservations'!$G$4:$G$153,"&lt;"&amp;DATE(YEAR(A21),MONTH(A21)+1,1),'Reservations'!$B$4:$B$153,IF($E$4="All Properties","&lt;&gt;",$E$4),'Reservations'!$L$4:$L$153,"Checked In")+SUMIFS('Reservations'!$H$4:$H$153,'Reservations'!$G$4:$G$153,"&gt;="&amp;A21,'Reservations'!$G$4:$G$153,"&lt;"&amp;DATE(YEAR(A21),MONTH(A21)+1,1),'Reservations'!$B$4:$B$153,IF($E$4="All Properties","&lt;&gt;",$E$4),'Reservations'!$L$4:$L$153,"Completed"),0)</f>
        <v/>
      </c>
      <c r="G21" s="17">
        <f>IFERROR($F$12/12,0)</f>
        <v/>
      </c>
      <c r="H21" s="46">
        <f>IFERROR(F21/G21,0)</f>
        <v/>
      </c>
      <c r="I21" s="45">
        <f>IFERROR((SUMIFS('Reservations'!$M$4:$M$153,'Reservations'!$G$4:$G$153,"&gt;="&amp;A21,'Reservations'!$G$4:$G$153,"&lt;"&amp;DATE(YEAR(A21),MONTH(A21)+1,1),'Reservations'!$B$4:$B$153,IF($E$4="All Properties","&lt;&gt;",$E$4),'Reservations'!$L$4:$L$153,"Confirmed")+SUMIFS('Reservations'!$M$4:$M$153,'Reservations'!$G$4:$G$153,"&gt;="&amp;A21,'Reservations'!$G$4:$G$153,"&lt;"&amp;DATE(YEAR(A21),MONTH(A21)+1,1),'Reservations'!$B$4:$B$153,IF($E$4="All Properties","&lt;&gt;",$E$4),'Reservations'!$L$4:$L$153,"Checked In")+SUMIFS('Reservations'!$M$4:$M$153,'Reservations'!$G$4:$G$153,"&gt;="&amp;A21,'Reservations'!$G$4:$G$153,"&lt;"&amp;DATE(YEAR(A21),MONTH(A21)+1,1),'Reservations'!$B$4:$B$153,IF($E$4="All Properties","&lt;&gt;",$E$4),'Reservations'!$L$4:$L$153,"Completed")-SUMIFS('Reservations'!$Q$4:$Q$153,'Reservations'!$G$4:$G$153,"&gt;="&amp;A21,'Reservations'!$G$4:$G$153,"&lt;"&amp;DATE(YEAR(A21),MONTH(A21)+1,1),'Reservations'!$B$4:$B$153,IF($E$4="All Properties","&lt;&gt;",$E$4),'Reservations'!$L$4:$L$153,"Confirmed")+SUMIFS('Reservations'!$Q$4:$Q$153,'Reservations'!$G$4:$G$153,"&gt;="&amp;A21,'Reservations'!$G$4:$G$153,"&lt;"&amp;DATE(YEAR(A21),MONTH(A21)+1,1),'Reservations'!$B$4:$B$153,IF($E$4="All Properties","&lt;&gt;",$E$4),'Reservations'!$L$4:$L$153,"Checked In")+SUMIFS('Reservations'!$Q$4:$Q$153,'Reservations'!$G$4:$G$153,"&gt;="&amp;A21,'Reservations'!$G$4:$G$153,"&lt;"&amp;DATE(YEAR(A21),MONTH(A21)+1,1),'Reservations'!$B$4:$B$153,IF($E$4="All Properties","&lt;&gt;",$E$4),'Reservations'!$L$4:$L$153,"Completed")-SUMIFS('Reservations'!$R$4:$R$153,'Reservations'!$G$4:$G$153,"&gt;="&amp;A21,'Reservations'!$G$4:$G$153,"&lt;"&amp;DATE(YEAR(A21),MONTH(A21)+1,1),'Reservations'!$B$4:$B$153,IF($E$4="All Properties","&lt;&gt;",$E$4),'Reservations'!$L$4:$L$153,"Confirmed")+SUMIFS('Reservations'!$R$4:$R$153,'Reservations'!$G$4:$G$153,"&gt;="&amp;A21,'Reservations'!$G$4:$G$153,"&lt;"&amp;DATE(YEAR(A21),MONTH(A21)+1,1),'Reservations'!$B$4:$B$153,IF($E$4="All Properties","&lt;&gt;",$E$4),'Reservations'!$L$4:$L$153,"Checked In")+SUMIFS('Reservations'!$R$4:$R$153,'Reservations'!$G$4:$G$153,"&gt;="&amp;A21,'Reservations'!$G$4:$G$153,"&lt;"&amp;DATE(YEAR(A21),MONTH(A21)+1,1),'Reservations'!$B$4:$B$153,IF($E$4="All Properties","&lt;&gt;",$E$4),'Reservations'!$L$4:$L$153,"Completed"))/F21,0)</f>
        <v/>
      </c>
    </row>
    <row r="22">
      <c r="A22" s="41">
        <f>IFERROR(DATE($B$4,3,1),"")</f>
        <v/>
      </c>
      <c r="B22" s="42">
        <f>IFERROR(SUMIFS('Reservations'!$V$4:$V$153,'Reservations'!$G$4:$G$153,"&gt;="&amp;A22,'Reservations'!$G$4:$G$153,"&lt;"&amp;DATE(YEAR(A22),MONTH(A22)+1,1),'Reservations'!$B$4:$B$153,IF($E$4="All Properties","&lt;&gt;",$E$4),'Reservations'!$L$4:$L$153,"Confirmed")+SUMIFS('Reservations'!$V$4:$V$153,'Reservations'!$G$4:$G$153,"&gt;="&amp;A22,'Reservations'!$G$4:$G$153,"&lt;"&amp;DATE(YEAR(A22),MONTH(A22)+1,1),'Reservations'!$B$4:$B$153,IF($E$4="All Properties","&lt;&gt;",$E$4),'Reservations'!$L$4:$L$153,"Checked In")+SUMIFS('Reservations'!$V$4:$V$153,'Reservations'!$G$4:$G$153,"&gt;="&amp;A22,'Reservations'!$G$4:$G$153,"&lt;"&amp;DATE(YEAR(A22),MONTH(A22)+1,1),'Reservations'!$B$4:$B$153,IF($E$4="All Properties","&lt;&gt;",$E$4),'Reservations'!$L$4:$L$153,"Completed"),0)</f>
        <v/>
      </c>
      <c r="C22" s="42">
        <f>IFERROR(SUMIFS('Reservations'!$AC$4:$AC$153,'Reservations'!$G$4:$G$153,"&gt;="&amp;A22,'Reservations'!$G$4:$G$153,"&lt;"&amp;DATE(YEAR(A22),MONTH(A22)+1,1),'Reservations'!$B$4:$B$153,IF($E$4="All Properties","&lt;&gt;",$E$4),'Reservations'!$L$4:$L$153,"Confirmed")+SUMIFS('Reservations'!$AC$4:$AC$153,'Reservations'!$G$4:$G$153,"&gt;="&amp;A22,'Reservations'!$G$4:$G$153,"&lt;"&amp;DATE(YEAR(A22),MONTH(A22)+1,1),'Reservations'!$B$4:$B$153,IF($E$4="All Properties","&lt;&gt;",$E$4),'Reservations'!$L$4:$L$153,"Checked In")+SUMIFS('Reservations'!$AC$4:$AC$153,'Reservations'!$G$4:$G$153,"&gt;="&amp;A22,'Reservations'!$G$4:$G$153,"&lt;"&amp;DATE(YEAR(A22),MONTH(A22)+1,1),'Reservations'!$B$4:$B$153,IF($E$4="All Properties","&lt;&gt;",$E$4),'Reservations'!$L$4:$L$153,"Completed"),0)</f>
        <v/>
      </c>
      <c r="D22" s="42">
        <f>IFERROR(SUMIFS('Expenses'!$R$4:$R$153,'Expenses'!$B$4:$B$153,"&gt;="&amp;A22,'Expenses'!$B$4:$B$153,"&lt;"&amp;DATE(YEAR(A22),MONTH(A22)+1,1),'Expenses'!$C$4:$C$153,IF($E$4="All Properties","&lt;&gt;",$E$4),'Expenses'!$F$4:$F$153,"Operating",'Expenses'!$T$4:$T$153,"Paid")+SUMIFS('Expenses'!$R$4:$R$153,'Expenses'!$B$4:$B$153,"&gt;="&amp;A22,'Expenses'!$B$4:$B$153,"&lt;"&amp;DATE(YEAR(A22),MONTH(A22)+1,1),'Expenses'!$C$4:$C$153,IF($E$4="All Properties","&lt;&gt;",$E$4),'Expenses'!$F$4:$F$153,"Operating",'Expenses'!$T$4:$T$153,"Pending"),0)</f>
        <v/>
      </c>
      <c r="E22" s="42">
        <f>IFERROR(C22-D22,0)</f>
        <v/>
      </c>
      <c r="F22" s="13">
        <f>IFERROR(SUMIFS('Reservations'!$H$4:$H$153,'Reservations'!$G$4:$G$153,"&gt;="&amp;A22,'Reservations'!$G$4:$G$153,"&lt;"&amp;DATE(YEAR(A22),MONTH(A22)+1,1),'Reservations'!$B$4:$B$153,IF($E$4="All Properties","&lt;&gt;",$E$4),'Reservations'!$L$4:$L$153,"Confirmed")+SUMIFS('Reservations'!$H$4:$H$153,'Reservations'!$G$4:$G$153,"&gt;="&amp;A22,'Reservations'!$G$4:$G$153,"&lt;"&amp;DATE(YEAR(A22),MONTH(A22)+1,1),'Reservations'!$B$4:$B$153,IF($E$4="All Properties","&lt;&gt;",$E$4),'Reservations'!$L$4:$L$153,"Checked In")+SUMIFS('Reservations'!$H$4:$H$153,'Reservations'!$G$4:$G$153,"&gt;="&amp;A22,'Reservations'!$G$4:$G$153,"&lt;"&amp;DATE(YEAR(A22),MONTH(A22)+1,1),'Reservations'!$B$4:$B$153,IF($E$4="All Properties","&lt;&gt;",$E$4),'Reservations'!$L$4:$L$153,"Completed"),0)</f>
        <v/>
      </c>
      <c r="G22" s="13">
        <f>IFERROR($F$12/12,0)</f>
        <v/>
      </c>
      <c r="H22" s="43">
        <f>IFERROR(F22/G22,0)</f>
        <v/>
      </c>
      <c r="I22" s="42">
        <f>IFERROR((SUMIFS('Reservations'!$M$4:$M$153,'Reservations'!$G$4:$G$153,"&gt;="&amp;A22,'Reservations'!$G$4:$G$153,"&lt;"&amp;DATE(YEAR(A22),MONTH(A22)+1,1),'Reservations'!$B$4:$B$153,IF($E$4="All Properties","&lt;&gt;",$E$4),'Reservations'!$L$4:$L$153,"Confirmed")+SUMIFS('Reservations'!$M$4:$M$153,'Reservations'!$G$4:$G$153,"&gt;="&amp;A22,'Reservations'!$G$4:$G$153,"&lt;"&amp;DATE(YEAR(A22),MONTH(A22)+1,1),'Reservations'!$B$4:$B$153,IF($E$4="All Properties","&lt;&gt;",$E$4),'Reservations'!$L$4:$L$153,"Checked In")+SUMIFS('Reservations'!$M$4:$M$153,'Reservations'!$G$4:$G$153,"&gt;="&amp;A22,'Reservations'!$G$4:$G$153,"&lt;"&amp;DATE(YEAR(A22),MONTH(A22)+1,1),'Reservations'!$B$4:$B$153,IF($E$4="All Properties","&lt;&gt;",$E$4),'Reservations'!$L$4:$L$153,"Completed")-SUMIFS('Reservations'!$Q$4:$Q$153,'Reservations'!$G$4:$G$153,"&gt;="&amp;A22,'Reservations'!$G$4:$G$153,"&lt;"&amp;DATE(YEAR(A22),MONTH(A22)+1,1),'Reservations'!$B$4:$B$153,IF($E$4="All Properties","&lt;&gt;",$E$4),'Reservations'!$L$4:$L$153,"Confirmed")+SUMIFS('Reservations'!$Q$4:$Q$153,'Reservations'!$G$4:$G$153,"&gt;="&amp;A22,'Reservations'!$G$4:$G$153,"&lt;"&amp;DATE(YEAR(A22),MONTH(A22)+1,1),'Reservations'!$B$4:$B$153,IF($E$4="All Properties","&lt;&gt;",$E$4),'Reservations'!$L$4:$L$153,"Checked In")+SUMIFS('Reservations'!$Q$4:$Q$153,'Reservations'!$G$4:$G$153,"&gt;="&amp;A22,'Reservations'!$G$4:$G$153,"&lt;"&amp;DATE(YEAR(A22),MONTH(A22)+1,1),'Reservations'!$B$4:$B$153,IF($E$4="All Properties","&lt;&gt;",$E$4),'Reservations'!$L$4:$L$153,"Completed")-SUMIFS('Reservations'!$R$4:$R$153,'Reservations'!$G$4:$G$153,"&gt;="&amp;A22,'Reservations'!$G$4:$G$153,"&lt;"&amp;DATE(YEAR(A22),MONTH(A22)+1,1),'Reservations'!$B$4:$B$153,IF($E$4="All Properties","&lt;&gt;",$E$4),'Reservations'!$L$4:$L$153,"Confirmed")+SUMIFS('Reservations'!$R$4:$R$153,'Reservations'!$G$4:$G$153,"&gt;="&amp;A22,'Reservations'!$G$4:$G$153,"&lt;"&amp;DATE(YEAR(A22),MONTH(A22)+1,1),'Reservations'!$B$4:$B$153,IF($E$4="All Properties","&lt;&gt;",$E$4),'Reservations'!$L$4:$L$153,"Checked In")+SUMIFS('Reservations'!$R$4:$R$153,'Reservations'!$G$4:$G$153,"&gt;="&amp;A22,'Reservations'!$G$4:$G$153,"&lt;"&amp;DATE(YEAR(A22),MONTH(A22)+1,1),'Reservations'!$B$4:$B$153,IF($E$4="All Properties","&lt;&gt;",$E$4),'Reservations'!$L$4:$L$153,"Completed"))/F22,0)</f>
        <v/>
      </c>
    </row>
    <row r="23">
      <c r="A23" s="44">
        <f>IFERROR(DATE($B$4,4,1),"")</f>
        <v/>
      </c>
      <c r="B23" s="45">
        <f>IFERROR(SUMIFS('Reservations'!$V$4:$V$153,'Reservations'!$G$4:$G$153,"&gt;="&amp;A23,'Reservations'!$G$4:$G$153,"&lt;"&amp;DATE(YEAR(A23),MONTH(A23)+1,1),'Reservations'!$B$4:$B$153,IF($E$4="All Properties","&lt;&gt;",$E$4),'Reservations'!$L$4:$L$153,"Confirmed")+SUMIFS('Reservations'!$V$4:$V$153,'Reservations'!$G$4:$G$153,"&gt;="&amp;A23,'Reservations'!$G$4:$G$153,"&lt;"&amp;DATE(YEAR(A23),MONTH(A23)+1,1),'Reservations'!$B$4:$B$153,IF($E$4="All Properties","&lt;&gt;",$E$4),'Reservations'!$L$4:$L$153,"Checked In")+SUMIFS('Reservations'!$V$4:$V$153,'Reservations'!$G$4:$G$153,"&gt;="&amp;A23,'Reservations'!$G$4:$G$153,"&lt;"&amp;DATE(YEAR(A23),MONTH(A23)+1,1),'Reservations'!$B$4:$B$153,IF($E$4="All Properties","&lt;&gt;",$E$4),'Reservations'!$L$4:$L$153,"Completed"),0)</f>
        <v/>
      </c>
      <c r="C23" s="45">
        <f>IFERROR(SUMIFS('Reservations'!$AC$4:$AC$153,'Reservations'!$G$4:$G$153,"&gt;="&amp;A23,'Reservations'!$G$4:$G$153,"&lt;"&amp;DATE(YEAR(A23),MONTH(A23)+1,1),'Reservations'!$B$4:$B$153,IF($E$4="All Properties","&lt;&gt;",$E$4),'Reservations'!$L$4:$L$153,"Confirmed")+SUMIFS('Reservations'!$AC$4:$AC$153,'Reservations'!$G$4:$G$153,"&gt;="&amp;A23,'Reservations'!$G$4:$G$153,"&lt;"&amp;DATE(YEAR(A23),MONTH(A23)+1,1),'Reservations'!$B$4:$B$153,IF($E$4="All Properties","&lt;&gt;",$E$4),'Reservations'!$L$4:$L$153,"Checked In")+SUMIFS('Reservations'!$AC$4:$AC$153,'Reservations'!$G$4:$G$153,"&gt;="&amp;A23,'Reservations'!$G$4:$G$153,"&lt;"&amp;DATE(YEAR(A23),MONTH(A23)+1,1),'Reservations'!$B$4:$B$153,IF($E$4="All Properties","&lt;&gt;",$E$4),'Reservations'!$L$4:$L$153,"Completed"),0)</f>
        <v/>
      </c>
      <c r="D23" s="45">
        <f>IFERROR(SUMIFS('Expenses'!$R$4:$R$153,'Expenses'!$B$4:$B$153,"&gt;="&amp;A23,'Expenses'!$B$4:$B$153,"&lt;"&amp;DATE(YEAR(A23),MONTH(A23)+1,1),'Expenses'!$C$4:$C$153,IF($E$4="All Properties","&lt;&gt;",$E$4),'Expenses'!$F$4:$F$153,"Operating",'Expenses'!$T$4:$T$153,"Paid")+SUMIFS('Expenses'!$R$4:$R$153,'Expenses'!$B$4:$B$153,"&gt;="&amp;A23,'Expenses'!$B$4:$B$153,"&lt;"&amp;DATE(YEAR(A23),MONTH(A23)+1,1),'Expenses'!$C$4:$C$153,IF($E$4="All Properties","&lt;&gt;",$E$4),'Expenses'!$F$4:$F$153,"Operating",'Expenses'!$T$4:$T$153,"Pending"),0)</f>
        <v/>
      </c>
      <c r="E23" s="45">
        <f>IFERROR(C23-D23,0)</f>
        <v/>
      </c>
      <c r="F23" s="17">
        <f>IFERROR(SUMIFS('Reservations'!$H$4:$H$153,'Reservations'!$G$4:$G$153,"&gt;="&amp;A23,'Reservations'!$G$4:$G$153,"&lt;"&amp;DATE(YEAR(A23),MONTH(A23)+1,1),'Reservations'!$B$4:$B$153,IF($E$4="All Properties","&lt;&gt;",$E$4),'Reservations'!$L$4:$L$153,"Confirmed")+SUMIFS('Reservations'!$H$4:$H$153,'Reservations'!$G$4:$G$153,"&gt;="&amp;A23,'Reservations'!$G$4:$G$153,"&lt;"&amp;DATE(YEAR(A23),MONTH(A23)+1,1),'Reservations'!$B$4:$B$153,IF($E$4="All Properties","&lt;&gt;",$E$4),'Reservations'!$L$4:$L$153,"Checked In")+SUMIFS('Reservations'!$H$4:$H$153,'Reservations'!$G$4:$G$153,"&gt;="&amp;A23,'Reservations'!$G$4:$G$153,"&lt;"&amp;DATE(YEAR(A23),MONTH(A23)+1,1),'Reservations'!$B$4:$B$153,IF($E$4="All Properties","&lt;&gt;",$E$4),'Reservations'!$L$4:$L$153,"Completed"),0)</f>
        <v/>
      </c>
      <c r="G23" s="17">
        <f>IFERROR($F$12/12,0)</f>
        <v/>
      </c>
      <c r="H23" s="46">
        <f>IFERROR(F23/G23,0)</f>
        <v/>
      </c>
      <c r="I23" s="45">
        <f>IFERROR((SUMIFS('Reservations'!$M$4:$M$153,'Reservations'!$G$4:$G$153,"&gt;="&amp;A23,'Reservations'!$G$4:$G$153,"&lt;"&amp;DATE(YEAR(A23),MONTH(A23)+1,1),'Reservations'!$B$4:$B$153,IF($E$4="All Properties","&lt;&gt;",$E$4),'Reservations'!$L$4:$L$153,"Confirmed")+SUMIFS('Reservations'!$M$4:$M$153,'Reservations'!$G$4:$G$153,"&gt;="&amp;A23,'Reservations'!$G$4:$G$153,"&lt;"&amp;DATE(YEAR(A23),MONTH(A23)+1,1),'Reservations'!$B$4:$B$153,IF($E$4="All Properties","&lt;&gt;",$E$4),'Reservations'!$L$4:$L$153,"Checked In")+SUMIFS('Reservations'!$M$4:$M$153,'Reservations'!$G$4:$G$153,"&gt;="&amp;A23,'Reservations'!$G$4:$G$153,"&lt;"&amp;DATE(YEAR(A23),MONTH(A23)+1,1),'Reservations'!$B$4:$B$153,IF($E$4="All Properties","&lt;&gt;",$E$4),'Reservations'!$L$4:$L$153,"Completed")-SUMIFS('Reservations'!$Q$4:$Q$153,'Reservations'!$G$4:$G$153,"&gt;="&amp;A23,'Reservations'!$G$4:$G$153,"&lt;"&amp;DATE(YEAR(A23),MONTH(A23)+1,1),'Reservations'!$B$4:$B$153,IF($E$4="All Properties","&lt;&gt;",$E$4),'Reservations'!$L$4:$L$153,"Confirmed")+SUMIFS('Reservations'!$Q$4:$Q$153,'Reservations'!$G$4:$G$153,"&gt;="&amp;A23,'Reservations'!$G$4:$G$153,"&lt;"&amp;DATE(YEAR(A23),MONTH(A23)+1,1),'Reservations'!$B$4:$B$153,IF($E$4="All Properties","&lt;&gt;",$E$4),'Reservations'!$L$4:$L$153,"Checked In")+SUMIFS('Reservations'!$Q$4:$Q$153,'Reservations'!$G$4:$G$153,"&gt;="&amp;A23,'Reservations'!$G$4:$G$153,"&lt;"&amp;DATE(YEAR(A23),MONTH(A23)+1,1),'Reservations'!$B$4:$B$153,IF($E$4="All Properties","&lt;&gt;",$E$4),'Reservations'!$L$4:$L$153,"Completed")-SUMIFS('Reservations'!$R$4:$R$153,'Reservations'!$G$4:$G$153,"&gt;="&amp;A23,'Reservations'!$G$4:$G$153,"&lt;"&amp;DATE(YEAR(A23),MONTH(A23)+1,1),'Reservations'!$B$4:$B$153,IF($E$4="All Properties","&lt;&gt;",$E$4),'Reservations'!$L$4:$L$153,"Confirmed")+SUMIFS('Reservations'!$R$4:$R$153,'Reservations'!$G$4:$G$153,"&gt;="&amp;A23,'Reservations'!$G$4:$G$153,"&lt;"&amp;DATE(YEAR(A23),MONTH(A23)+1,1),'Reservations'!$B$4:$B$153,IF($E$4="All Properties","&lt;&gt;",$E$4),'Reservations'!$L$4:$L$153,"Checked In")+SUMIFS('Reservations'!$R$4:$R$153,'Reservations'!$G$4:$G$153,"&gt;="&amp;A23,'Reservations'!$G$4:$G$153,"&lt;"&amp;DATE(YEAR(A23),MONTH(A23)+1,1),'Reservations'!$B$4:$B$153,IF($E$4="All Properties","&lt;&gt;",$E$4),'Reservations'!$L$4:$L$153,"Completed"))/F23,0)</f>
        <v/>
      </c>
    </row>
    <row r="24">
      <c r="A24" s="41">
        <f>IFERROR(DATE($B$4,5,1),"")</f>
        <v/>
      </c>
      <c r="B24" s="42">
        <f>IFERROR(SUMIFS('Reservations'!$V$4:$V$153,'Reservations'!$G$4:$G$153,"&gt;="&amp;A24,'Reservations'!$G$4:$G$153,"&lt;"&amp;DATE(YEAR(A24),MONTH(A24)+1,1),'Reservations'!$B$4:$B$153,IF($E$4="All Properties","&lt;&gt;",$E$4),'Reservations'!$L$4:$L$153,"Confirmed")+SUMIFS('Reservations'!$V$4:$V$153,'Reservations'!$G$4:$G$153,"&gt;="&amp;A24,'Reservations'!$G$4:$G$153,"&lt;"&amp;DATE(YEAR(A24),MONTH(A24)+1,1),'Reservations'!$B$4:$B$153,IF($E$4="All Properties","&lt;&gt;",$E$4),'Reservations'!$L$4:$L$153,"Checked In")+SUMIFS('Reservations'!$V$4:$V$153,'Reservations'!$G$4:$G$153,"&gt;="&amp;A24,'Reservations'!$G$4:$G$153,"&lt;"&amp;DATE(YEAR(A24),MONTH(A24)+1,1),'Reservations'!$B$4:$B$153,IF($E$4="All Properties","&lt;&gt;",$E$4),'Reservations'!$L$4:$L$153,"Completed"),0)</f>
        <v/>
      </c>
      <c r="C24" s="42">
        <f>IFERROR(SUMIFS('Reservations'!$AC$4:$AC$153,'Reservations'!$G$4:$G$153,"&gt;="&amp;A24,'Reservations'!$G$4:$G$153,"&lt;"&amp;DATE(YEAR(A24),MONTH(A24)+1,1),'Reservations'!$B$4:$B$153,IF($E$4="All Properties","&lt;&gt;",$E$4),'Reservations'!$L$4:$L$153,"Confirmed")+SUMIFS('Reservations'!$AC$4:$AC$153,'Reservations'!$G$4:$G$153,"&gt;="&amp;A24,'Reservations'!$G$4:$G$153,"&lt;"&amp;DATE(YEAR(A24),MONTH(A24)+1,1),'Reservations'!$B$4:$B$153,IF($E$4="All Properties","&lt;&gt;",$E$4),'Reservations'!$L$4:$L$153,"Checked In")+SUMIFS('Reservations'!$AC$4:$AC$153,'Reservations'!$G$4:$G$153,"&gt;="&amp;A24,'Reservations'!$G$4:$G$153,"&lt;"&amp;DATE(YEAR(A24),MONTH(A24)+1,1),'Reservations'!$B$4:$B$153,IF($E$4="All Properties","&lt;&gt;",$E$4),'Reservations'!$L$4:$L$153,"Completed"),0)</f>
        <v/>
      </c>
      <c r="D24" s="42">
        <f>IFERROR(SUMIFS('Expenses'!$R$4:$R$153,'Expenses'!$B$4:$B$153,"&gt;="&amp;A24,'Expenses'!$B$4:$B$153,"&lt;"&amp;DATE(YEAR(A24),MONTH(A24)+1,1),'Expenses'!$C$4:$C$153,IF($E$4="All Properties","&lt;&gt;",$E$4),'Expenses'!$F$4:$F$153,"Operating",'Expenses'!$T$4:$T$153,"Paid")+SUMIFS('Expenses'!$R$4:$R$153,'Expenses'!$B$4:$B$153,"&gt;="&amp;A24,'Expenses'!$B$4:$B$153,"&lt;"&amp;DATE(YEAR(A24),MONTH(A24)+1,1),'Expenses'!$C$4:$C$153,IF($E$4="All Properties","&lt;&gt;",$E$4),'Expenses'!$F$4:$F$153,"Operating",'Expenses'!$T$4:$T$153,"Pending"),0)</f>
        <v/>
      </c>
      <c r="E24" s="42">
        <f>IFERROR(C24-D24,0)</f>
        <v/>
      </c>
      <c r="F24" s="13">
        <f>IFERROR(SUMIFS('Reservations'!$H$4:$H$153,'Reservations'!$G$4:$G$153,"&gt;="&amp;A24,'Reservations'!$G$4:$G$153,"&lt;"&amp;DATE(YEAR(A24),MONTH(A24)+1,1),'Reservations'!$B$4:$B$153,IF($E$4="All Properties","&lt;&gt;",$E$4),'Reservations'!$L$4:$L$153,"Confirmed")+SUMIFS('Reservations'!$H$4:$H$153,'Reservations'!$G$4:$G$153,"&gt;="&amp;A24,'Reservations'!$G$4:$G$153,"&lt;"&amp;DATE(YEAR(A24),MONTH(A24)+1,1),'Reservations'!$B$4:$B$153,IF($E$4="All Properties","&lt;&gt;",$E$4),'Reservations'!$L$4:$L$153,"Checked In")+SUMIFS('Reservations'!$H$4:$H$153,'Reservations'!$G$4:$G$153,"&gt;="&amp;A24,'Reservations'!$G$4:$G$153,"&lt;"&amp;DATE(YEAR(A24),MONTH(A24)+1,1),'Reservations'!$B$4:$B$153,IF($E$4="All Properties","&lt;&gt;",$E$4),'Reservations'!$L$4:$L$153,"Completed"),0)</f>
        <v/>
      </c>
      <c r="G24" s="13">
        <f>IFERROR($F$12/12,0)</f>
        <v/>
      </c>
      <c r="H24" s="43">
        <f>IFERROR(F24/G24,0)</f>
        <v/>
      </c>
      <c r="I24" s="42">
        <f>IFERROR((SUMIFS('Reservations'!$M$4:$M$153,'Reservations'!$G$4:$G$153,"&gt;="&amp;A24,'Reservations'!$G$4:$G$153,"&lt;"&amp;DATE(YEAR(A24),MONTH(A24)+1,1),'Reservations'!$B$4:$B$153,IF($E$4="All Properties","&lt;&gt;",$E$4),'Reservations'!$L$4:$L$153,"Confirmed")+SUMIFS('Reservations'!$M$4:$M$153,'Reservations'!$G$4:$G$153,"&gt;="&amp;A24,'Reservations'!$G$4:$G$153,"&lt;"&amp;DATE(YEAR(A24),MONTH(A24)+1,1),'Reservations'!$B$4:$B$153,IF($E$4="All Properties","&lt;&gt;",$E$4),'Reservations'!$L$4:$L$153,"Checked In")+SUMIFS('Reservations'!$M$4:$M$153,'Reservations'!$G$4:$G$153,"&gt;="&amp;A24,'Reservations'!$G$4:$G$153,"&lt;"&amp;DATE(YEAR(A24),MONTH(A24)+1,1),'Reservations'!$B$4:$B$153,IF($E$4="All Properties","&lt;&gt;",$E$4),'Reservations'!$L$4:$L$153,"Completed")-SUMIFS('Reservations'!$Q$4:$Q$153,'Reservations'!$G$4:$G$153,"&gt;="&amp;A24,'Reservations'!$G$4:$G$153,"&lt;"&amp;DATE(YEAR(A24),MONTH(A24)+1,1),'Reservations'!$B$4:$B$153,IF($E$4="All Properties","&lt;&gt;",$E$4),'Reservations'!$L$4:$L$153,"Confirmed")+SUMIFS('Reservations'!$Q$4:$Q$153,'Reservations'!$G$4:$G$153,"&gt;="&amp;A24,'Reservations'!$G$4:$G$153,"&lt;"&amp;DATE(YEAR(A24),MONTH(A24)+1,1),'Reservations'!$B$4:$B$153,IF($E$4="All Properties","&lt;&gt;",$E$4),'Reservations'!$L$4:$L$153,"Checked In")+SUMIFS('Reservations'!$Q$4:$Q$153,'Reservations'!$G$4:$G$153,"&gt;="&amp;A24,'Reservations'!$G$4:$G$153,"&lt;"&amp;DATE(YEAR(A24),MONTH(A24)+1,1),'Reservations'!$B$4:$B$153,IF($E$4="All Properties","&lt;&gt;",$E$4),'Reservations'!$L$4:$L$153,"Completed")-SUMIFS('Reservations'!$R$4:$R$153,'Reservations'!$G$4:$G$153,"&gt;="&amp;A24,'Reservations'!$G$4:$G$153,"&lt;"&amp;DATE(YEAR(A24),MONTH(A24)+1,1),'Reservations'!$B$4:$B$153,IF($E$4="All Properties","&lt;&gt;",$E$4),'Reservations'!$L$4:$L$153,"Confirmed")+SUMIFS('Reservations'!$R$4:$R$153,'Reservations'!$G$4:$G$153,"&gt;="&amp;A24,'Reservations'!$G$4:$G$153,"&lt;"&amp;DATE(YEAR(A24),MONTH(A24)+1,1),'Reservations'!$B$4:$B$153,IF($E$4="All Properties","&lt;&gt;",$E$4),'Reservations'!$L$4:$L$153,"Checked In")+SUMIFS('Reservations'!$R$4:$R$153,'Reservations'!$G$4:$G$153,"&gt;="&amp;A24,'Reservations'!$G$4:$G$153,"&lt;"&amp;DATE(YEAR(A24),MONTH(A24)+1,1),'Reservations'!$B$4:$B$153,IF($E$4="All Properties","&lt;&gt;",$E$4),'Reservations'!$L$4:$L$153,"Completed"))/F24,0)</f>
        <v/>
      </c>
    </row>
    <row r="25">
      <c r="A25" s="44">
        <f>IFERROR(DATE($B$4,6,1),"")</f>
        <v/>
      </c>
      <c r="B25" s="45">
        <f>IFERROR(SUMIFS('Reservations'!$V$4:$V$153,'Reservations'!$G$4:$G$153,"&gt;="&amp;A25,'Reservations'!$G$4:$G$153,"&lt;"&amp;DATE(YEAR(A25),MONTH(A25)+1,1),'Reservations'!$B$4:$B$153,IF($E$4="All Properties","&lt;&gt;",$E$4),'Reservations'!$L$4:$L$153,"Confirmed")+SUMIFS('Reservations'!$V$4:$V$153,'Reservations'!$G$4:$G$153,"&gt;="&amp;A25,'Reservations'!$G$4:$G$153,"&lt;"&amp;DATE(YEAR(A25),MONTH(A25)+1,1),'Reservations'!$B$4:$B$153,IF($E$4="All Properties","&lt;&gt;",$E$4),'Reservations'!$L$4:$L$153,"Checked In")+SUMIFS('Reservations'!$V$4:$V$153,'Reservations'!$G$4:$G$153,"&gt;="&amp;A25,'Reservations'!$G$4:$G$153,"&lt;"&amp;DATE(YEAR(A25),MONTH(A25)+1,1),'Reservations'!$B$4:$B$153,IF($E$4="All Properties","&lt;&gt;",$E$4),'Reservations'!$L$4:$L$153,"Completed"),0)</f>
        <v/>
      </c>
      <c r="C25" s="45">
        <f>IFERROR(SUMIFS('Reservations'!$AC$4:$AC$153,'Reservations'!$G$4:$G$153,"&gt;="&amp;A25,'Reservations'!$G$4:$G$153,"&lt;"&amp;DATE(YEAR(A25),MONTH(A25)+1,1),'Reservations'!$B$4:$B$153,IF($E$4="All Properties","&lt;&gt;",$E$4),'Reservations'!$L$4:$L$153,"Confirmed")+SUMIFS('Reservations'!$AC$4:$AC$153,'Reservations'!$G$4:$G$153,"&gt;="&amp;A25,'Reservations'!$G$4:$G$153,"&lt;"&amp;DATE(YEAR(A25),MONTH(A25)+1,1),'Reservations'!$B$4:$B$153,IF($E$4="All Properties","&lt;&gt;",$E$4),'Reservations'!$L$4:$L$153,"Checked In")+SUMIFS('Reservations'!$AC$4:$AC$153,'Reservations'!$G$4:$G$153,"&gt;="&amp;A25,'Reservations'!$G$4:$G$153,"&lt;"&amp;DATE(YEAR(A25),MONTH(A25)+1,1),'Reservations'!$B$4:$B$153,IF($E$4="All Properties","&lt;&gt;",$E$4),'Reservations'!$L$4:$L$153,"Completed"),0)</f>
        <v/>
      </c>
      <c r="D25" s="45">
        <f>IFERROR(SUMIFS('Expenses'!$R$4:$R$153,'Expenses'!$B$4:$B$153,"&gt;="&amp;A25,'Expenses'!$B$4:$B$153,"&lt;"&amp;DATE(YEAR(A25),MONTH(A25)+1,1),'Expenses'!$C$4:$C$153,IF($E$4="All Properties","&lt;&gt;",$E$4),'Expenses'!$F$4:$F$153,"Operating",'Expenses'!$T$4:$T$153,"Paid")+SUMIFS('Expenses'!$R$4:$R$153,'Expenses'!$B$4:$B$153,"&gt;="&amp;A25,'Expenses'!$B$4:$B$153,"&lt;"&amp;DATE(YEAR(A25),MONTH(A25)+1,1),'Expenses'!$C$4:$C$153,IF($E$4="All Properties","&lt;&gt;",$E$4),'Expenses'!$F$4:$F$153,"Operating",'Expenses'!$T$4:$T$153,"Pending"),0)</f>
        <v/>
      </c>
      <c r="E25" s="45">
        <f>IFERROR(C25-D25,0)</f>
        <v/>
      </c>
      <c r="F25" s="17">
        <f>IFERROR(SUMIFS('Reservations'!$H$4:$H$153,'Reservations'!$G$4:$G$153,"&gt;="&amp;A25,'Reservations'!$G$4:$G$153,"&lt;"&amp;DATE(YEAR(A25),MONTH(A25)+1,1),'Reservations'!$B$4:$B$153,IF($E$4="All Properties","&lt;&gt;",$E$4),'Reservations'!$L$4:$L$153,"Confirmed")+SUMIFS('Reservations'!$H$4:$H$153,'Reservations'!$G$4:$G$153,"&gt;="&amp;A25,'Reservations'!$G$4:$G$153,"&lt;"&amp;DATE(YEAR(A25),MONTH(A25)+1,1),'Reservations'!$B$4:$B$153,IF($E$4="All Properties","&lt;&gt;",$E$4),'Reservations'!$L$4:$L$153,"Checked In")+SUMIFS('Reservations'!$H$4:$H$153,'Reservations'!$G$4:$G$153,"&gt;="&amp;A25,'Reservations'!$G$4:$G$153,"&lt;"&amp;DATE(YEAR(A25),MONTH(A25)+1,1),'Reservations'!$B$4:$B$153,IF($E$4="All Properties","&lt;&gt;",$E$4),'Reservations'!$L$4:$L$153,"Completed"),0)</f>
        <v/>
      </c>
      <c r="G25" s="17">
        <f>IFERROR($F$12/12,0)</f>
        <v/>
      </c>
      <c r="H25" s="46">
        <f>IFERROR(F25/G25,0)</f>
        <v/>
      </c>
      <c r="I25" s="45">
        <f>IFERROR((SUMIFS('Reservations'!$M$4:$M$153,'Reservations'!$G$4:$G$153,"&gt;="&amp;A25,'Reservations'!$G$4:$G$153,"&lt;"&amp;DATE(YEAR(A25),MONTH(A25)+1,1),'Reservations'!$B$4:$B$153,IF($E$4="All Properties","&lt;&gt;",$E$4),'Reservations'!$L$4:$L$153,"Confirmed")+SUMIFS('Reservations'!$M$4:$M$153,'Reservations'!$G$4:$G$153,"&gt;="&amp;A25,'Reservations'!$G$4:$G$153,"&lt;"&amp;DATE(YEAR(A25),MONTH(A25)+1,1),'Reservations'!$B$4:$B$153,IF($E$4="All Properties","&lt;&gt;",$E$4),'Reservations'!$L$4:$L$153,"Checked In")+SUMIFS('Reservations'!$M$4:$M$153,'Reservations'!$G$4:$G$153,"&gt;="&amp;A25,'Reservations'!$G$4:$G$153,"&lt;"&amp;DATE(YEAR(A25),MONTH(A25)+1,1),'Reservations'!$B$4:$B$153,IF($E$4="All Properties","&lt;&gt;",$E$4),'Reservations'!$L$4:$L$153,"Completed")-SUMIFS('Reservations'!$Q$4:$Q$153,'Reservations'!$G$4:$G$153,"&gt;="&amp;A25,'Reservations'!$G$4:$G$153,"&lt;"&amp;DATE(YEAR(A25),MONTH(A25)+1,1),'Reservations'!$B$4:$B$153,IF($E$4="All Properties","&lt;&gt;",$E$4),'Reservations'!$L$4:$L$153,"Confirmed")+SUMIFS('Reservations'!$Q$4:$Q$153,'Reservations'!$G$4:$G$153,"&gt;="&amp;A25,'Reservations'!$G$4:$G$153,"&lt;"&amp;DATE(YEAR(A25),MONTH(A25)+1,1),'Reservations'!$B$4:$B$153,IF($E$4="All Properties","&lt;&gt;",$E$4),'Reservations'!$L$4:$L$153,"Checked In")+SUMIFS('Reservations'!$Q$4:$Q$153,'Reservations'!$G$4:$G$153,"&gt;="&amp;A25,'Reservations'!$G$4:$G$153,"&lt;"&amp;DATE(YEAR(A25),MONTH(A25)+1,1),'Reservations'!$B$4:$B$153,IF($E$4="All Properties","&lt;&gt;",$E$4),'Reservations'!$L$4:$L$153,"Completed")-SUMIFS('Reservations'!$R$4:$R$153,'Reservations'!$G$4:$G$153,"&gt;="&amp;A25,'Reservations'!$G$4:$G$153,"&lt;"&amp;DATE(YEAR(A25),MONTH(A25)+1,1),'Reservations'!$B$4:$B$153,IF($E$4="All Properties","&lt;&gt;",$E$4),'Reservations'!$L$4:$L$153,"Confirmed")+SUMIFS('Reservations'!$R$4:$R$153,'Reservations'!$G$4:$G$153,"&gt;="&amp;A25,'Reservations'!$G$4:$G$153,"&lt;"&amp;DATE(YEAR(A25),MONTH(A25)+1,1),'Reservations'!$B$4:$B$153,IF($E$4="All Properties","&lt;&gt;",$E$4),'Reservations'!$L$4:$L$153,"Checked In")+SUMIFS('Reservations'!$R$4:$R$153,'Reservations'!$G$4:$G$153,"&gt;="&amp;A25,'Reservations'!$G$4:$G$153,"&lt;"&amp;DATE(YEAR(A25),MONTH(A25)+1,1),'Reservations'!$B$4:$B$153,IF($E$4="All Properties","&lt;&gt;",$E$4),'Reservations'!$L$4:$L$153,"Completed"))/F25,0)</f>
        <v/>
      </c>
    </row>
    <row r="26">
      <c r="A26" s="41">
        <f>IFERROR(DATE($B$4,7,1),"")</f>
        <v/>
      </c>
      <c r="B26" s="42">
        <f>IFERROR(SUMIFS('Reservations'!$V$4:$V$153,'Reservations'!$G$4:$G$153,"&gt;="&amp;A26,'Reservations'!$G$4:$G$153,"&lt;"&amp;DATE(YEAR(A26),MONTH(A26)+1,1),'Reservations'!$B$4:$B$153,IF($E$4="All Properties","&lt;&gt;",$E$4),'Reservations'!$L$4:$L$153,"Confirmed")+SUMIFS('Reservations'!$V$4:$V$153,'Reservations'!$G$4:$G$153,"&gt;="&amp;A26,'Reservations'!$G$4:$G$153,"&lt;"&amp;DATE(YEAR(A26),MONTH(A26)+1,1),'Reservations'!$B$4:$B$153,IF($E$4="All Properties","&lt;&gt;",$E$4),'Reservations'!$L$4:$L$153,"Checked In")+SUMIFS('Reservations'!$V$4:$V$153,'Reservations'!$G$4:$G$153,"&gt;="&amp;A26,'Reservations'!$G$4:$G$153,"&lt;"&amp;DATE(YEAR(A26),MONTH(A26)+1,1),'Reservations'!$B$4:$B$153,IF($E$4="All Properties","&lt;&gt;",$E$4),'Reservations'!$L$4:$L$153,"Completed"),0)</f>
        <v/>
      </c>
      <c r="C26" s="42">
        <f>IFERROR(SUMIFS('Reservations'!$AC$4:$AC$153,'Reservations'!$G$4:$G$153,"&gt;="&amp;A26,'Reservations'!$G$4:$G$153,"&lt;"&amp;DATE(YEAR(A26),MONTH(A26)+1,1),'Reservations'!$B$4:$B$153,IF($E$4="All Properties","&lt;&gt;",$E$4),'Reservations'!$L$4:$L$153,"Confirmed")+SUMIFS('Reservations'!$AC$4:$AC$153,'Reservations'!$G$4:$G$153,"&gt;="&amp;A26,'Reservations'!$G$4:$G$153,"&lt;"&amp;DATE(YEAR(A26),MONTH(A26)+1,1),'Reservations'!$B$4:$B$153,IF($E$4="All Properties","&lt;&gt;",$E$4),'Reservations'!$L$4:$L$153,"Checked In")+SUMIFS('Reservations'!$AC$4:$AC$153,'Reservations'!$G$4:$G$153,"&gt;="&amp;A26,'Reservations'!$G$4:$G$153,"&lt;"&amp;DATE(YEAR(A26),MONTH(A26)+1,1),'Reservations'!$B$4:$B$153,IF($E$4="All Properties","&lt;&gt;",$E$4),'Reservations'!$L$4:$L$153,"Completed"),0)</f>
        <v/>
      </c>
      <c r="D26" s="42">
        <f>IFERROR(SUMIFS('Expenses'!$R$4:$R$153,'Expenses'!$B$4:$B$153,"&gt;="&amp;A26,'Expenses'!$B$4:$B$153,"&lt;"&amp;DATE(YEAR(A26),MONTH(A26)+1,1),'Expenses'!$C$4:$C$153,IF($E$4="All Properties","&lt;&gt;",$E$4),'Expenses'!$F$4:$F$153,"Operating",'Expenses'!$T$4:$T$153,"Paid")+SUMIFS('Expenses'!$R$4:$R$153,'Expenses'!$B$4:$B$153,"&gt;="&amp;A26,'Expenses'!$B$4:$B$153,"&lt;"&amp;DATE(YEAR(A26),MONTH(A26)+1,1),'Expenses'!$C$4:$C$153,IF($E$4="All Properties","&lt;&gt;",$E$4),'Expenses'!$F$4:$F$153,"Operating",'Expenses'!$T$4:$T$153,"Pending"),0)</f>
        <v/>
      </c>
      <c r="E26" s="42">
        <f>IFERROR(C26-D26,0)</f>
        <v/>
      </c>
      <c r="F26" s="13">
        <f>IFERROR(SUMIFS('Reservations'!$H$4:$H$153,'Reservations'!$G$4:$G$153,"&gt;="&amp;A26,'Reservations'!$G$4:$G$153,"&lt;"&amp;DATE(YEAR(A26),MONTH(A26)+1,1),'Reservations'!$B$4:$B$153,IF($E$4="All Properties","&lt;&gt;",$E$4),'Reservations'!$L$4:$L$153,"Confirmed")+SUMIFS('Reservations'!$H$4:$H$153,'Reservations'!$G$4:$G$153,"&gt;="&amp;A26,'Reservations'!$G$4:$G$153,"&lt;"&amp;DATE(YEAR(A26),MONTH(A26)+1,1),'Reservations'!$B$4:$B$153,IF($E$4="All Properties","&lt;&gt;",$E$4),'Reservations'!$L$4:$L$153,"Checked In")+SUMIFS('Reservations'!$H$4:$H$153,'Reservations'!$G$4:$G$153,"&gt;="&amp;A26,'Reservations'!$G$4:$G$153,"&lt;"&amp;DATE(YEAR(A26),MONTH(A26)+1,1),'Reservations'!$B$4:$B$153,IF($E$4="All Properties","&lt;&gt;",$E$4),'Reservations'!$L$4:$L$153,"Completed"),0)</f>
        <v/>
      </c>
      <c r="G26" s="13">
        <f>IFERROR($F$12/12,0)</f>
        <v/>
      </c>
      <c r="H26" s="43">
        <f>IFERROR(F26/G26,0)</f>
        <v/>
      </c>
      <c r="I26" s="42">
        <f>IFERROR((SUMIFS('Reservations'!$M$4:$M$153,'Reservations'!$G$4:$G$153,"&gt;="&amp;A26,'Reservations'!$G$4:$G$153,"&lt;"&amp;DATE(YEAR(A26),MONTH(A26)+1,1),'Reservations'!$B$4:$B$153,IF($E$4="All Properties","&lt;&gt;",$E$4),'Reservations'!$L$4:$L$153,"Confirmed")+SUMIFS('Reservations'!$M$4:$M$153,'Reservations'!$G$4:$G$153,"&gt;="&amp;A26,'Reservations'!$G$4:$G$153,"&lt;"&amp;DATE(YEAR(A26),MONTH(A26)+1,1),'Reservations'!$B$4:$B$153,IF($E$4="All Properties","&lt;&gt;",$E$4),'Reservations'!$L$4:$L$153,"Checked In")+SUMIFS('Reservations'!$M$4:$M$153,'Reservations'!$G$4:$G$153,"&gt;="&amp;A26,'Reservations'!$G$4:$G$153,"&lt;"&amp;DATE(YEAR(A26),MONTH(A26)+1,1),'Reservations'!$B$4:$B$153,IF($E$4="All Properties","&lt;&gt;",$E$4),'Reservations'!$L$4:$L$153,"Completed")-SUMIFS('Reservations'!$Q$4:$Q$153,'Reservations'!$G$4:$G$153,"&gt;="&amp;A26,'Reservations'!$G$4:$G$153,"&lt;"&amp;DATE(YEAR(A26),MONTH(A26)+1,1),'Reservations'!$B$4:$B$153,IF($E$4="All Properties","&lt;&gt;",$E$4),'Reservations'!$L$4:$L$153,"Confirmed")+SUMIFS('Reservations'!$Q$4:$Q$153,'Reservations'!$G$4:$G$153,"&gt;="&amp;A26,'Reservations'!$G$4:$G$153,"&lt;"&amp;DATE(YEAR(A26),MONTH(A26)+1,1),'Reservations'!$B$4:$B$153,IF($E$4="All Properties","&lt;&gt;",$E$4),'Reservations'!$L$4:$L$153,"Checked In")+SUMIFS('Reservations'!$Q$4:$Q$153,'Reservations'!$G$4:$G$153,"&gt;="&amp;A26,'Reservations'!$G$4:$G$153,"&lt;"&amp;DATE(YEAR(A26),MONTH(A26)+1,1),'Reservations'!$B$4:$B$153,IF($E$4="All Properties","&lt;&gt;",$E$4),'Reservations'!$L$4:$L$153,"Completed")-SUMIFS('Reservations'!$R$4:$R$153,'Reservations'!$G$4:$G$153,"&gt;="&amp;A26,'Reservations'!$G$4:$G$153,"&lt;"&amp;DATE(YEAR(A26),MONTH(A26)+1,1),'Reservations'!$B$4:$B$153,IF($E$4="All Properties","&lt;&gt;",$E$4),'Reservations'!$L$4:$L$153,"Confirmed")+SUMIFS('Reservations'!$R$4:$R$153,'Reservations'!$G$4:$G$153,"&gt;="&amp;A26,'Reservations'!$G$4:$G$153,"&lt;"&amp;DATE(YEAR(A26),MONTH(A26)+1,1),'Reservations'!$B$4:$B$153,IF($E$4="All Properties","&lt;&gt;",$E$4),'Reservations'!$L$4:$L$153,"Checked In")+SUMIFS('Reservations'!$R$4:$R$153,'Reservations'!$G$4:$G$153,"&gt;="&amp;A26,'Reservations'!$G$4:$G$153,"&lt;"&amp;DATE(YEAR(A26),MONTH(A26)+1,1),'Reservations'!$B$4:$B$153,IF($E$4="All Properties","&lt;&gt;",$E$4),'Reservations'!$L$4:$L$153,"Completed"))/F26,0)</f>
        <v/>
      </c>
    </row>
    <row r="27">
      <c r="A27" s="44">
        <f>IFERROR(DATE($B$4,8,1),"")</f>
        <v/>
      </c>
      <c r="B27" s="45">
        <f>IFERROR(SUMIFS('Reservations'!$V$4:$V$153,'Reservations'!$G$4:$G$153,"&gt;="&amp;A27,'Reservations'!$G$4:$G$153,"&lt;"&amp;DATE(YEAR(A27),MONTH(A27)+1,1),'Reservations'!$B$4:$B$153,IF($E$4="All Properties","&lt;&gt;",$E$4),'Reservations'!$L$4:$L$153,"Confirmed")+SUMIFS('Reservations'!$V$4:$V$153,'Reservations'!$G$4:$G$153,"&gt;="&amp;A27,'Reservations'!$G$4:$G$153,"&lt;"&amp;DATE(YEAR(A27),MONTH(A27)+1,1),'Reservations'!$B$4:$B$153,IF($E$4="All Properties","&lt;&gt;",$E$4),'Reservations'!$L$4:$L$153,"Checked In")+SUMIFS('Reservations'!$V$4:$V$153,'Reservations'!$G$4:$G$153,"&gt;="&amp;A27,'Reservations'!$G$4:$G$153,"&lt;"&amp;DATE(YEAR(A27),MONTH(A27)+1,1),'Reservations'!$B$4:$B$153,IF($E$4="All Properties","&lt;&gt;",$E$4),'Reservations'!$L$4:$L$153,"Completed"),0)</f>
        <v/>
      </c>
      <c r="C27" s="45">
        <f>IFERROR(SUMIFS('Reservations'!$AC$4:$AC$153,'Reservations'!$G$4:$G$153,"&gt;="&amp;A27,'Reservations'!$G$4:$G$153,"&lt;"&amp;DATE(YEAR(A27),MONTH(A27)+1,1),'Reservations'!$B$4:$B$153,IF($E$4="All Properties","&lt;&gt;",$E$4),'Reservations'!$L$4:$L$153,"Confirmed")+SUMIFS('Reservations'!$AC$4:$AC$153,'Reservations'!$G$4:$G$153,"&gt;="&amp;A27,'Reservations'!$G$4:$G$153,"&lt;"&amp;DATE(YEAR(A27),MONTH(A27)+1,1),'Reservations'!$B$4:$B$153,IF($E$4="All Properties","&lt;&gt;",$E$4),'Reservations'!$L$4:$L$153,"Checked In")+SUMIFS('Reservations'!$AC$4:$AC$153,'Reservations'!$G$4:$G$153,"&gt;="&amp;A27,'Reservations'!$G$4:$G$153,"&lt;"&amp;DATE(YEAR(A27),MONTH(A27)+1,1),'Reservations'!$B$4:$B$153,IF($E$4="All Properties","&lt;&gt;",$E$4),'Reservations'!$L$4:$L$153,"Completed"),0)</f>
        <v/>
      </c>
      <c r="D27" s="45">
        <f>IFERROR(SUMIFS('Expenses'!$R$4:$R$153,'Expenses'!$B$4:$B$153,"&gt;="&amp;A27,'Expenses'!$B$4:$B$153,"&lt;"&amp;DATE(YEAR(A27),MONTH(A27)+1,1),'Expenses'!$C$4:$C$153,IF($E$4="All Properties","&lt;&gt;",$E$4),'Expenses'!$F$4:$F$153,"Operating",'Expenses'!$T$4:$T$153,"Paid")+SUMIFS('Expenses'!$R$4:$R$153,'Expenses'!$B$4:$B$153,"&gt;="&amp;A27,'Expenses'!$B$4:$B$153,"&lt;"&amp;DATE(YEAR(A27),MONTH(A27)+1,1),'Expenses'!$C$4:$C$153,IF($E$4="All Properties","&lt;&gt;",$E$4),'Expenses'!$F$4:$F$153,"Operating",'Expenses'!$T$4:$T$153,"Pending"),0)</f>
        <v/>
      </c>
      <c r="E27" s="45">
        <f>IFERROR(C27-D27,0)</f>
        <v/>
      </c>
      <c r="F27" s="17">
        <f>IFERROR(SUMIFS('Reservations'!$H$4:$H$153,'Reservations'!$G$4:$G$153,"&gt;="&amp;A27,'Reservations'!$G$4:$G$153,"&lt;"&amp;DATE(YEAR(A27),MONTH(A27)+1,1),'Reservations'!$B$4:$B$153,IF($E$4="All Properties","&lt;&gt;",$E$4),'Reservations'!$L$4:$L$153,"Confirmed")+SUMIFS('Reservations'!$H$4:$H$153,'Reservations'!$G$4:$G$153,"&gt;="&amp;A27,'Reservations'!$G$4:$G$153,"&lt;"&amp;DATE(YEAR(A27),MONTH(A27)+1,1),'Reservations'!$B$4:$B$153,IF($E$4="All Properties","&lt;&gt;",$E$4),'Reservations'!$L$4:$L$153,"Checked In")+SUMIFS('Reservations'!$H$4:$H$153,'Reservations'!$G$4:$G$153,"&gt;="&amp;A27,'Reservations'!$G$4:$G$153,"&lt;"&amp;DATE(YEAR(A27),MONTH(A27)+1,1),'Reservations'!$B$4:$B$153,IF($E$4="All Properties","&lt;&gt;",$E$4),'Reservations'!$L$4:$L$153,"Completed"),0)</f>
        <v/>
      </c>
      <c r="G27" s="17">
        <f>IFERROR($F$12/12,0)</f>
        <v/>
      </c>
      <c r="H27" s="46">
        <f>IFERROR(F27/G27,0)</f>
        <v/>
      </c>
      <c r="I27" s="45">
        <f>IFERROR((SUMIFS('Reservations'!$M$4:$M$153,'Reservations'!$G$4:$G$153,"&gt;="&amp;A27,'Reservations'!$G$4:$G$153,"&lt;"&amp;DATE(YEAR(A27),MONTH(A27)+1,1),'Reservations'!$B$4:$B$153,IF($E$4="All Properties","&lt;&gt;",$E$4),'Reservations'!$L$4:$L$153,"Confirmed")+SUMIFS('Reservations'!$M$4:$M$153,'Reservations'!$G$4:$G$153,"&gt;="&amp;A27,'Reservations'!$G$4:$G$153,"&lt;"&amp;DATE(YEAR(A27),MONTH(A27)+1,1),'Reservations'!$B$4:$B$153,IF($E$4="All Properties","&lt;&gt;",$E$4),'Reservations'!$L$4:$L$153,"Checked In")+SUMIFS('Reservations'!$M$4:$M$153,'Reservations'!$G$4:$G$153,"&gt;="&amp;A27,'Reservations'!$G$4:$G$153,"&lt;"&amp;DATE(YEAR(A27),MONTH(A27)+1,1),'Reservations'!$B$4:$B$153,IF($E$4="All Properties","&lt;&gt;",$E$4),'Reservations'!$L$4:$L$153,"Completed")-SUMIFS('Reservations'!$Q$4:$Q$153,'Reservations'!$G$4:$G$153,"&gt;="&amp;A27,'Reservations'!$G$4:$G$153,"&lt;"&amp;DATE(YEAR(A27),MONTH(A27)+1,1),'Reservations'!$B$4:$B$153,IF($E$4="All Properties","&lt;&gt;",$E$4),'Reservations'!$L$4:$L$153,"Confirmed")+SUMIFS('Reservations'!$Q$4:$Q$153,'Reservations'!$G$4:$G$153,"&gt;="&amp;A27,'Reservations'!$G$4:$G$153,"&lt;"&amp;DATE(YEAR(A27),MONTH(A27)+1,1),'Reservations'!$B$4:$B$153,IF($E$4="All Properties","&lt;&gt;",$E$4),'Reservations'!$L$4:$L$153,"Checked In")+SUMIFS('Reservations'!$Q$4:$Q$153,'Reservations'!$G$4:$G$153,"&gt;="&amp;A27,'Reservations'!$G$4:$G$153,"&lt;"&amp;DATE(YEAR(A27),MONTH(A27)+1,1),'Reservations'!$B$4:$B$153,IF($E$4="All Properties","&lt;&gt;",$E$4),'Reservations'!$L$4:$L$153,"Completed")-SUMIFS('Reservations'!$R$4:$R$153,'Reservations'!$G$4:$G$153,"&gt;="&amp;A27,'Reservations'!$G$4:$G$153,"&lt;"&amp;DATE(YEAR(A27),MONTH(A27)+1,1),'Reservations'!$B$4:$B$153,IF($E$4="All Properties","&lt;&gt;",$E$4),'Reservations'!$L$4:$L$153,"Confirmed")+SUMIFS('Reservations'!$R$4:$R$153,'Reservations'!$G$4:$G$153,"&gt;="&amp;A27,'Reservations'!$G$4:$G$153,"&lt;"&amp;DATE(YEAR(A27),MONTH(A27)+1,1),'Reservations'!$B$4:$B$153,IF($E$4="All Properties","&lt;&gt;",$E$4),'Reservations'!$L$4:$L$153,"Checked In")+SUMIFS('Reservations'!$R$4:$R$153,'Reservations'!$G$4:$G$153,"&gt;="&amp;A27,'Reservations'!$G$4:$G$153,"&lt;"&amp;DATE(YEAR(A27),MONTH(A27)+1,1),'Reservations'!$B$4:$B$153,IF($E$4="All Properties","&lt;&gt;",$E$4),'Reservations'!$L$4:$L$153,"Completed"))/F27,0)</f>
        <v/>
      </c>
    </row>
    <row r="28">
      <c r="A28" s="41">
        <f>IFERROR(DATE($B$4,9,1),"")</f>
        <v/>
      </c>
      <c r="B28" s="42">
        <f>IFERROR(SUMIFS('Reservations'!$V$4:$V$153,'Reservations'!$G$4:$G$153,"&gt;="&amp;A28,'Reservations'!$G$4:$G$153,"&lt;"&amp;DATE(YEAR(A28),MONTH(A28)+1,1),'Reservations'!$B$4:$B$153,IF($E$4="All Properties","&lt;&gt;",$E$4),'Reservations'!$L$4:$L$153,"Confirmed")+SUMIFS('Reservations'!$V$4:$V$153,'Reservations'!$G$4:$G$153,"&gt;="&amp;A28,'Reservations'!$G$4:$G$153,"&lt;"&amp;DATE(YEAR(A28),MONTH(A28)+1,1),'Reservations'!$B$4:$B$153,IF($E$4="All Properties","&lt;&gt;",$E$4),'Reservations'!$L$4:$L$153,"Checked In")+SUMIFS('Reservations'!$V$4:$V$153,'Reservations'!$G$4:$G$153,"&gt;="&amp;A28,'Reservations'!$G$4:$G$153,"&lt;"&amp;DATE(YEAR(A28),MONTH(A28)+1,1),'Reservations'!$B$4:$B$153,IF($E$4="All Properties","&lt;&gt;",$E$4),'Reservations'!$L$4:$L$153,"Completed"),0)</f>
        <v/>
      </c>
      <c r="C28" s="42">
        <f>IFERROR(SUMIFS('Reservations'!$AC$4:$AC$153,'Reservations'!$G$4:$G$153,"&gt;="&amp;A28,'Reservations'!$G$4:$G$153,"&lt;"&amp;DATE(YEAR(A28),MONTH(A28)+1,1),'Reservations'!$B$4:$B$153,IF($E$4="All Properties","&lt;&gt;",$E$4),'Reservations'!$L$4:$L$153,"Confirmed")+SUMIFS('Reservations'!$AC$4:$AC$153,'Reservations'!$G$4:$G$153,"&gt;="&amp;A28,'Reservations'!$G$4:$G$153,"&lt;"&amp;DATE(YEAR(A28),MONTH(A28)+1,1),'Reservations'!$B$4:$B$153,IF($E$4="All Properties","&lt;&gt;",$E$4),'Reservations'!$L$4:$L$153,"Checked In")+SUMIFS('Reservations'!$AC$4:$AC$153,'Reservations'!$G$4:$G$153,"&gt;="&amp;A28,'Reservations'!$G$4:$G$153,"&lt;"&amp;DATE(YEAR(A28),MONTH(A28)+1,1),'Reservations'!$B$4:$B$153,IF($E$4="All Properties","&lt;&gt;",$E$4),'Reservations'!$L$4:$L$153,"Completed"),0)</f>
        <v/>
      </c>
      <c r="D28" s="42">
        <f>IFERROR(SUMIFS('Expenses'!$R$4:$R$153,'Expenses'!$B$4:$B$153,"&gt;="&amp;A28,'Expenses'!$B$4:$B$153,"&lt;"&amp;DATE(YEAR(A28),MONTH(A28)+1,1),'Expenses'!$C$4:$C$153,IF($E$4="All Properties","&lt;&gt;",$E$4),'Expenses'!$F$4:$F$153,"Operating",'Expenses'!$T$4:$T$153,"Paid")+SUMIFS('Expenses'!$R$4:$R$153,'Expenses'!$B$4:$B$153,"&gt;="&amp;A28,'Expenses'!$B$4:$B$153,"&lt;"&amp;DATE(YEAR(A28),MONTH(A28)+1,1),'Expenses'!$C$4:$C$153,IF($E$4="All Properties","&lt;&gt;",$E$4),'Expenses'!$F$4:$F$153,"Operating",'Expenses'!$T$4:$T$153,"Pending"),0)</f>
        <v/>
      </c>
      <c r="E28" s="42">
        <f>IFERROR(C28-D28,0)</f>
        <v/>
      </c>
      <c r="F28" s="13">
        <f>IFERROR(SUMIFS('Reservations'!$H$4:$H$153,'Reservations'!$G$4:$G$153,"&gt;="&amp;A28,'Reservations'!$G$4:$G$153,"&lt;"&amp;DATE(YEAR(A28),MONTH(A28)+1,1),'Reservations'!$B$4:$B$153,IF($E$4="All Properties","&lt;&gt;",$E$4),'Reservations'!$L$4:$L$153,"Confirmed")+SUMIFS('Reservations'!$H$4:$H$153,'Reservations'!$G$4:$G$153,"&gt;="&amp;A28,'Reservations'!$G$4:$G$153,"&lt;"&amp;DATE(YEAR(A28),MONTH(A28)+1,1),'Reservations'!$B$4:$B$153,IF($E$4="All Properties","&lt;&gt;",$E$4),'Reservations'!$L$4:$L$153,"Checked In")+SUMIFS('Reservations'!$H$4:$H$153,'Reservations'!$G$4:$G$153,"&gt;="&amp;A28,'Reservations'!$G$4:$G$153,"&lt;"&amp;DATE(YEAR(A28),MONTH(A28)+1,1),'Reservations'!$B$4:$B$153,IF($E$4="All Properties","&lt;&gt;",$E$4),'Reservations'!$L$4:$L$153,"Completed"),0)</f>
        <v/>
      </c>
      <c r="G28" s="13">
        <f>IFERROR($F$12/12,0)</f>
        <v/>
      </c>
      <c r="H28" s="43">
        <f>IFERROR(F28/G28,0)</f>
        <v/>
      </c>
      <c r="I28" s="42">
        <f>IFERROR((SUMIFS('Reservations'!$M$4:$M$153,'Reservations'!$G$4:$G$153,"&gt;="&amp;A28,'Reservations'!$G$4:$G$153,"&lt;"&amp;DATE(YEAR(A28),MONTH(A28)+1,1),'Reservations'!$B$4:$B$153,IF($E$4="All Properties","&lt;&gt;",$E$4),'Reservations'!$L$4:$L$153,"Confirmed")+SUMIFS('Reservations'!$M$4:$M$153,'Reservations'!$G$4:$G$153,"&gt;="&amp;A28,'Reservations'!$G$4:$G$153,"&lt;"&amp;DATE(YEAR(A28),MONTH(A28)+1,1),'Reservations'!$B$4:$B$153,IF($E$4="All Properties","&lt;&gt;",$E$4),'Reservations'!$L$4:$L$153,"Checked In")+SUMIFS('Reservations'!$M$4:$M$153,'Reservations'!$G$4:$G$153,"&gt;="&amp;A28,'Reservations'!$G$4:$G$153,"&lt;"&amp;DATE(YEAR(A28),MONTH(A28)+1,1),'Reservations'!$B$4:$B$153,IF($E$4="All Properties","&lt;&gt;",$E$4),'Reservations'!$L$4:$L$153,"Completed")-SUMIFS('Reservations'!$Q$4:$Q$153,'Reservations'!$G$4:$G$153,"&gt;="&amp;A28,'Reservations'!$G$4:$G$153,"&lt;"&amp;DATE(YEAR(A28),MONTH(A28)+1,1),'Reservations'!$B$4:$B$153,IF($E$4="All Properties","&lt;&gt;",$E$4),'Reservations'!$L$4:$L$153,"Confirmed")+SUMIFS('Reservations'!$Q$4:$Q$153,'Reservations'!$G$4:$G$153,"&gt;="&amp;A28,'Reservations'!$G$4:$G$153,"&lt;"&amp;DATE(YEAR(A28),MONTH(A28)+1,1),'Reservations'!$B$4:$B$153,IF($E$4="All Properties","&lt;&gt;",$E$4),'Reservations'!$L$4:$L$153,"Checked In")+SUMIFS('Reservations'!$Q$4:$Q$153,'Reservations'!$G$4:$G$153,"&gt;="&amp;A28,'Reservations'!$G$4:$G$153,"&lt;"&amp;DATE(YEAR(A28),MONTH(A28)+1,1),'Reservations'!$B$4:$B$153,IF($E$4="All Properties","&lt;&gt;",$E$4),'Reservations'!$L$4:$L$153,"Completed")-SUMIFS('Reservations'!$R$4:$R$153,'Reservations'!$G$4:$G$153,"&gt;="&amp;A28,'Reservations'!$G$4:$G$153,"&lt;"&amp;DATE(YEAR(A28),MONTH(A28)+1,1),'Reservations'!$B$4:$B$153,IF($E$4="All Properties","&lt;&gt;",$E$4),'Reservations'!$L$4:$L$153,"Confirmed")+SUMIFS('Reservations'!$R$4:$R$153,'Reservations'!$G$4:$G$153,"&gt;="&amp;A28,'Reservations'!$G$4:$G$153,"&lt;"&amp;DATE(YEAR(A28),MONTH(A28)+1,1),'Reservations'!$B$4:$B$153,IF($E$4="All Properties","&lt;&gt;",$E$4),'Reservations'!$L$4:$L$153,"Checked In")+SUMIFS('Reservations'!$R$4:$R$153,'Reservations'!$G$4:$G$153,"&gt;="&amp;A28,'Reservations'!$G$4:$G$153,"&lt;"&amp;DATE(YEAR(A28),MONTH(A28)+1,1),'Reservations'!$B$4:$B$153,IF($E$4="All Properties","&lt;&gt;",$E$4),'Reservations'!$L$4:$L$153,"Completed"))/F28,0)</f>
        <v/>
      </c>
    </row>
    <row r="29">
      <c r="A29" s="44">
        <f>IFERROR(DATE($B$4,10,1),"")</f>
        <v/>
      </c>
      <c r="B29" s="45">
        <f>IFERROR(SUMIFS('Reservations'!$V$4:$V$153,'Reservations'!$G$4:$G$153,"&gt;="&amp;A29,'Reservations'!$G$4:$G$153,"&lt;"&amp;DATE(YEAR(A29),MONTH(A29)+1,1),'Reservations'!$B$4:$B$153,IF($E$4="All Properties","&lt;&gt;",$E$4),'Reservations'!$L$4:$L$153,"Confirmed")+SUMIFS('Reservations'!$V$4:$V$153,'Reservations'!$G$4:$G$153,"&gt;="&amp;A29,'Reservations'!$G$4:$G$153,"&lt;"&amp;DATE(YEAR(A29),MONTH(A29)+1,1),'Reservations'!$B$4:$B$153,IF($E$4="All Properties","&lt;&gt;",$E$4),'Reservations'!$L$4:$L$153,"Checked In")+SUMIFS('Reservations'!$V$4:$V$153,'Reservations'!$G$4:$G$153,"&gt;="&amp;A29,'Reservations'!$G$4:$G$153,"&lt;"&amp;DATE(YEAR(A29),MONTH(A29)+1,1),'Reservations'!$B$4:$B$153,IF($E$4="All Properties","&lt;&gt;",$E$4),'Reservations'!$L$4:$L$153,"Completed"),0)</f>
        <v/>
      </c>
      <c r="C29" s="45">
        <f>IFERROR(SUMIFS('Reservations'!$AC$4:$AC$153,'Reservations'!$G$4:$G$153,"&gt;="&amp;A29,'Reservations'!$G$4:$G$153,"&lt;"&amp;DATE(YEAR(A29),MONTH(A29)+1,1),'Reservations'!$B$4:$B$153,IF($E$4="All Properties","&lt;&gt;",$E$4),'Reservations'!$L$4:$L$153,"Confirmed")+SUMIFS('Reservations'!$AC$4:$AC$153,'Reservations'!$G$4:$G$153,"&gt;="&amp;A29,'Reservations'!$G$4:$G$153,"&lt;"&amp;DATE(YEAR(A29),MONTH(A29)+1,1),'Reservations'!$B$4:$B$153,IF($E$4="All Properties","&lt;&gt;",$E$4),'Reservations'!$L$4:$L$153,"Checked In")+SUMIFS('Reservations'!$AC$4:$AC$153,'Reservations'!$G$4:$G$153,"&gt;="&amp;A29,'Reservations'!$G$4:$G$153,"&lt;"&amp;DATE(YEAR(A29),MONTH(A29)+1,1),'Reservations'!$B$4:$B$153,IF($E$4="All Properties","&lt;&gt;",$E$4),'Reservations'!$L$4:$L$153,"Completed"),0)</f>
        <v/>
      </c>
      <c r="D29" s="45">
        <f>IFERROR(SUMIFS('Expenses'!$R$4:$R$153,'Expenses'!$B$4:$B$153,"&gt;="&amp;A29,'Expenses'!$B$4:$B$153,"&lt;"&amp;DATE(YEAR(A29),MONTH(A29)+1,1),'Expenses'!$C$4:$C$153,IF($E$4="All Properties","&lt;&gt;",$E$4),'Expenses'!$F$4:$F$153,"Operating",'Expenses'!$T$4:$T$153,"Paid")+SUMIFS('Expenses'!$R$4:$R$153,'Expenses'!$B$4:$B$153,"&gt;="&amp;A29,'Expenses'!$B$4:$B$153,"&lt;"&amp;DATE(YEAR(A29),MONTH(A29)+1,1),'Expenses'!$C$4:$C$153,IF($E$4="All Properties","&lt;&gt;",$E$4),'Expenses'!$F$4:$F$153,"Operating",'Expenses'!$T$4:$T$153,"Pending"),0)</f>
        <v/>
      </c>
      <c r="E29" s="45">
        <f>IFERROR(C29-D29,0)</f>
        <v/>
      </c>
      <c r="F29" s="17">
        <f>IFERROR(SUMIFS('Reservations'!$H$4:$H$153,'Reservations'!$G$4:$G$153,"&gt;="&amp;A29,'Reservations'!$G$4:$G$153,"&lt;"&amp;DATE(YEAR(A29),MONTH(A29)+1,1),'Reservations'!$B$4:$B$153,IF($E$4="All Properties","&lt;&gt;",$E$4),'Reservations'!$L$4:$L$153,"Confirmed")+SUMIFS('Reservations'!$H$4:$H$153,'Reservations'!$G$4:$G$153,"&gt;="&amp;A29,'Reservations'!$G$4:$G$153,"&lt;"&amp;DATE(YEAR(A29),MONTH(A29)+1,1),'Reservations'!$B$4:$B$153,IF($E$4="All Properties","&lt;&gt;",$E$4),'Reservations'!$L$4:$L$153,"Checked In")+SUMIFS('Reservations'!$H$4:$H$153,'Reservations'!$G$4:$G$153,"&gt;="&amp;A29,'Reservations'!$G$4:$G$153,"&lt;"&amp;DATE(YEAR(A29),MONTH(A29)+1,1),'Reservations'!$B$4:$B$153,IF($E$4="All Properties","&lt;&gt;",$E$4),'Reservations'!$L$4:$L$153,"Completed"),0)</f>
        <v/>
      </c>
      <c r="G29" s="17">
        <f>IFERROR($F$12/12,0)</f>
        <v/>
      </c>
      <c r="H29" s="46">
        <f>IFERROR(F29/G29,0)</f>
        <v/>
      </c>
      <c r="I29" s="45">
        <f>IFERROR((SUMIFS('Reservations'!$M$4:$M$153,'Reservations'!$G$4:$G$153,"&gt;="&amp;A29,'Reservations'!$G$4:$G$153,"&lt;"&amp;DATE(YEAR(A29),MONTH(A29)+1,1),'Reservations'!$B$4:$B$153,IF($E$4="All Properties","&lt;&gt;",$E$4),'Reservations'!$L$4:$L$153,"Confirmed")+SUMIFS('Reservations'!$M$4:$M$153,'Reservations'!$G$4:$G$153,"&gt;="&amp;A29,'Reservations'!$G$4:$G$153,"&lt;"&amp;DATE(YEAR(A29),MONTH(A29)+1,1),'Reservations'!$B$4:$B$153,IF($E$4="All Properties","&lt;&gt;",$E$4),'Reservations'!$L$4:$L$153,"Checked In")+SUMIFS('Reservations'!$M$4:$M$153,'Reservations'!$G$4:$G$153,"&gt;="&amp;A29,'Reservations'!$G$4:$G$153,"&lt;"&amp;DATE(YEAR(A29),MONTH(A29)+1,1),'Reservations'!$B$4:$B$153,IF($E$4="All Properties","&lt;&gt;",$E$4),'Reservations'!$L$4:$L$153,"Completed")-SUMIFS('Reservations'!$Q$4:$Q$153,'Reservations'!$G$4:$G$153,"&gt;="&amp;A29,'Reservations'!$G$4:$G$153,"&lt;"&amp;DATE(YEAR(A29),MONTH(A29)+1,1),'Reservations'!$B$4:$B$153,IF($E$4="All Properties","&lt;&gt;",$E$4),'Reservations'!$L$4:$L$153,"Confirmed")+SUMIFS('Reservations'!$Q$4:$Q$153,'Reservations'!$G$4:$G$153,"&gt;="&amp;A29,'Reservations'!$G$4:$G$153,"&lt;"&amp;DATE(YEAR(A29),MONTH(A29)+1,1),'Reservations'!$B$4:$B$153,IF($E$4="All Properties","&lt;&gt;",$E$4),'Reservations'!$L$4:$L$153,"Checked In")+SUMIFS('Reservations'!$Q$4:$Q$153,'Reservations'!$G$4:$G$153,"&gt;="&amp;A29,'Reservations'!$G$4:$G$153,"&lt;"&amp;DATE(YEAR(A29),MONTH(A29)+1,1),'Reservations'!$B$4:$B$153,IF($E$4="All Properties","&lt;&gt;",$E$4),'Reservations'!$L$4:$L$153,"Completed")-SUMIFS('Reservations'!$R$4:$R$153,'Reservations'!$G$4:$G$153,"&gt;="&amp;A29,'Reservations'!$G$4:$G$153,"&lt;"&amp;DATE(YEAR(A29),MONTH(A29)+1,1),'Reservations'!$B$4:$B$153,IF($E$4="All Properties","&lt;&gt;",$E$4),'Reservations'!$L$4:$L$153,"Confirmed")+SUMIFS('Reservations'!$R$4:$R$153,'Reservations'!$G$4:$G$153,"&gt;="&amp;A29,'Reservations'!$G$4:$G$153,"&lt;"&amp;DATE(YEAR(A29),MONTH(A29)+1,1),'Reservations'!$B$4:$B$153,IF($E$4="All Properties","&lt;&gt;",$E$4),'Reservations'!$L$4:$L$153,"Checked In")+SUMIFS('Reservations'!$R$4:$R$153,'Reservations'!$G$4:$G$153,"&gt;="&amp;A29,'Reservations'!$G$4:$G$153,"&lt;"&amp;DATE(YEAR(A29),MONTH(A29)+1,1),'Reservations'!$B$4:$B$153,IF($E$4="All Properties","&lt;&gt;",$E$4),'Reservations'!$L$4:$L$153,"Completed"))/F29,0)</f>
        <v/>
      </c>
    </row>
    <row r="30">
      <c r="A30" s="41">
        <f>IFERROR(DATE($B$4,11,1),"")</f>
        <v/>
      </c>
      <c r="B30" s="42">
        <f>IFERROR(SUMIFS('Reservations'!$V$4:$V$153,'Reservations'!$G$4:$G$153,"&gt;="&amp;A30,'Reservations'!$G$4:$G$153,"&lt;"&amp;DATE(YEAR(A30),MONTH(A30)+1,1),'Reservations'!$B$4:$B$153,IF($E$4="All Properties","&lt;&gt;",$E$4),'Reservations'!$L$4:$L$153,"Confirmed")+SUMIFS('Reservations'!$V$4:$V$153,'Reservations'!$G$4:$G$153,"&gt;="&amp;A30,'Reservations'!$G$4:$G$153,"&lt;"&amp;DATE(YEAR(A30),MONTH(A30)+1,1),'Reservations'!$B$4:$B$153,IF($E$4="All Properties","&lt;&gt;",$E$4),'Reservations'!$L$4:$L$153,"Checked In")+SUMIFS('Reservations'!$V$4:$V$153,'Reservations'!$G$4:$G$153,"&gt;="&amp;A30,'Reservations'!$G$4:$G$153,"&lt;"&amp;DATE(YEAR(A30),MONTH(A30)+1,1),'Reservations'!$B$4:$B$153,IF($E$4="All Properties","&lt;&gt;",$E$4),'Reservations'!$L$4:$L$153,"Completed"),0)</f>
        <v/>
      </c>
      <c r="C30" s="42">
        <f>IFERROR(SUMIFS('Reservations'!$AC$4:$AC$153,'Reservations'!$G$4:$G$153,"&gt;="&amp;A30,'Reservations'!$G$4:$G$153,"&lt;"&amp;DATE(YEAR(A30),MONTH(A30)+1,1),'Reservations'!$B$4:$B$153,IF($E$4="All Properties","&lt;&gt;",$E$4),'Reservations'!$L$4:$L$153,"Confirmed")+SUMIFS('Reservations'!$AC$4:$AC$153,'Reservations'!$G$4:$G$153,"&gt;="&amp;A30,'Reservations'!$G$4:$G$153,"&lt;"&amp;DATE(YEAR(A30),MONTH(A30)+1,1),'Reservations'!$B$4:$B$153,IF($E$4="All Properties","&lt;&gt;",$E$4),'Reservations'!$L$4:$L$153,"Checked In")+SUMIFS('Reservations'!$AC$4:$AC$153,'Reservations'!$G$4:$G$153,"&gt;="&amp;A30,'Reservations'!$G$4:$G$153,"&lt;"&amp;DATE(YEAR(A30),MONTH(A30)+1,1),'Reservations'!$B$4:$B$153,IF($E$4="All Properties","&lt;&gt;",$E$4),'Reservations'!$L$4:$L$153,"Completed"),0)</f>
        <v/>
      </c>
      <c r="D30" s="42">
        <f>IFERROR(SUMIFS('Expenses'!$R$4:$R$153,'Expenses'!$B$4:$B$153,"&gt;="&amp;A30,'Expenses'!$B$4:$B$153,"&lt;"&amp;DATE(YEAR(A30),MONTH(A30)+1,1),'Expenses'!$C$4:$C$153,IF($E$4="All Properties","&lt;&gt;",$E$4),'Expenses'!$F$4:$F$153,"Operating",'Expenses'!$T$4:$T$153,"Paid")+SUMIFS('Expenses'!$R$4:$R$153,'Expenses'!$B$4:$B$153,"&gt;="&amp;A30,'Expenses'!$B$4:$B$153,"&lt;"&amp;DATE(YEAR(A30),MONTH(A30)+1,1),'Expenses'!$C$4:$C$153,IF($E$4="All Properties","&lt;&gt;",$E$4),'Expenses'!$F$4:$F$153,"Operating",'Expenses'!$T$4:$T$153,"Pending"),0)</f>
        <v/>
      </c>
      <c r="E30" s="42">
        <f>IFERROR(C30-D30,0)</f>
        <v/>
      </c>
      <c r="F30" s="13">
        <f>IFERROR(SUMIFS('Reservations'!$H$4:$H$153,'Reservations'!$G$4:$G$153,"&gt;="&amp;A30,'Reservations'!$G$4:$G$153,"&lt;"&amp;DATE(YEAR(A30),MONTH(A30)+1,1),'Reservations'!$B$4:$B$153,IF($E$4="All Properties","&lt;&gt;",$E$4),'Reservations'!$L$4:$L$153,"Confirmed")+SUMIFS('Reservations'!$H$4:$H$153,'Reservations'!$G$4:$G$153,"&gt;="&amp;A30,'Reservations'!$G$4:$G$153,"&lt;"&amp;DATE(YEAR(A30),MONTH(A30)+1,1),'Reservations'!$B$4:$B$153,IF($E$4="All Properties","&lt;&gt;",$E$4),'Reservations'!$L$4:$L$153,"Checked In")+SUMIFS('Reservations'!$H$4:$H$153,'Reservations'!$G$4:$G$153,"&gt;="&amp;A30,'Reservations'!$G$4:$G$153,"&lt;"&amp;DATE(YEAR(A30),MONTH(A30)+1,1),'Reservations'!$B$4:$B$153,IF($E$4="All Properties","&lt;&gt;",$E$4),'Reservations'!$L$4:$L$153,"Completed"),0)</f>
        <v/>
      </c>
      <c r="G30" s="13">
        <f>IFERROR($F$12/12,0)</f>
        <v/>
      </c>
      <c r="H30" s="43">
        <f>IFERROR(F30/G30,0)</f>
        <v/>
      </c>
      <c r="I30" s="42">
        <f>IFERROR((SUMIFS('Reservations'!$M$4:$M$153,'Reservations'!$G$4:$G$153,"&gt;="&amp;A30,'Reservations'!$G$4:$G$153,"&lt;"&amp;DATE(YEAR(A30),MONTH(A30)+1,1),'Reservations'!$B$4:$B$153,IF($E$4="All Properties","&lt;&gt;",$E$4),'Reservations'!$L$4:$L$153,"Confirmed")+SUMIFS('Reservations'!$M$4:$M$153,'Reservations'!$G$4:$G$153,"&gt;="&amp;A30,'Reservations'!$G$4:$G$153,"&lt;"&amp;DATE(YEAR(A30),MONTH(A30)+1,1),'Reservations'!$B$4:$B$153,IF($E$4="All Properties","&lt;&gt;",$E$4),'Reservations'!$L$4:$L$153,"Checked In")+SUMIFS('Reservations'!$M$4:$M$153,'Reservations'!$G$4:$G$153,"&gt;="&amp;A30,'Reservations'!$G$4:$G$153,"&lt;"&amp;DATE(YEAR(A30),MONTH(A30)+1,1),'Reservations'!$B$4:$B$153,IF($E$4="All Properties","&lt;&gt;",$E$4),'Reservations'!$L$4:$L$153,"Completed")-SUMIFS('Reservations'!$Q$4:$Q$153,'Reservations'!$G$4:$G$153,"&gt;="&amp;A30,'Reservations'!$G$4:$G$153,"&lt;"&amp;DATE(YEAR(A30),MONTH(A30)+1,1),'Reservations'!$B$4:$B$153,IF($E$4="All Properties","&lt;&gt;",$E$4),'Reservations'!$L$4:$L$153,"Confirmed")+SUMIFS('Reservations'!$Q$4:$Q$153,'Reservations'!$G$4:$G$153,"&gt;="&amp;A30,'Reservations'!$G$4:$G$153,"&lt;"&amp;DATE(YEAR(A30),MONTH(A30)+1,1),'Reservations'!$B$4:$B$153,IF($E$4="All Properties","&lt;&gt;",$E$4),'Reservations'!$L$4:$L$153,"Checked In")+SUMIFS('Reservations'!$Q$4:$Q$153,'Reservations'!$G$4:$G$153,"&gt;="&amp;A30,'Reservations'!$G$4:$G$153,"&lt;"&amp;DATE(YEAR(A30),MONTH(A30)+1,1),'Reservations'!$B$4:$B$153,IF($E$4="All Properties","&lt;&gt;",$E$4),'Reservations'!$L$4:$L$153,"Completed")-SUMIFS('Reservations'!$R$4:$R$153,'Reservations'!$G$4:$G$153,"&gt;="&amp;A30,'Reservations'!$G$4:$G$153,"&lt;"&amp;DATE(YEAR(A30),MONTH(A30)+1,1),'Reservations'!$B$4:$B$153,IF($E$4="All Properties","&lt;&gt;",$E$4),'Reservations'!$L$4:$L$153,"Confirmed")+SUMIFS('Reservations'!$R$4:$R$153,'Reservations'!$G$4:$G$153,"&gt;="&amp;A30,'Reservations'!$G$4:$G$153,"&lt;"&amp;DATE(YEAR(A30),MONTH(A30)+1,1),'Reservations'!$B$4:$B$153,IF($E$4="All Properties","&lt;&gt;",$E$4),'Reservations'!$L$4:$L$153,"Checked In")+SUMIFS('Reservations'!$R$4:$R$153,'Reservations'!$G$4:$G$153,"&gt;="&amp;A30,'Reservations'!$G$4:$G$153,"&lt;"&amp;DATE(YEAR(A30),MONTH(A30)+1,1),'Reservations'!$B$4:$B$153,IF($E$4="All Properties","&lt;&gt;",$E$4),'Reservations'!$L$4:$L$153,"Completed"))/F30,0)</f>
        <v/>
      </c>
    </row>
    <row r="31">
      <c r="A31" s="44">
        <f>IFERROR(DATE($B$4,12,1),"")</f>
        <v/>
      </c>
      <c r="B31" s="45">
        <f>IFERROR(SUMIFS('Reservations'!$V$4:$V$153,'Reservations'!$G$4:$G$153,"&gt;="&amp;A31,'Reservations'!$G$4:$G$153,"&lt;"&amp;DATE(YEAR(A31),MONTH(A31)+1,1),'Reservations'!$B$4:$B$153,IF($E$4="All Properties","&lt;&gt;",$E$4),'Reservations'!$L$4:$L$153,"Confirmed")+SUMIFS('Reservations'!$V$4:$V$153,'Reservations'!$G$4:$G$153,"&gt;="&amp;A31,'Reservations'!$G$4:$G$153,"&lt;"&amp;DATE(YEAR(A31),MONTH(A31)+1,1),'Reservations'!$B$4:$B$153,IF($E$4="All Properties","&lt;&gt;",$E$4),'Reservations'!$L$4:$L$153,"Checked In")+SUMIFS('Reservations'!$V$4:$V$153,'Reservations'!$G$4:$G$153,"&gt;="&amp;A31,'Reservations'!$G$4:$G$153,"&lt;"&amp;DATE(YEAR(A31),MONTH(A31)+1,1),'Reservations'!$B$4:$B$153,IF($E$4="All Properties","&lt;&gt;",$E$4),'Reservations'!$L$4:$L$153,"Completed"),0)</f>
        <v/>
      </c>
      <c r="C31" s="45">
        <f>IFERROR(SUMIFS('Reservations'!$AC$4:$AC$153,'Reservations'!$G$4:$G$153,"&gt;="&amp;A31,'Reservations'!$G$4:$G$153,"&lt;"&amp;DATE(YEAR(A31),MONTH(A31)+1,1),'Reservations'!$B$4:$B$153,IF($E$4="All Properties","&lt;&gt;",$E$4),'Reservations'!$L$4:$L$153,"Confirmed")+SUMIFS('Reservations'!$AC$4:$AC$153,'Reservations'!$G$4:$G$153,"&gt;="&amp;A31,'Reservations'!$G$4:$G$153,"&lt;"&amp;DATE(YEAR(A31),MONTH(A31)+1,1),'Reservations'!$B$4:$B$153,IF($E$4="All Properties","&lt;&gt;",$E$4),'Reservations'!$L$4:$L$153,"Checked In")+SUMIFS('Reservations'!$AC$4:$AC$153,'Reservations'!$G$4:$G$153,"&gt;="&amp;A31,'Reservations'!$G$4:$G$153,"&lt;"&amp;DATE(YEAR(A31),MONTH(A31)+1,1),'Reservations'!$B$4:$B$153,IF($E$4="All Properties","&lt;&gt;",$E$4),'Reservations'!$L$4:$L$153,"Completed"),0)</f>
        <v/>
      </c>
      <c r="D31" s="45">
        <f>IFERROR(SUMIFS('Expenses'!$R$4:$R$153,'Expenses'!$B$4:$B$153,"&gt;="&amp;A31,'Expenses'!$B$4:$B$153,"&lt;"&amp;DATE(YEAR(A31),MONTH(A31)+1,1),'Expenses'!$C$4:$C$153,IF($E$4="All Properties","&lt;&gt;",$E$4),'Expenses'!$F$4:$F$153,"Operating",'Expenses'!$T$4:$T$153,"Paid")+SUMIFS('Expenses'!$R$4:$R$153,'Expenses'!$B$4:$B$153,"&gt;="&amp;A31,'Expenses'!$B$4:$B$153,"&lt;"&amp;DATE(YEAR(A31),MONTH(A31)+1,1),'Expenses'!$C$4:$C$153,IF($E$4="All Properties","&lt;&gt;",$E$4),'Expenses'!$F$4:$F$153,"Operating",'Expenses'!$T$4:$T$153,"Pending"),0)</f>
        <v/>
      </c>
      <c r="E31" s="45">
        <f>IFERROR(C31-D31,0)</f>
        <v/>
      </c>
      <c r="F31" s="17">
        <f>IFERROR(SUMIFS('Reservations'!$H$4:$H$153,'Reservations'!$G$4:$G$153,"&gt;="&amp;A31,'Reservations'!$G$4:$G$153,"&lt;"&amp;DATE(YEAR(A31),MONTH(A31)+1,1),'Reservations'!$B$4:$B$153,IF($E$4="All Properties","&lt;&gt;",$E$4),'Reservations'!$L$4:$L$153,"Confirmed")+SUMIFS('Reservations'!$H$4:$H$153,'Reservations'!$G$4:$G$153,"&gt;="&amp;A31,'Reservations'!$G$4:$G$153,"&lt;"&amp;DATE(YEAR(A31),MONTH(A31)+1,1),'Reservations'!$B$4:$B$153,IF($E$4="All Properties","&lt;&gt;",$E$4),'Reservations'!$L$4:$L$153,"Checked In")+SUMIFS('Reservations'!$H$4:$H$153,'Reservations'!$G$4:$G$153,"&gt;="&amp;A31,'Reservations'!$G$4:$G$153,"&lt;"&amp;DATE(YEAR(A31),MONTH(A31)+1,1),'Reservations'!$B$4:$B$153,IF($E$4="All Properties","&lt;&gt;",$E$4),'Reservations'!$L$4:$L$153,"Completed"),0)</f>
        <v/>
      </c>
      <c r="G31" s="17">
        <f>IFERROR($F$12/12,0)</f>
        <v/>
      </c>
      <c r="H31" s="46">
        <f>IFERROR(F31/G31,0)</f>
        <v/>
      </c>
      <c r="I31" s="45">
        <f>IFERROR((SUMIFS('Reservations'!$M$4:$M$153,'Reservations'!$G$4:$G$153,"&gt;="&amp;A31,'Reservations'!$G$4:$G$153,"&lt;"&amp;DATE(YEAR(A31),MONTH(A31)+1,1),'Reservations'!$B$4:$B$153,IF($E$4="All Properties","&lt;&gt;",$E$4),'Reservations'!$L$4:$L$153,"Confirmed")+SUMIFS('Reservations'!$M$4:$M$153,'Reservations'!$G$4:$G$153,"&gt;="&amp;A31,'Reservations'!$G$4:$G$153,"&lt;"&amp;DATE(YEAR(A31),MONTH(A31)+1,1),'Reservations'!$B$4:$B$153,IF($E$4="All Properties","&lt;&gt;",$E$4),'Reservations'!$L$4:$L$153,"Checked In")+SUMIFS('Reservations'!$M$4:$M$153,'Reservations'!$G$4:$G$153,"&gt;="&amp;A31,'Reservations'!$G$4:$G$153,"&lt;"&amp;DATE(YEAR(A31),MONTH(A31)+1,1),'Reservations'!$B$4:$B$153,IF($E$4="All Properties","&lt;&gt;",$E$4),'Reservations'!$L$4:$L$153,"Completed")-SUMIFS('Reservations'!$Q$4:$Q$153,'Reservations'!$G$4:$G$153,"&gt;="&amp;A31,'Reservations'!$G$4:$G$153,"&lt;"&amp;DATE(YEAR(A31),MONTH(A31)+1,1),'Reservations'!$B$4:$B$153,IF($E$4="All Properties","&lt;&gt;",$E$4),'Reservations'!$L$4:$L$153,"Confirmed")+SUMIFS('Reservations'!$Q$4:$Q$153,'Reservations'!$G$4:$G$153,"&gt;="&amp;A31,'Reservations'!$G$4:$G$153,"&lt;"&amp;DATE(YEAR(A31),MONTH(A31)+1,1),'Reservations'!$B$4:$B$153,IF($E$4="All Properties","&lt;&gt;",$E$4),'Reservations'!$L$4:$L$153,"Checked In")+SUMIFS('Reservations'!$Q$4:$Q$153,'Reservations'!$G$4:$G$153,"&gt;="&amp;A31,'Reservations'!$G$4:$G$153,"&lt;"&amp;DATE(YEAR(A31),MONTH(A31)+1,1),'Reservations'!$B$4:$B$153,IF($E$4="All Properties","&lt;&gt;",$E$4),'Reservations'!$L$4:$L$153,"Completed")-SUMIFS('Reservations'!$R$4:$R$153,'Reservations'!$G$4:$G$153,"&gt;="&amp;A31,'Reservations'!$G$4:$G$153,"&lt;"&amp;DATE(YEAR(A31),MONTH(A31)+1,1),'Reservations'!$B$4:$B$153,IF($E$4="All Properties","&lt;&gt;",$E$4),'Reservations'!$L$4:$L$153,"Confirmed")+SUMIFS('Reservations'!$R$4:$R$153,'Reservations'!$G$4:$G$153,"&gt;="&amp;A31,'Reservations'!$G$4:$G$153,"&lt;"&amp;DATE(YEAR(A31),MONTH(A31)+1,1),'Reservations'!$B$4:$B$153,IF($E$4="All Properties","&lt;&gt;",$E$4),'Reservations'!$L$4:$L$153,"Checked In")+SUMIFS('Reservations'!$R$4:$R$153,'Reservations'!$G$4:$G$153,"&gt;="&amp;A31,'Reservations'!$G$4:$G$153,"&lt;"&amp;DATE(YEAR(A31),MONTH(A31)+1,1),'Reservations'!$B$4:$B$153,IF($E$4="All Properties","&lt;&gt;",$E$4),'Reservations'!$L$4:$L$153,"Completed"))/F31,0)</f>
        <v/>
      </c>
    </row>
    <row r="32">
      <c r="A32">
        <f>""</f>
        <v/>
      </c>
      <c r="F32">
        <f>""</f>
        <v/>
      </c>
      <c r="G32">
        <f>""</f>
        <v/>
      </c>
      <c r="I32">
        <f>""</f>
        <v/>
      </c>
    </row>
    <row r="33">
      <c r="A33">
        <f>""</f>
        <v/>
      </c>
      <c r="F33">
        <f>""</f>
        <v/>
      </c>
      <c r="G33">
        <f>""</f>
        <v/>
      </c>
      <c r="I33">
        <f>""</f>
        <v/>
      </c>
    </row>
    <row r="34">
      <c r="A34" s="19" t="inlineStr">
        <is>
          <t>Target Comparison</t>
        </is>
      </c>
      <c r="F34">
        <f>""</f>
        <v/>
      </c>
      <c r="G34" s="19" t="inlineStr">
        <is>
          <t>Operational Alerts</t>
        </is>
      </c>
      <c r="I34">
        <f>""</f>
        <v/>
      </c>
      <c r="J34" s="19" t="inlineStr">
        <is>
          <t>Month</t>
        </is>
      </c>
      <c r="K34" s="19" t="inlineStr">
        <is>
          <t>Actual Occupancy</t>
        </is>
      </c>
      <c r="L34" s="19" t="inlineStr">
        <is>
          <t>Occupancy Target</t>
        </is>
      </c>
    </row>
    <row r="35">
      <c r="A35" s="10" t="inlineStr">
        <is>
          <t>Metric</t>
        </is>
      </c>
      <c r="B35" s="10" t="inlineStr">
        <is>
          <t>Actual</t>
        </is>
      </c>
      <c r="C35" s="10" t="inlineStr">
        <is>
          <t>Target</t>
        </is>
      </c>
      <c r="D35" s="10" t="inlineStr">
        <is>
          <t>Variance</t>
        </is>
      </c>
      <c r="E35" s="10" t="inlineStr">
        <is>
          <t>Status</t>
        </is>
      </c>
      <c r="F35">
        <f>""</f>
        <v/>
      </c>
      <c r="G35" s="10" t="inlineStr">
        <is>
          <t>Alert</t>
        </is>
      </c>
      <c r="H35" s="10" t="inlineStr">
        <is>
          <t>Count</t>
        </is>
      </c>
      <c r="I35">
        <f>""</f>
        <v/>
      </c>
      <c r="J35" s="47">
        <f>IFERROR(A20,"")</f>
        <v/>
      </c>
      <c r="K35" s="48">
        <f>IFERROR(H20,0)</f>
        <v/>
      </c>
      <c r="L35" s="48">
        <f>IFERROR('Assumptions'!$B$110,0)</f>
        <v/>
      </c>
    </row>
    <row r="36">
      <c r="A36" s="13" t="inlineStr">
        <is>
          <t>Occupancy</t>
        </is>
      </c>
      <c r="B36" s="43">
        <f>IFERROR(H12,0)</f>
        <v/>
      </c>
      <c r="C36" s="43">
        <f>IFERROR('Assumptions'!$B$110,0)</f>
        <v/>
      </c>
      <c r="D36" s="43">
        <f>IFERROR(B36-C36,0)</f>
        <v/>
      </c>
      <c r="E36" s="13">
        <f>IFERROR(IF(B36&gt;=C36,"On Target","Review"),"Review")</f>
        <v/>
      </c>
      <c r="F36">
        <f>""</f>
        <v/>
      </c>
      <c r="G36" s="13" t="inlineStr">
        <is>
          <t>Reservations Missing Check-Out Date</t>
        </is>
      </c>
      <c r="H36" s="22">
        <f>IFERROR(COUNTIFS('Reservations'!$A$4:$A$153,"&lt;&gt;",'Reservations'!$G$4:$G$153,""),0)</f>
        <v/>
      </c>
      <c r="I36">
        <f>""</f>
        <v/>
      </c>
      <c r="J36" s="47">
        <f>IFERROR(A21,"")</f>
        <v/>
      </c>
      <c r="K36" s="48">
        <f>IFERROR(H21,0)</f>
        <v/>
      </c>
      <c r="L36" s="48">
        <f>IFERROR('Assumptions'!$B$110,0)</f>
        <v/>
      </c>
    </row>
    <row r="37">
      <c r="A37" s="13" t="inlineStr">
        <is>
          <t>Operating Margin</t>
        </is>
      </c>
      <c r="B37" s="43">
        <f>IFERROR(B12,0)</f>
        <v/>
      </c>
      <c r="C37" s="43">
        <f>IFERROR('Assumptions'!$B$111,0)</f>
        <v/>
      </c>
      <c r="D37" s="43">
        <f>IFERROR(B37-C37,0)</f>
        <v/>
      </c>
      <c r="E37" s="13">
        <f>IFERROR(IF(B37&gt;=C37,"On Target","Review"),"Review")</f>
        <v/>
      </c>
      <c r="F37">
        <f>""</f>
        <v/>
      </c>
      <c r="G37" s="13" t="inlineStr">
        <is>
          <t>Check-Out on or Before Check-In</t>
        </is>
      </c>
      <c r="H37" s="22">
        <f>IFERROR(COUNTIF('Reservations'!$AI$4:$AI$153,"Invalid Date"),0)</f>
        <v/>
      </c>
      <c r="I37">
        <f>""</f>
        <v/>
      </c>
      <c r="J37" s="47">
        <f>IFERROR(A22,"")</f>
        <v/>
      </c>
      <c r="K37" s="48">
        <f>IFERROR(H22,0)</f>
        <v/>
      </c>
      <c r="L37" s="48">
        <f>IFERROR('Assumptions'!$B$110,0)</f>
        <v/>
      </c>
    </row>
    <row r="38">
      <c r="A38" s="13" t="inlineStr">
        <is>
          <t>Labor Cost Percentage</t>
        </is>
      </c>
      <c r="B38" s="43">
        <f>IFERROR(F16,0)</f>
        <v/>
      </c>
      <c r="C38" s="43">
        <f>IFERROR('Assumptions'!$B$112,0)</f>
        <v/>
      </c>
      <c r="D38" s="43">
        <f>IFERROR(C38-B38,0)</f>
        <v/>
      </c>
      <c r="E38" s="13">
        <f>IFERROR(IF(B38&lt;=C38,"On Target","Review"),"Review")</f>
        <v/>
      </c>
      <c r="F38">
        <f>""</f>
        <v/>
      </c>
      <c r="G38" s="13" t="inlineStr">
        <is>
          <t>Reservations with Unpaid Balance</t>
        </is>
      </c>
      <c r="H38" s="22">
        <f>IFERROR(COUNTIF('Reservations'!$AF$4:$AF$153,"Balance Due"),0)</f>
        <v/>
      </c>
      <c r="I38">
        <f>""</f>
        <v/>
      </c>
      <c r="J38" s="47">
        <f>IFERROR(A23,"")</f>
        <v/>
      </c>
      <c r="K38" s="48">
        <f>IFERROR(H23,0)</f>
        <v/>
      </c>
      <c r="L38" s="48">
        <f>IFERROR('Assumptions'!$B$110,0)</f>
        <v/>
      </c>
    </row>
    <row r="39">
      <c r="A39" s="13" t="inlineStr">
        <is>
          <t>Minimum Cash Buffer</t>
        </is>
      </c>
      <c r="B39" s="42">
        <f>IFERROR(F8,0)</f>
        <v/>
      </c>
      <c r="C39" s="42">
        <f>IFERROR('Assumptions'!$B$113,0)</f>
        <v/>
      </c>
      <c r="D39" s="42">
        <f>IFERROR(B39-C39,0)</f>
        <v/>
      </c>
      <c r="E39" s="13">
        <f>IFERROR(IF(B39&gt;=C39,"On Target","Review"),"Review")</f>
        <v/>
      </c>
      <c r="F39">
        <f>""</f>
        <v/>
      </c>
      <c r="G39" s="13" t="inlineStr">
        <is>
          <t>Possible Date Overlaps</t>
        </is>
      </c>
      <c r="H39" s="22">
        <f>IFERROR(COUNTIF('Reservations'!$AJ$4:$AJ$153,"Possible Overlap"),0)</f>
        <v/>
      </c>
      <c r="I39">
        <f>""</f>
        <v/>
      </c>
      <c r="J39" s="47">
        <f>IFERROR(A24,"")</f>
        <v/>
      </c>
      <c r="K39" s="48">
        <f>IFERROR(H24,0)</f>
        <v/>
      </c>
      <c r="L39" s="48">
        <f>IFERROR('Assumptions'!$B$110,0)</f>
        <v/>
      </c>
    </row>
    <row r="40">
      <c r="A40" s="13" t="inlineStr">
        <is>
          <t>High Expense Review Threshold</t>
        </is>
      </c>
      <c r="B40" s="42">
        <f>IFERROR(MAX('Expenses'!$O$4:$O$153),0)</f>
        <v/>
      </c>
      <c r="C40" s="42">
        <f>IFERROR('Assumptions'!$B$114,0)</f>
        <v/>
      </c>
      <c r="D40" s="42">
        <f>IFERROR(C40-B40,0)</f>
        <v/>
      </c>
      <c r="E40" s="13">
        <f>IFERROR(IF(B40&lt;=C40,"On Target","Review"),"Review")</f>
        <v/>
      </c>
      <c r="F40">
        <f>""</f>
        <v/>
      </c>
      <c r="G40" s="13" t="inlineStr">
        <is>
          <t>Expenses Missing Vendor</t>
        </is>
      </c>
      <c r="H40" s="22">
        <f>IFERROR(COUNTIF('Expenses'!$V$4:$V$153,"Missing Vendor"),0)</f>
        <v/>
      </c>
      <c r="I40">
        <f>""</f>
        <v/>
      </c>
      <c r="J40" s="47">
        <f>IFERROR(A25,"")</f>
        <v/>
      </c>
      <c r="K40" s="48">
        <f>IFERROR(H25,0)</f>
        <v/>
      </c>
      <c r="L40" s="48">
        <f>IFERROR('Assumptions'!$B$110,0)</f>
        <v/>
      </c>
    </row>
    <row r="41">
      <c r="A41">
        <f>""</f>
        <v/>
      </c>
      <c r="B41">
        <f>""</f>
        <v/>
      </c>
      <c r="C41">
        <f>""</f>
        <v/>
      </c>
      <c r="D41">
        <f>""</f>
        <v/>
      </c>
      <c r="E41">
        <f>""</f>
        <v/>
      </c>
      <c r="F41">
        <f>""</f>
        <v/>
      </c>
      <c r="G41" s="13" t="inlineStr">
        <is>
          <t>Expenses Missing Category</t>
        </is>
      </c>
      <c r="H41" s="22">
        <f>IFERROR(COUNTIF('Expenses'!$V$4:$V$153,"Missing Category"),0)</f>
        <v/>
      </c>
      <c r="I41">
        <f>""</f>
        <v/>
      </c>
      <c r="J41" s="47">
        <f>IFERROR(A26,"")</f>
        <v/>
      </c>
      <c r="K41" s="48">
        <f>IFERROR(H26,0)</f>
        <v/>
      </c>
      <c r="L41" s="48">
        <f>IFERROR('Assumptions'!$B$110,0)</f>
        <v/>
      </c>
    </row>
    <row r="42">
      <c r="A42">
        <f>""</f>
        <v/>
      </c>
      <c r="B42">
        <f>""</f>
        <v/>
      </c>
      <c r="C42">
        <f>""</f>
        <v/>
      </c>
      <c r="D42">
        <f>""</f>
        <v/>
      </c>
      <c r="E42">
        <f>""</f>
        <v/>
      </c>
      <c r="F42">
        <f>""</f>
        <v/>
      </c>
      <c r="G42" s="13" t="inlineStr">
        <is>
          <t>Expenses Above Review Threshold</t>
        </is>
      </c>
      <c r="H42" s="22">
        <f>IFERROR(COUNTIF('Expenses'!$V$4:$V$153,"High Expense"),0)</f>
        <v/>
      </c>
      <c r="I42">
        <f>""</f>
        <v/>
      </c>
      <c r="J42" s="47">
        <f>IFERROR(A27,"")</f>
        <v/>
      </c>
      <c r="K42" s="48">
        <f>IFERROR(H27,0)</f>
        <v/>
      </c>
      <c r="L42" s="48">
        <f>IFERROR('Assumptions'!$B$110,0)</f>
        <v/>
      </c>
    </row>
    <row r="43">
      <c r="A43">
        <f>""</f>
        <v/>
      </c>
      <c r="B43">
        <f>""</f>
        <v/>
      </c>
      <c r="C43">
        <f>""</f>
        <v/>
      </c>
      <c r="D43">
        <f>""</f>
        <v/>
      </c>
      <c r="E43">
        <f>""</f>
        <v/>
      </c>
      <c r="F43">
        <f>""</f>
        <v/>
      </c>
      <c r="G43" s="13" t="inlineStr">
        <is>
          <t>Properties Below Occupancy Target</t>
        </is>
      </c>
      <c r="H43" s="22">
        <f>IFERROR(IF(H12&lt;'Assumptions'!$B$110,1,0),0)</f>
        <v/>
      </c>
      <c r="I43">
        <f>""</f>
        <v/>
      </c>
      <c r="J43" s="47">
        <f>IFERROR(A28,"")</f>
        <v/>
      </c>
      <c r="K43" s="48">
        <f>IFERROR(H28,0)</f>
        <v/>
      </c>
      <c r="L43" s="48">
        <f>IFERROR('Assumptions'!$B$110,0)</f>
        <v/>
      </c>
    </row>
    <row r="44">
      <c r="A44">
        <f>""</f>
        <v/>
      </c>
      <c r="B44">
        <f>""</f>
        <v/>
      </c>
      <c r="C44">
        <f>""</f>
        <v/>
      </c>
      <c r="D44">
        <f>""</f>
        <v/>
      </c>
      <c r="E44">
        <f>""</f>
        <v/>
      </c>
      <c r="F44">
        <f>""</f>
        <v/>
      </c>
      <c r="G44" s="13" t="inlineStr">
        <is>
          <t>Properties Above Labor Cost Target</t>
        </is>
      </c>
      <c r="H44" s="22">
        <f>IFERROR(IF(F16&gt;'Assumptions'!$B$112,1,0),0)</f>
        <v/>
      </c>
      <c r="I44">
        <f>""</f>
        <v/>
      </c>
      <c r="J44" s="47">
        <f>IFERROR(A29,"")</f>
        <v/>
      </c>
      <c r="K44" s="48">
        <f>IFERROR(H29,0)</f>
        <v/>
      </c>
      <c r="L44" s="48">
        <f>IFERROR('Assumptions'!$B$110,0)</f>
        <v/>
      </c>
    </row>
    <row r="45">
      <c r="A45">
        <f>""</f>
        <v/>
      </c>
      <c r="B45">
        <f>""</f>
        <v/>
      </c>
      <c r="C45">
        <f>""</f>
        <v/>
      </c>
      <c r="D45">
        <f>""</f>
        <v/>
      </c>
      <c r="E45">
        <f>""</f>
        <v/>
      </c>
      <c r="F45">
        <f>""</f>
        <v/>
      </c>
      <c r="G45">
        <f>""</f>
        <v/>
      </c>
      <c r="I45">
        <f>""</f>
        <v/>
      </c>
      <c r="J45" s="47">
        <f>IFERROR(A30,"")</f>
        <v/>
      </c>
      <c r="K45" s="48">
        <f>IFERROR(H30,0)</f>
        <v/>
      </c>
      <c r="L45" s="48">
        <f>IFERROR('Assumptions'!$B$110,0)</f>
        <v/>
      </c>
    </row>
    <row r="46">
      <c r="A46">
        <f>""</f>
        <v/>
      </c>
      <c r="B46">
        <f>""</f>
        <v/>
      </c>
      <c r="C46">
        <f>""</f>
        <v/>
      </c>
      <c r="D46">
        <f>""</f>
        <v/>
      </c>
      <c r="E46">
        <f>""</f>
        <v/>
      </c>
      <c r="F46">
        <f>""</f>
        <v/>
      </c>
      <c r="G46">
        <f>""</f>
        <v/>
      </c>
      <c r="I46">
        <f>""</f>
        <v/>
      </c>
      <c r="J46" s="47">
        <f>IFERROR(A31,"")</f>
        <v/>
      </c>
      <c r="K46" s="48">
        <f>IFERROR(H31,0)</f>
        <v/>
      </c>
      <c r="L46" s="48">
        <f>IFERROR('Assumptions'!$B$110,0)</f>
        <v/>
      </c>
    </row>
    <row r="47">
      <c r="A47">
        <f>""</f>
        <v/>
      </c>
      <c r="B47">
        <f>""</f>
        <v/>
      </c>
      <c r="C47">
        <f>""</f>
        <v/>
      </c>
      <c r="D47">
        <f>""</f>
        <v/>
      </c>
      <c r="E47">
        <f>""</f>
        <v/>
      </c>
      <c r="F47">
        <f>""</f>
        <v/>
      </c>
      <c r="G47" s="23" t="inlineStr">
        <is>
          <t>Supporting Metrics</t>
        </is>
      </c>
      <c r="I47">
        <f>""</f>
        <v/>
      </c>
      <c r="J47">
        <f>""</f>
        <v/>
      </c>
      <c r="K47">
        <f>""</f>
        <v/>
      </c>
      <c r="L47">
        <f>""</f>
        <v/>
      </c>
    </row>
    <row r="48">
      <c r="A48">
        <f>""</f>
        <v/>
      </c>
      <c r="B48">
        <f>""</f>
        <v/>
      </c>
      <c r="C48">
        <f>""</f>
        <v/>
      </c>
      <c r="D48">
        <f>""</f>
        <v/>
      </c>
      <c r="E48">
        <f>""</f>
        <v/>
      </c>
      <c r="F48">
        <f>""</f>
        <v/>
      </c>
      <c r="G48" s="13" t="inlineStr">
        <is>
          <t>Capital Spending</t>
        </is>
      </c>
      <c r="H48" s="42">
        <f>IFERROR(SUMIFS('Expenses'!$S$4:$S$153,'Expenses'!$B$4:$B$153,"&gt;="&amp;DATE($B$4,1,1),'Expenses'!$B$4:$B$153,"&lt;"&amp;DATE($B$4+1,1,1),'Expenses'!$C$4:$C$153,IF($E$4="All Properties","&lt;&gt;",$E$4),'Expenses'!$F$4:$F$153,"Capital"),0)</f>
        <v/>
      </c>
      <c r="I48">
        <f>""</f>
        <v/>
      </c>
      <c r="J48">
        <f>""</f>
        <v/>
      </c>
      <c r="K48">
        <f>""</f>
        <v/>
      </c>
      <c r="L48">
        <f>""</f>
        <v/>
      </c>
    </row>
    <row r="49">
      <c r="A49">
        <f>""</f>
        <v/>
      </c>
      <c r="B49">
        <f>""</f>
        <v/>
      </c>
      <c r="C49">
        <f>""</f>
        <v/>
      </c>
      <c r="D49">
        <f>""</f>
        <v/>
      </c>
      <c r="E49">
        <f>""</f>
        <v/>
      </c>
      <c r="F49">
        <f>""</f>
        <v/>
      </c>
      <c r="G49" s="13" t="inlineStr">
        <is>
          <t>Included Reservations</t>
        </is>
      </c>
      <c r="H49" s="24">
        <f>IFERROR(COUNTIFS('Reservations'!$G$4:$G$153,"&gt;="&amp;DATE($B$4,1,1),'Reservations'!$G$4:$G$153,"&lt;"&amp;DATE($B$4+1,1,1),'Reservations'!$B$4:$B$153,IF($E$4="All Properties","&lt;&gt;",$E$4),'Reservations'!$L$4:$L$153,"Confirmed")+COUNTIFS('Reservations'!$G$4:$G$153,"&gt;="&amp;DATE($B$4,1,1),'Reservations'!$G$4:$G$153,"&lt;"&amp;DATE($B$4+1,1,1),'Reservations'!$B$4:$B$153,IF($E$4="All Properties","&lt;&gt;",$E$4),'Reservations'!$L$4:$L$153,"Checked In")+COUNTIFS('Reservations'!$G$4:$G$153,"&gt;="&amp;DATE($B$4,1,1),'Reservations'!$G$4:$G$153,"&lt;"&amp;DATE($B$4+1,1,1),'Reservations'!$B$4:$B$153,IF($E$4="All Properties","&lt;&gt;",$E$4),'Reservations'!$L$4:$L$153,"Completed"),0)</f>
        <v/>
      </c>
      <c r="I49">
        <f>""</f>
        <v/>
      </c>
      <c r="J49">
        <f>""</f>
        <v/>
      </c>
      <c r="K49">
        <f>""</f>
        <v/>
      </c>
      <c r="L49">
        <f>""</f>
        <v/>
      </c>
    </row>
    <row r="50">
      <c r="A50">
        <f>""</f>
        <v/>
      </c>
      <c r="B50">
        <f>""</f>
        <v/>
      </c>
      <c r="C50">
        <f>""</f>
        <v/>
      </c>
      <c r="D50">
        <f>""</f>
        <v/>
      </c>
      <c r="E50">
        <f>""</f>
        <v/>
      </c>
      <c r="F50">
        <f>""</f>
        <v/>
      </c>
      <c r="G50" s="13" t="inlineStr">
        <is>
          <t>Labor Operating Cost</t>
        </is>
      </c>
      <c r="H50" s="42">
        <f>IFERROR(SUMIFS('Expenses'!$R$4:$R$153,'Expenses'!$B$4:$B$153,"&gt;="&amp;DATE($B$4,1,1),'Expenses'!$B$4:$B$153,"&lt;"&amp;DATE($B$4+1,1,1),'Expenses'!$C$4:$C$153,IF($E$4="All Properties","&lt;&gt;",$E$4),'Expenses'!$E$4:$E$153,"Labor",'Expenses'!$F$4:$F$153,"Operating",'Expenses'!$T$4:$T$153,"Paid")+SUMIFS('Expenses'!$R$4:$R$153,'Expenses'!$B$4:$B$153,"&gt;="&amp;DATE($B$4,1,1),'Expenses'!$B$4:$B$153,"&lt;"&amp;DATE($B$4+1,1,1),'Expenses'!$C$4:$C$153,IF($E$4="All Properties","&lt;&gt;",$E$4),'Expenses'!$E$4:$E$153,"Labor",'Expenses'!$F$4:$F$153,"Operating",'Expenses'!$T$4:$T$153,"Pending"),0)</f>
        <v/>
      </c>
      <c r="I50">
        <f>""</f>
        <v/>
      </c>
      <c r="J50">
        <f>""</f>
        <v/>
      </c>
      <c r="K50">
        <f>""</f>
        <v/>
      </c>
      <c r="L50">
        <f>""</f>
        <v/>
      </c>
    </row>
    <row r="51">
      <c r="A51">
        <f>""</f>
        <v/>
      </c>
      <c r="B51">
        <f>""</f>
        <v/>
      </c>
      <c r="C51">
        <f>""</f>
        <v/>
      </c>
      <c r="D51">
        <f>""</f>
        <v/>
      </c>
      <c r="E51">
        <f>""</f>
        <v/>
      </c>
      <c r="F51">
        <f>""</f>
        <v/>
      </c>
      <c r="G51">
        <f>""</f>
        <v/>
      </c>
      <c r="H51">
        <f>""</f>
        <v/>
      </c>
      <c r="I51">
        <f>""</f>
        <v/>
      </c>
      <c r="J51">
        <f>""</f>
        <v/>
      </c>
      <c r="K51">
        <f>""</f>
        <v/>
      </c>
      <c r="L51">
        <f>""</f>
        <v/>
      </c>
    </row>
    <row r="52">
      <c r="A52">
        <f>""</f>
        <v/>
      </c>
      <c r="B52">
        <f>""</f>
        <v/>
      </c>
      <c r="C52">
        <f>""</f>
        <v/>
      </c>
      <c r="D52">
        <f>""</f>
        <v/>
      </c>
      <c r="E52">
        <f>""</f>
        <v/>
      </c>
      <c r="F52">
        <f>""</f>
        <v/>
      </c>
      <c r="G52">
        <f>""</f>
        <v/>
      </c>
      <c r="H52">
        <f>""</f>
        <v/>
      </c>
      <c r="I52">
        <f>""</f>
        <v/>
      </c>
      <c r="J52">
        <f>""</f>
        <v/>
      </c>
      <c r="K52">
        <f>""</f>
        <v/>
      </c>
      <c r="L52">
        <f>""</f>
        <v/>
      </c>
    </row>
    <row r="53">
      <c r="A53">
        <f>""</f>
        <v/>
      </c>
      <c r="B53">
        <f>""</f>
        <v/>
      </c>
      <c r="C53">
        <f>""</f>
        <v/>
      </c>
      <c r="D53">
        <f>""</f>
        <v/>
      </c>
      <c r="E53">
        <f>""</f>
        <v/>
      </c>
      <c r="F53">
        <f>""</f>
        <v/>
      </c>
      <c r="G53">
        <f>""</f>
        <v/>
      </c>
      <c r="H53">
        <f>""</f>
        <v/>
      </c>
      <c r="I53">
        <f>""</f>
        <v/>
      </c>
      <c r="J53">
        <f>""</f>
        <v/>
      </c>
      <c r="K53">
        <f>""</f>
        <v/>
      </c>
      <c r="L53">
        <f>""</f>
        <v/>
      </c>
    </row>
    <row r="54">
      <c r="A54">
        <f>""</f>
        <v/>
      </c>
      <c r="B54">
        <f>""</f>
        <v/>
      </c>
      <c r="C54">
        <f>""</f>
        <v/>
      </c>
      <c r="D54">
        <f>""</f>
        <v/>
      </c>
      <c r="E54">
        <f>""</f>
        <v/>
      </c>
      <c r="F54">
        <f>""</f>
        <v/>
      </c>
      <c r="G54">
        <f>""</f>
        <v/>
      </c>
      <c r="H54">
        <f>""</f>
        <v/>
      </c>
      <c r="I54">
        <f>""</f>
        <v/>
      </c>
      <c r="J54">
        <f>""</f>
        <v/>
      </c>
      <c r="K54">
        <f>""</f>
        <v/>
      </c>
      <c r="L54">
        <f>""</f>
        <v/>
      </c>
    </row>
    <row r="55">
      <c r="A55">
        <f>""</f>
        <v/>
      </c>
      <c r="B55">
        <f>""</f>
        <v/>
      </c>
      <c r="C55">
        <f>""</f>
        <v/>
      </c>
      <c r="D55">
        <f>""</f>
        <v/>
      </c>
      <c r="E55">
        <f>""</f>
        <v/>
      </c>
      <c r="F55">
        <f>""</f>
        <v/>
      </c>
      <c r="G55">
        <f>""</f>
        <v/>
      </c>
      <c r="H55">
        <f>""</f>
        <v/>
      </c>
      <c r="I55">
        <f>""</f>
        <v/>
      </c>
      <c r="J55">
        <f>""</f>
        <v/>
      </c>
      <c r="K55">
        <f>""</f>
        <v/>
      </c>
      <c r="L55">
        <f>""</f>
        <v/>
      </c>
    </row>
    <row r="56">
      <c r="A56">
        <f>""</f>
        <v/>
      </c>
      <c r="B56">
        <f>""</f>
        <v/>
      </c>
      <c r="C56">
        <f>""</f>
        <v/>
      </c>
      <c r="D56">
        <f>""</f>
        <v/>
      </c>
      <c r="E56">
        <f>""</f>
        <v/>
      </c>
      <c r="F56">
        <f>""</f>
        <v/>
      </c>
      <c r="G56">
        <f>""</f>
        <v/>
      </c>
      <c r="H56">
        <f>""</f>
        <v/>
      </c>
      <c r="I56">
        <f>""</f>
        <v/>
      </c>
      <c r="J56">
        <f>""</f>
        <v/>
      </c>
      <c r="K56">
        <f>""</f>
        <v/>
      </c>
      <c r="L56">
        <f>""</f>
        <v/>
      </c>
    </row>
    <row r="57">
      <c r="A57">
        <f>""</f>
        <v/>
      </c>
      <c r="B57">
        <f>""</f>
        <v/>
      </c>
      <c r="C57">
        <f>""</f>
        <v/>
      </c>
      <c r="D57">
        <f>""</f>
        <v/>
      </c>
      <c r="E57">
        <f>""</f>
        <v/>
      </c>
      <c r="F57">
        <f>""</f>
        <v/>
      </c>
      <c r="G57">
        <f>""</f>
        <v/>
      </c>
      <c r="H57">
        <f>""</f>
        <v/>
      </c>
      <c r="I57">
        <f>""</f>
        <v/>
      </c>
      <c r="J57">
        <f>""</f>
        <v/>
      </c>
      <c r="K57">
        <f>""</f>
        <v/>
      </c>
      <c r="L57">
        <f>""</f>
        <v/>
      </c>
    </row>
    <row r="58">
      <c r="A58">
        <f>""</f>
        <v/>
      </c>
      <c r="B58">
        <f>""</f>
        <v/>
      </c>
      <c r="C58">
        <f>""</f>
        <v/>
      </c>
      <c r="D58">
        <f>""</f>
        <v/>
      </c>
      <c r="E58">
        <f>""</f>
        <v/>
      </c>
      <c r="F58">
        <f>""</f>
        <v/>
      </c>
      <c r="G58">
        <f>""</f>
        <v/>
      </c>
      <c r="H58">
        <f>""</f>
        <v/>
      </c>
      <c r="I58">
        <f>""</f>
        <v/>
      </c>
      <c r="J58">
        <f>""</f>
        <v/>
      </c>
      <c r="K58">
        <f>""</f>
        <v/>
      </c>
      <c r="L58">
        <f>""</f>
        <v/>
      </c>
    </row>
    <row r="59">
      <c r="A59">
        <f>""</f>
        <v/>
      </c>
      <c r="B59">
        <f>""</f>
        <v/>
      </c>
      <c r="C59">
        <f>""</f>
        <v/>
      </c>
      <c r="D59">
        <f>""</f>
        <v/>
      </c>
      <c r="E59">
        <f>""</f>
        <v/>
      </c>
      <c r="F59">
        <f>""</f>
        <v/>
      </c>
      <c r="G59">
        <f>""</f>
        <v/>
      </c>
      <c r="H59">
        <f>""</f>
        <v/>
      </c>
      <c r="I59">
        <f>""</f>
        <v/>
      </c>
      <c r="J59">
        <f>""</f>
        <v/>
      </c>
      <c r="K59">
        <f>""</f>
        <v/>
      </c>
      <c r="L59">
        <f>""</f>
        <v/>
      </c>
    </row>
    <row r="60">
      <c r="A60">
        <f>""</f>
        <v/>
      </c>
      <c r="B60">
        <f>""</f>
        <v/>
      </c>
      <c r="C60">
        <f>""</f>
        <v/>
      </c>
      <c r="D60">
        <f>""</f>
        <v/>
      </c>
      <c r="E60">
        <f>""</f>
        <v/>
      </c>
      <c r="F60">
        <f>""</f>
        <v/>
      </c>
      <c r="G60">
        <f>""</f>
        <v/>
      </c>
      <c r="H60">
        <f>""</f>
        <v/>
      </c>
      <c r="I60">
        <f>""</f>
        <v/>
      </c>
      <c r="J60">
        <f>""</f>
        <v/>
      </c>
      <c r="K60">
        <f>""</f>
        <v/>
      </c>
      <c r="L60">
        <f>""</f>
        <v/>
      </c>
    </row>
    <row r="61">
      <c r="A61">
        <f>""</f>
        <v/>
      </c>
      <c r="B61">
        <f>""</f>
        <v/>
      </c>
      <c r="C61">
        <f>""</f>
        <v/>
      </c>
      <c r="D61">
        <f>""</f>
        <v/>
      </c>
      <c r="E61">
        <f>""</f>
        <v/>
      </c>
      <c r="F61">
        <f>""</f>
        <v/>
      </c>
      <c r="G61">
        <f>""</f>
        <v/>
      </c>
      <c r="H61">
        <f>""</f>
        <v/>
      </c>
      <c r="I61">
        <f>""</f>
        <v/>
      </c>
      <c r="J61">
        <f>""</f>
        <v/>
      </c>
      <c r="K61">
        <f>""</f>
        <v/>
      </c>
      <c r="L61">
        <f>""</f>
        <v/>
      </c>
    </row>
    <row r="62">
      <c r="A62">
        <f>""</f>
        <v/>
      </c>
      <c r="B62">
        <f>""</f>
        <v/>
      </c>
      <c r="C62">
        <f>""</f>
        <v/>
      </c>
      <c r="D62">
        <f>""</f>
        <v/>
      </c>
      <c r="E62">
        <f>""</f>
        <v/>
      </c>
      <c r="F62">
        <f>""</f>
        <v/>
      </c>
      <c r="G62">
        <f>""</f>
        <v/>
      </c>
      <c r="H62">
        <f>""</f>
        <v/>
      </c>
      <c r="I62">
        <f>""</f>
        <v/>
      </c>
      <c r="J62">
        <f>""</f>
        <v/>
      </c>
      <c r="K62">
        <f>""</f>
        <v/>
      </c>
      <c r="L62">
        <f>""</f>
        <v/>
      </c>
    </row>
    <row r="63">
      <c r="A63">
        <f>""</f>
        <v/>
      </c>
      <c r="B63">
        <f>""</f>
        <v/>
      </c>
      <c r="C63">
        <f>""</f>
        <v/>
      </c>
      <c r="D63">
        <f>""</f>
        <v/>
      </c>
      <c r="E63">
        <f>""</f>
        <v/>
      </c>
      <c r="F63">
        <f>""</f>
        <v/>
      </c>
      <c r="G63">
        <f>""</f>
        <v/>
      </c>
      <c r="H63">
        <f>""</f>
        <v/>
      </c>
      <c r="I63">
        <f>""</f>
        <v/>
      </c>
      <c r="J63">
        <f>""</f>
        <v/>
      </c>
      <c r="K63">
        <f>""</f>
        <v/>
      </c>
      <c r="L63">
        <f>""</f>
        <v/>
      </c>
    </row>
    <row r="64">
      <c r="A64">
        <f>""</f>
        <v/>
      </c>
      <c r="B64">
        <f>""</f>
        <v/>
      </c>
      <c r="C64">
        <f>""</f>
        <v/>
      </c>
      <c r="D64">
        <f>""</f>
        <v/>
      </c>
      <c r="E64">
        <f>""</f>
        <v/>
      </c>
      <c r="F64">
        <f>""</f>
        <v/>
      </c>
      <c r="G64">
        <f>""</f>
        <v/>
      </c>
      <c r="H64">
        <f>""</f>
        <v/>
      </c>
      <c r="I64">
        <f>""</f>
        <v/>
      </c>
      <c r="J64">
        <f>""</f>
        <v/>
      </c>
      <c r="K64">
        <f>""</f>
        <v/>
      </c>
      <c r="L64">
        <f>""</f>
        <v/>
      </c>
    </row>
    <row r="65">
      <c r="A65">
        <f>""</f>
        <v/>
      </c>
      <c r="B65">
        <f>""</f>
        <v/>
      </c>
      <c r="C65">
        <f>""</f>
        <v/>
      </c>
      <c r="D65">
        <f>""</f>
        <v/>
      </c>
      <c r="E65">
        <f>""</f>
        <v/>
      </c>
      <c r="F65">
        <f>""</f>
        <v/>
      </c>
      <c r="G65">
        <f>""</f>
        <v/>
      </c>
      <c r="H65">
        <f>""</f>
        <v/>
      </c>
      <c r="I65">
        <f>""</f>
        <v/>
      </c>
      <c r="J65">
        <f>""</f>
        <v/>
      </c>
      <c r="K65">
        <f>""</f>
        <v/>
      </c>
      <c r="L65">
        <f>""</f>
        <v/>
      </c>
    </row>
    <row r="66">
      <c r="A66">
        <f>""</f>
        <v/>
      </c>
      <c r="B66">
        <f>""</f>
        <v/>
      </c>
      <c r="C66">
        <f>""</f>
        <v/>
      </c>
      <c r="D66">
        <f>""</f>
        <v/>
      </c>
      <c r="E66">
        <f>""</f>
        <v/>
      </c>
      <c r="F66">
        <f>""</f>
        <v/>
      </c>
      <c r="G66">
        <f>""</f>
        <v/>
      </c>
      <c r="H66">
        <f>""</f>
        <v/>
      </c>
      <c r="I66">
        <f>""</f>
        <v/>
      </c>
      <c r="J66">
        <f>""</f>
        <v/>
      </c>
      <c r="K66">
        <f>""</f>
        <v/>
      </c>
      <c r="L66">
        <f>""</f>
        <v/>
      </c>
    </row>
    <row r="67">
      <c r="A67">
        <f>""</f>
        <v/>
      </c>
      <c r="B67">
        <f>""</f>
        <v/>
      </c>
      <c r="C67">
        <f>""</f>
        <v/>
      </c>
      <c r="D67">
        <f>""</f>
        <v/>
      </c>
      <c r="E67">
        <f>""</f>
        <v/>
      </c>
      <c r="F67">
        <f>""</f>
        <v/>
      </c>
      <c r="G67">
        <f>""</f>
        <v/>
      </c>
      <c r="H67">
        <f>""</f>
        <v/>
      </c>
      <c r="I67">
        <f>""</f>
        <v/>
      </c>
      <c r="J67">
        <f>""</f>
        <v/>
      </c>
      <c r="K67">
        <f>""</f>
        <v/>
      </c>
      <c r="L67">
        <f>""</f>
        <v/>
      </c>
    </row>
    <row r="68">
      <c r="A68">
        <f>""</f>
        <v/>
      </c>
      <c r="B68">
        <f>""</f>
        <v/>
      </c>
      <c r="C68">
        <f>""</f>
        <v/>
      </c>
      <c r="D68">
        <f>""</f>
        <v/>
      </c>
      <c r="E68">
        <f>""</f>
        <v/>
      </c>
      <c r="F68">
        <f>""</f>
        <v/>
      </c>
      <c r="G68">
        <f>""</f>
        <v/>
      </c>
      <c r="H68">
        <f>""</f>
        <v/>
      </c>
      <c r="I68">
        <f>""</f>
        <v/>
      </c>
      <c r="J68">
        <f>""</f>
        <v/>
      </c>
      <c r="K68">
        <f>""</f>
        <v/>
      </c>
      <c r="L68">
        <f>""</f>
        <v/>
      </c>
    </row>
    <row r="69">
      <c r="A69">
        <f>""</f>
        <v/>
      </c>
      <c r="B69">
        <f>""</f>
        <v/>
      </c>
      <c r="C69">
        <f>""</f>
        <v/>
      </c>
      <c r="D69">
        <f>""</f>
        <v/>
      </c>
      <c r="E69">
        <f>""</f>
        <v/>
      </c>
      <c r="F69">
        <f>""</f>
        <v/>
      </c>
      <c r="G69">
        <f>""</f>
        <v/>
      </c>
      <c r="H69">
        <f>""</f>
        <v/>
      </c>
      <c r="I69">
        <f>""</f>
        <v/>
      </c>
      <c r="J69">
        <f>""</f>
        <v/>
      </c>
      <c r="K69">
        <f>""</f>
        <v/>
      </c>
      <c r="L69">
        <f>""</f>
        <v/>
      </c>
    </row>
    <row r="70">
      <c r="A70">
        <f>""</f>
        <v/>
      </c>
      <c r="B70">
        <f>""</f>
        <v/>
      </c>
      <c r="C70">
        <f>""</f>
        <v/>
      </c>
      <c r="D70">
        <f>""</f>
        <v/>
      </c>
      <c r="E70">
        <f>""</f>
        <v/>
      </c>
      <c r="F70">
        <f>""</f>
        <v/>
      </c>
      <c r="G70">
        <f>""</f>
        <v/>
      </c>
      <c r="H70">
        <f>""</f>
        <v/>
      </c>
      <c r="I70">
        <f>""</f>
        <v/>
      </c>
      <c r="J70">
        <f>""</f>
        <v/>
      </c>
      <c r="K70">
        <f>""</f>
        <v/>
      </c>
      <c r="L70">
        <f>""</f>
        <v/>
      </c>
    </row>
    <row r="71">
      <c r="A71">
        <f>""</f>
        <v/>
      </c>
      <c r="B71">
        <f>""</f>
        <v/>
      </c>
      <c r="C71">
        <f>""</f>
        <v/>
      </c>
      <c r="D71">
        <f>""</f>
        <v/>
      </c>
      <c r="E71">
        <f>""</f>
        <v/>
      </c>
      <c r="F71">
        <f>""</f>
        <v/>
      </c>
      <c r="G71">
        <f>""</f>
        <v/>
      </c>
      <c r="H71">
        <f>""</f>
        <v/>
      </c>
      <c r="I71">
        <f>""</f>
        <v/>
      </c>
      <c r="J71">
        <f>""</f>
        <v/>
      </c>
      <c r="K71">
        <f>""</f>
        <v/>
      </c>
      <c r="L71">
        <f>""</f>
        <v/>
      </c>
    </row>
    <row r="72">
      <c r="A72">
        <f>""</f>
        <v/>
      </c>
      <c r="B72">
        <f>""</f>
        <v/>
      </c>
      <c r="C72">
        <f>""</f>
        <v/>
      </c>
      <c r="D72">
        <f>""</f>
        <v/>
      </c>
      <c r="E72">
        <f>""</f>
        <v/>
      </c>
      <c r="F72">
        <f>""</f>
        <v/>
      </c>
      <c r="G72">
        <f>""</f>
        <v/>
      </c>
      <c r="H72">
        <f>""</f>
        <v/>
      </c>
      <c r="I72">
        <f>""</f>
        <v/>
      </c>
      <c r="J72">
        <f>""</f>
        <v/>
      </c>
      <c r="K72">
        <f>""</f>
        <v/>
      </c>
      <c r="L72">
        <f>""</f>
        <v/>
      </c>
    </row>
    <row r="73">
      <c r="A73">
        <f>""</f>
        <v/>
      </c>
      <c r="B73">
        <f>""</f>
        <v/>
      </c>
      <c r="C73">
        <f>""</f>
        <v/>
      </c>
      <c r="D73">
        <f>""</f>
        <v/>
      </c>
      <c r="E73">
        <f>""</f>
        <v/>
      </c>
      <c r="F73">
        <f>""</f>
        <v/>
      </c>
      <c r="G73">
        <f>""</f>
        <v/>
      </c>
      <c r="H73">
        <f>""</f>
        <v/>
      </c>
      <c r="I73">
        <f>""</f>
        <v/>
      </c>
      <c r="J73">
        <f>""</f>
        <v/>
      </c>
      <c r="K73">
        <f>""</f>
        <v/>
      </c>
      <c r="L73">
        <f>""</f>
        <v/>
      </c>
    </row>
    <row r="74">
      <c r="A74">
        <f>""</f>
        <v/>
      </c>
      <c r="B74">
        <f>""</f>
        <v/>
      </c>
      <c r="C74">
        <f>""</f>
        <v/>
      </c>
      <c r="D74">
        <f>""</f>
        <v/>
      </c>
      <c r="E74">
        <f>""</f>
        <v/>
      </c>
      <c r="F74">
        <f>""</f>
        <v/>
      </c>
      <c r="G74">
        <f>""</f>
        <v/>
      </c>
      <c r="H74">
        <f>""</f>
        <v/>
      </c>
      <c r="I74">
        <f>""</f>
        <v/>
      </c>
      <c r="J74">
        <f>""</f>
        <v/>
      </c>
      <c r="K74">
        <f>""</f>
        <v/>
      </c>
      <c r="L74">
        <f>""</f>
        <v/>
      </c>
    </row>
    <row r="75">
      <c r="A75">
        <f>""</f>
        <v/>
      </c>
      <c r="B75">
        <f>""</f>
        <v/>
      </c>
      <c r="C75">
        <f>""</f>
        <v/>
      </c>
      <c r="D75">
        <f>""</f>
        <v/>
      </c>
      <c r="E75">
        <f>""</f>
        <v/>
      </c>
      <c r="F75">
        <f>""</f>
        <v/>
      </c>
      <c r="G75">
        <f>""</f>
        <v/>
      </c>
      <c r="H75">
        <f>""</f>
        <v/>
      </c>
      <c r="I75">
        <f>""</f>
        <v/>
      </c>
      <c r="J75">
        <f>""</f>
        <v/>
      </c>
      <c r="K75">
        <f>""</f>
        <v/>
      </c>
      <c r="L75">
        <f>""</f>
        <v/>
      </c>
    </row>
    <row r="76">
      <c r="A76">
        <f>""</f>
        <v/>
      </c>
      <c r="B76">
        <f>""</f>
        <v/>
      </c>
      <c r="C76">
        <f>""</f>
        <v/>
      </c>
      <c r="D76">
        <f>""</f>
        <v/>
      </c>
      <c r="E76">
        <f>""</f>
        <v/>
      </c>
      <c r="F76">
        <f>""</f>
        <v/>
      </c>
      <c r="G76">
        <f>""</f>
        <v/>
      </c>
      <c r="H76">
        <f>""</f>
        <v/>
      </c>
      <c r="I76">
        <f>""</f>
        <v/>
      </c>
      <c r="J76">
        <f>""</f>
        <v/>
      </c>
      <c r="K76">
        <f>""</f>
        <v/>
      </c>
      <c r="L76">
        <f>""</f>
        <v/>
      </c>
    </row>
    <row r="77">
      <c r="A77">
        <f>""</f>
        <v/>
      </c>
      <c r="B77">
        <f>""</f>
        <v/>
      </c>
      <c r="C77">
        <f>""</f>
        <v/>
      </c>
      <c r="D77">
        <f>""</f>
        <v/>
      </c>
      <c r="E77">
        <f>""</f>
        <v/>
      </c>
      <c r="F77">
        <f>""</f>
        <v/>
      </c>
      <c r="G77">
        <f>""</f>
        <v/>
      </c>
      <c r="H77">
        <f>""</f>
        <v/>
      </c>
      <c r="I77">
        <f>""</f>
        <v/>
      </c>
      <c r="J77">
        <f>""</f>
        <v/>
      </c>
      <c r="K77">
        <f>""</f>
        <v/>
      </c>
      <c r="L77">
        <f>""</f>
        <v/>
      </c>
    </row>
    <row r="78">
      <c r="A78">
        <f>""</f>
        <v/>
      </c>
      <c r="B78">
        <f>""</f>
        <v/>
      </c>
      <c r="C78">
        <f>""</f>
        <v/>
      </c>
      <c r="D78">
        <f>""</f>
        <v/>
      </c>
      <c r="E78">
        <f>""</f>
        <v/>
      </c>
      <c r="F78">
        <f>""</f>
        <v/>
      </c>
      <c r="G78">
        <f>""</f>
        <v/>
      </c>
      <c r="H78">
        <f>""</f>
        <v/>
      </c>
      <c r="I78">
        <f>""</f>
        <v/>
      </c>
      <c r="J78">
        <f>""</f>
        <v/>
      </c>
      <c r="K78">
        <f>""</f>
        <v/>
      </c>
      <c r="L78">
        <f>""</f>
        <v/>
      </c>
    </row>
    <row r="79">
      <c r="A79">
        <f>""</f>
        <v/>
      </c>
      <c r="B79">
        <f>""</f>
        <v/>
      </c>
      <c r="C79">
        <f>""</f>
        <v/>
      </c>
      <c r="D79">
        <f>""</f>
        <v/>
      </c>
      <c r="E79">
        <f>""</f>
        <v/>
      </c>
      <c r="F79">
        <f>""</f>
        <v/>
      </c>
      <c r="G79">
        <f>""</f>
        <v/>
      </c>
      <c r="H79">
        <f>""</f>
        <v/>
      </c>
      <c r="I79">
        <f>""</f>
        <v/>
      </c>
      <c r="J79">
        <f>""</f>
        <v/>
      </c>
      <c r="K79">
        <f>""</f>
        <v/>
      </c>
      <c r="L79">
        <f>""</f>
        <v/>
      </c>
    </row>
    <row r="80">
      <c r="A80">
        <f>""</f>
        <v/>
      </c>
      <c r="B80">
        <f>""</f>
        <v/>
      </c>
      <c r="C80">
        <f>""</f>
        <v/>
      </c>
      <c r="D80">
        <f>""</f>
        <v/>
      </c>
      <c r="E80">
        <f>""</f>
        <v/>
      </c>
      <c r="F80">
        <f>""</f>
        <v/>
      </c>
      <c r="G80">
        <f>""</f>
        <v/>
      </c>
      <c r="H80">
        <f>""</f>
        <v/>
      </c>
      <c r="I80">
        <f>""</f>
        <v/>
      </c>
      <c r="J80">
        <f>""</f>
        <v/>
      </c>
      <c r="K80">
        <f>""</f>
        <v/>
      </c>
      <c r="L80">
        <f>""</f>
        <v/>
      </c>
    </row>
    <row r="81">
      <c r="A81">
        <f>""</f>
        <v/>
      </c>
      <c r="B81">
        <f>""</f>
        <v/>
      </c>
      <c r="C81">
        <f>""</f>
        <v/>
      </c>
      <c r="D81">
        <f>""</f>
        <v/>
      </c>
      <c r="E81">
        <f>""</f>
        <v/>
      </c>
      <c r="F81">
        <f>""</f>
        <v/>
      </c>
      <c r="G81">
        <f>""</f>
        <v/>
      </c>
      <c r="H81">
        <f>""</f>
        <v/>
      </c>
      <c r="I81">
        <f>""</f>
        <v/>
      </c>
      <c r="J81">
        <f>""</f>
        <v/>
      </c>
      <c r="K81">
        <f>""</f>
        <v/>
      </c>
      <c r="L81">
        <f>""</f>
        <v/>
      </c>
    </row>
    <row r="82">
      <c r="A82">
        <f>""</f>
        <v/>
      </c>
      <c r="B82">
        <f>""</f>
        <v/>
      </c>
      <c r="C82">
        <f>""</f>
        <v/>
      </c>
      <c r="D82">
        <f>""</f>
        <v/>
      </c>
      <c r="E82">
        <f>""</f>
        <v/>
      </c>
      <c r="F82">
        <f>""</f>
        <v/>
      </c>
      <c r="G82">
        <f>""</f>
        <v/>
      </c>
      <c r="H82">
        <f>""</f>
        <v/>
      </c>
      <c r="I82">
        <f>""</f>
        <v/>
      </c>
      <c r="J82">
        <f>""</f>
        <v/>
      </c>
      <c r="K82">
        <f>""</f>
        <v/>
      </c>
      <c r="L82">
        <f>""</f>
        <v/>
      </c>
    </row>
    <row r="83">
      <c r="A83">
        <f>""</f>
        <v/>
      </c>
      <c r="B83">
        <f>""</f>
        <v/>
      </c>
      <c r="C83">
        <f>""</f>
        <v/>
      </c>
      <c r="D83">
        <f>""</f>
        <v/>
      </c>
      <c r="E83">
        <f>""</f>
        <v/>
      </c>
      <c r="F83">
        <f>""</f>
        <v/>
      </c>
      <c r="G83">
        <f>""</f>
        <v/>
      </c>
      <c r="H83">
        <f>""</f>
        <v/>
      </c>
      <c r="I83">
        <f>""</f>
        <v/>
      </c>
      <c r="J83">
        <f>""</f>
        <v/>
      </c>
      <c r="K83">
        <f>""</f>
        <v/>
      </c>
      <c r="L83">
        <f>""</f>
        <v/>
      </c>
    </row>
    <row r="84">
      <c r="A84">
        <f>""</f>
        <v/>
      </c>
      <c r="B84">
        <f>""</f>
        <v/>
      </c>
      <c r="C84">
        <f>""</f>
        <v/>
      </c>
      <c r="D84">
        <f>""</f>
        <v/>
      </c>
      <c r="E84">
        <f>""</f>
        <v/>
      </c>
      <c r="F84">
        <f>""</f>
        <v/>
      </c>
      <c r="G84">
        <f>""</f>
        <v/>
      </c>
      <c r="H84">
        <f>""</f>
        <v/>
      </c>
      <c r="I84">
        <f>""</f>
        <v/>
      </c>
      <c r="J84">
        <f>""</f>
        <v/>
      </c>
      <c r="K84">
        <f>""</f>
        <v/>
      </c>
      <c r="L84">
        <f>""</f>
        <v/>
      </c>
    </row>
    <row r="85">
      <c r="A85">
        <f>""</f>
        <v/>
      </c>
      <c r="B85">
        <f>""</f>
        <v/>
      </c>
      <c r="C85">
        <f>""</f>
        <v/>
      </c>
      <c r="D85">
        <f>""</f>
        <v/>
      </c>
      <c r="E85">
        <f>""</f>
        <v/>
      </c>
      <c r="F85">
        <f>""</f>
        <v/>
      </c>
      <c r="G85">
        <f>""</f>
        <v/>
      </c>
      <c r="H85">
        <f>""</f>
        <v/>
      </c>
      <c r="I85">
        <f>""</f>
        <v/>
      </c>
      <c r="J85">
        <f>""</f>
        <v/>
      </c>
      <c r="K85">
        <f>""</f>
        <v/>
      </c>
      <c r="L85">
        <f>""</f>
        <v/>
      </c>
    </row>
    <row r="86">
      <c r="A86">
        <f>""</f>
        <v/>
      </c>
      <c r="B86">
        <f>""</f>
        <v/>
      </c>
      <c r="C86">
        <f>""</f>
        <v/>
      </c>
      <c r="D86">
        <f>""</f>
        <v/>
      </c>
      <c r="E86">
        <f>""</f>
        <v/>
      </c>
      <c r="F86">
        <f>""</f>
        <v/>
      </c>
      <c r="G86">
        <f>""</f>
        <v/>
      </c>
      <c r="H86">
        <f>""</f>
        <v/>
      </c>
      <c r="I86">
        <f>""</f>
        <v/>
      </c>
      <c r="J86">
        <f>""</f>
        <v/>
      </c>
      <c r="K86">
        <f>""</f>
        <v/>
      </c>
      <c r="L86">
        <f>""</f>
        <v/>
      </c>
    </row>
    <row r="87">
      <c r="A87">
        <f>""</f>
        <v/>
      </c>
      <c r="B87">
        <f>""</f>
        <v/>
      </c>
      <c r="C87">
        <f>""</f>
        <v/>
      </c>
      <c r="D87">
        <f>""</f>
        <v/>
      </c>
      <c r="E87">
        <f>""</f>
        <v/>
      </c>
      <c r="F87">
        <f>""</f>
        <v/>
      </c>
      <c r="G87">
        <f>""</f>
        <v/>
      </c>
      <c r="H87">
        <f>""</f>
        <v/>
      </c>
      <c r="I87">
        <f>""</f>
        <v/>
      </c>
      <c r="J87">
        <f>""</f>
        <v/>
      </c>
      <c r="K87">
        <f>""</f>
        <v/>
      </c>
      <c r="L87">
        <f>""</f>
        <v/>
      </c>
    </row>
    <row r="88">
      <c r="A88">
        <f>""</f>
        <v/>
      </c>
      <c r="B88">
        <f>""</f>
        <v/>
      </c>
      <c r="C88">
        <f>""</f>
        <v/>
      </c>
      <c r="D88">
        <f>""</f>
        <v/>
      </c>
      <c r="E88">
        <f>""</f>
        <v/>
      </c>
      <c r="F88">
        <f>""</f>
        <v/>
      </c>
      <c r="G88">
        <f>""</f>
        <v/>
      </c>
      <c r="H88">
        <f>""</f>
        <v/>
      </c>
      <c r="I88">
        <f>""</f>
        <v/>
      </c>
      <c r="J88">
        <f>""</f>
        <v/>
      </c>
      <c r="K88">
        <f>""</f>
        <v/>
      </c>
      <c r="L88">
        <f>""</f>
        <v/>
      </c>
    </row>
    <row r="89">
      <c r="A89">
        <f>""</f>
        <v/>
      </c>
      <c r="B89">
        <f>""</f>
        <v/>
      </c>
      <c r="C89">
        <f>""</f>
        <v/>
      </c>
      <c r="D89">
        <f>""</f>
        <v/>
      </c>
      <c r="E89">
        <f>""</f>
        <v/>
      </c>
      <c r="F89">
        <f>""</f>
        <v/>
      </c>
      <c r="G89">
        <f>""</f>
        <v/>
      </c>
      <c r="H89">
        <f>""</f>
        <v/>
      </c>
      <c r="I89">
        <f>""</f>
        <v/>
      </c>
      <c r="J89">
        <f>""</f>
        <v/>
      </c>
      <c r="K89">
        <f>""</f>
        <v/>
      </c>
      <c r="L89">
        <f>""</f>
        <v/>
      </c>
    </row>
    <row r="90">
      <c r="A90">
        <f>""</f>
        <v/>
      </c>
      <c r="B90">
        <f>""</f>
        <v/>
      </c>
      <c r="C90">
        <f>""</f>
        <v/>
      </c>
      <c r="D90">
        <f>""</f>
        <v/>
      </c>
      <c r="E90">
        <f>""</f>
        <v/>
      </c>
      <c r="F90">
        <f>""</f>
        <v/>
      </c>
      <c r="G90">
        <f>""</f>
        <v/>
      </c>
      <c r="H90">
        <f>""</f>
        <v/>
      </c>
      <c r="I90">
        <f>""</f>
        <v/>
      </c>
      <c r="J90">
        <f>""</f>
        <v/>
      </c>
      <c r="K90">
        <f>""</f>
        <v/>
      </c>
      <c r="L90">
        <f>""</f>
        <v/>
      </c>
    </row>
    <row r="91">
      <c r="A91">
        <f>""</f>
        <v/>
      </c>
      <c r="B91">
        <f>""</f>
        <v/>
      </c>
      <c r="C91">
        <f>""</f>
        <v/>
      </c>
      <c r="D91">
        <f>""</f>
        <v/>
      </c>
      <c r="E91">
        <f>""</f>
        <v/>
      </c>
      <c r="F91">
        <f>""</f>
        <v/>
      </c>
      <c r="G91">
        <f>""</f>
        <v/>
      </c>
      <c r="H91">
        <f>""</f>
        <v/>
      </c>
      <c r="I91">
        <f>""</f>
        <v/>
      </c>
      <c r="J91">
        <f>""</f>
        <v/>
      </c>
      <c r="K91">
        <f>""</f>
        <v/>
      </c>
      <c r="L91">
        <f>""</f>
        <v/>
      </c>
    </row>
    <row r="92">
      <c r="A92">
        <f>""</f>
        <v/>
      </c>
      <c r="B92">
        <f>""</f>
        <v/>
      </c>
      <c r="C92">
        <f>""</f>
        <v/>
      </c>
      <c r="D92">
        <f>""</f>
        <v/>
      </c>
      <c r="E92">
        <f>""</f>
        <v/>
      </c>
      <c r="F92">
        <f>""</f>
        <v/>
      </c>
      <c r="G92">
        <f>""</f>
        <v/>
      </c>
      <c r="H92">
        <f>""</f>
        <v/>
      </c>
      <c r="I92">
        <f>""</f>
        <v/>
      </c>
      <c r="J92">
        <f>""</f>
        <v/>
      </c>
      <c r="K92">
        <f>""</f>
        <v/>
      </c>
      <c r="L92">
        <f>""</f>
        <v/>
      </c>
    </row>
    <row r="93">
      <c r="A93">
        <f>""</f>
        <v/>
      </c>
      <c r="B93">
        <f>""</f>
        <v/>
      </c>
      <c r="C93">
        <f>""</f>
        <v/>
      </c>
      <c r="D93">
        <f>""</f>
        <v/>
      </c>
      <c r="E93">
        <f>""</f>
        <v/>
      </c>
      <c r="F93">
        <f>""</f>
        <v/>
      </c>
      <c r="G93">
        <f>""</f>
        <v/>
      </c>
      <c r="H93">
        <f>""</f>
        <v/>
      </c>
      <c r="I93">
        <f>""</f>
        <v/>
      </c>
      <c r="J93">
        <f>""</f>
        <v/>
      </c>
      <c r="K93">
        <f>""</f>
        <v/>
      </c>
      <c r="L93">
        <f>""</f>
        <v/>
      </c>
    </row>
    <row r="94">
      <c r="A94">
        <f>""</f>
        <v/>
      </c>
      <c r="B94">
        <f>""</f>
        <v/>
      </c>
      <c r="C94">
        <f>""</f>
        <v/>
      </c>
      <c r="D94">
        <f>""</f>
        <v/>
      </c>
      <c r="E94">
        <f>""</f>
        <v/>
      </c>
      <c r="F94">
        <f>""</f>
        <v/>
      </c>
      <c r="G94">
        <f>""</f>
        <v/>
      </c>
      <c r="H94">
        <f>""</f>
        <v/>
      </c>
      <c r="I94">
        <f>""</f>
        <v/>
      </c>
      <c r="J94">
        <f>""</f>
        <v/>
      </c>
      <c r="K94">
        <f>""</f>
        <v/>
      </c>
      <c r="L94">
        <f>""</f>
        <v/>
      </c>
    </row>
    <row r="95">
      <c r="A95">
        <f>""</f>
        <v/>
      </c>
      <c r="B95">
        <f>""</f>
        <v/>
      </c>
      <c r="C95">
        <f>""</f>
        <v/>
      </c>
      <c r="D95">
        <f>""</f>
        <v/>
      </c>
      <c r="E95">
        <f>""</f>
        <v/>
      </c>
      <c r="F95">
        <f>""</f>
        <v/>
      </c>
      <c r="G95">
        <f>""</f>
        <v/>
      </c>
      <c r="H95">
        <f>""</f>
        <v/>
      </c>
      <c r="I95">
        <f>""</f>
        <v/>
      </c>
      <c r="J95">
        <f>""</f>
        <v/>
      </c>
      <c r="K95">
        <f>""</f>
        <v/>
      </c>
      <c r="L95">
        <f>""</f>
        <v/>
      </c>
    </row>
    <row r="96">
      <c r="A96">
        <f>""</f>
        <v/>
      </c>
      <c r="B96">
        <f>""</f>
        <v/>
      </c>
      <c r="C96">
        <f>""</f>
        <v/>
      </c>
      <c r="D96">
        <f>""</f>
        <v/>
      </c>
      <c r="E96">
        <f>""</f>
        <v/>
      </c>
      <c r="F96">
        <f>""</f>
        <v/>
      </c>
      <c r="G96">
        <f>""</f>
        <v/>
      </c>
      <c r="H96">
        <f>""</f>
        <v/>
      </c>
      <c r="I96">
        <f>""</f>
        <v/>
      </c>
      <c r="J96">
        <f>""</f>
        <v/>
      </c>
      <c r="K96">
        <f>""</f>
        <v/>
      </c>
      <c r="L96">
        <f>""</f>
        <v/>
      </c>
    </row>
    <row r="97">
      <c r="A97">
        <f>""</f>
        <v/>
      </c>
      <c r="B97">
        <f>""</f>
        <v/>
      </c>
      <c r="C97">
        <f>""</f>
        <v/>
      </c>
      <c r="D97">
        <f>""</f>
        <v/>
      </c>
      <c r="E97">
        <f>""</f>
        <v/>
      </c>
      <c r="F97">
        <f>""</f>
        <v/>
      </c>
      <c r="G97">
        <f>""</f>
        <v/>
      </c>
      <c r="H97">
        <f>""</f>
        <v/>
      </c>
      <c r="I97">
        <f>""</f>
        <v/>
      </c>
      <c r="J97">
        <f>""</f>
        <v/>
      </c>
      <c r="K97">
        <f>""</f>
        <v/>
      </c>
      <c r="L97">
        <f>""</f>
        <v/>
      </c>
    </row>
    <row r="98">
      <c r="A98">
        <f>""</f>
        <v/>
      </c>
      <c r="B98">
        <f>""</f>
        <v/>
      </c>
      <c r="C98">
        <f>""</f>
        <v/>
      </c>
      <c r="D98">
        <f>""</f>
        <v/>
      </c>
      <c r="E98">
        <f>""</f>
        <v/>
      </c>
      <c r="F98">
        <f>""</f>
        <v/>
      </c>
      <c r="G98">
        <f>""</f>
        <v/>
      </c>
      <c r="H98">
        <f>""</f>
        <v/>
      </c>
      <c r="I98">
        <f>""</f>
        <v/>
      </c>
      <c r="J98">
        <f>""</f>
        <v/>
      </c>
      <c r="K98">
        <f>""</f>
        <v/>
      </c>
      <c r="L98">
        <f>""</f>
        <v/>
      </c>
    </row>
    <row r="99">
      <c r="A99">
        <f>""</f>
        <v/>
      </c>
      <c r="B99">
        <f>""</f>
        <v/>
      </c>
      <c r="C99">
        <f>""</f>
        <v/>
      </c>
      <c r="D99">
        <f>""</f>
        <v/>
      </c>
      <c r="E99">
        <f>""</f>
        <v/>
      </c>
      <c r="F99">
        <f>""</f>
        <v/>
      </c>
      <c r="G99">
        <f>""</f>
        <v/>
      </c>
      <c r="H99">
        <f>""</f>
        <v/>
      </c>
      <c r="I99">
        <f>""</f>
        <v/>
      </c>
      <c r="J99">
        <f>""</f>
        <v/>
      </c>
      <c r="K99">
        <f>""</f>
        <v/>
      </c>
      <c r="L99">
        <f>""</f>
        <v/>
      </c>
    </row>
    <row r="100">
      <c r="A100">
        <f>""</f>
        <v/>
      </c>
      <c r="B100">
        <f>""</f>
        <v/>
      </c>
      <c r="C100">
        <f>""</f>
        <v/>
      </c>
      <c r="D100">
        <f>""</f>
        <v/>
      </c>
      <c r="E100">
        <f>""</f>
        <v/>
      </c>
      <c r="F100">
        <f>""</f>
        <v/>
      </c>
      <c r="G100">
        <f>""</f>
        <v/>
      </c>
      <c r="H100">
        <f>""</f>
        <v/>
      </c>
      <c r="I100">
        <f>""</f>
        <v/>
      </c>
      <c r="J100">
        <f>""</f>
        <v/>
      </c>
      <c r="K100">
        <f>""</f>
        <v/>
      </c>
      <c r="L100">
        <f>""</f>
        <v/>
      </c>
    </row>
    <row r="101">
      <c r="A101">
        <f>""</f>
        <v/>
      </c>
      <c r="B101">
        <f>""</f>
        <v/>
      </c>
      <c r="C101">
        <f>""</f>
        <v/>
      </c>
      <c r="D101">
        <f>""</f>
        <v/>
      </c>
      <c r="E101">
        <f>""</f>
        <v/>
      </c>
      <c r="F101">
        <f>""</f>
        <v/>
      </c>
      <c r="G101">
        <f>""</f>
        <v/>
      </c>
      <c r="H101">
        <f>""</f>
        <v/>
      </c>
      <c r="I101">
        <f>""</f>
        <v/>
      </c>
      <c r="J101">
        <f>""</f>
        <v/>
      </c>
      <c r="K101">
        <f>""</f>
        <v/>
      </c>
      <c r="L101">
        <f>""</f>
        <v/>
      </c>
    </row>
  </sheetData>
  <mergeCells count="27">
    <mergeCell ref="E12:F12"/>
    <mergeCell ref="G12:H12"/>
    <mergeCell ref="A15:B15"/>
    <mergeCell ref="C15:D15"/>
    <mergeCell ref="A11:B11"/>
    <mergeCell ref="G11:H11"/>
    <mergeCell ref="G8:H8"/>
    <mergeCell ref="E8:F8"/>
    <mergeCell ref="A16:B16"/>
    <mergeCell ref="A7:B7"/>
    <mergeCell ref="G7:H7"/>
    <mergeCell ref="C16:D16"/>
    <mergeCell ref="A2:R2"/>
    <mergeCell ref="A12:B12"/>
    <mergeCell ref="C12:D12"/>
    <mergeCell ref="A3:H3"/>
    <mergeCell ref="E15:F15"/>
    <mergeCell ref="C11:D11"/>
    <mergeCell ref="G15:H15"/>
    <mergeCell ref="E11:F11"/>
    <mergeCell ref="A8:B8"/>
    <mergeCell ref="C8:D8"/>
    <mergeCell ref="C7:D7"/>
    <mergeCell ref="E16:F16"/>
    <mergeCell ref="E7:F7"/>
    <mergeCell ref="G16:H16"/>
    <mergeCell ref="A1:R1"/>
  </mergeCells>
  <conditionalFormatting sqref="E36:E40">
    <cfRule type="expression" priority="1" dxfId="0">
      <formula>E36="On Target"</formula>
    </cfRule>
    <cfRule type="expression" priority="2" dxfId="1">
      <formula>E36="Review"</formula>
    </cfRule>
  </conditionalFormatting>
  <dataValidations count="2">
    <dataValidation sqref="B4" showDropDown="0" showInputMessage="1" showErrorMessage="1" allowBlank="0" errorTitle="Invalid Selection" error="Select a value from the list." promptTitle="Reporting Year" prompt="Select a calendar year." type="list">
      <formula1>"2024,2025,2026,2027,2028"</formula1>
    </dataValidation>
    <dataValidation sqref="E4" showDropDown="0" showInputMessage="1" showErrorMessage="1" allowBlank="0" errorTitle="Invalid Selection" error="Select a value from the list." promptTitle="Property" prompt="Select the portfolio or one property." type="list">
      <formula1>"All Properties,Harbor View Cottage,Blue Ridge Cabin,Desert Bloom Casita"</formula1>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K153"/>
  <sheetViews>
    <sheetView showGridLines="0" zoomScale="70" zoomScaleNormal="70" workbookViewId="0">
      <pane ySplit="3" topLeftCell="A4" activePane="bottomLeft" state="frozen"/>
      <selection pane="bottomLeft" activeCell="A1" sqref="A1"/>
    </sheetView>
  </sheetViews>
  <sheetFormatPr baseColWidth="8" defaultRowHeight="15"/>
  <cols>
    <col width="17" customWidth="1" min="1" max="1"/>
    <col width="24" customWidth="1" min="2" max="2"/>
    <col width="20" customWidth="1" min="3" max="3"/>
    <col width="18" customWidth="1" min="4" max="4"/>
    <col width="15" customWidth="1" min="5" max="5"/>
    <col width="15" customWidth="1" min="6" max="6"/>
    <col width="15" customWidth="1" min="7" max="7"/>
    <col width="10" customWidth="1" min="8" max="8"/>
    <col width="9" customWidth="1" min="9" max="9"/>
    <col width="9" customWidth="1" min="10" max="10"/>
    <col width="8" customWidth="1" min="11" max="11"/>
    <col width="15" customWidth="1" min="12" max="12"/>
    <col width="20" customWidth="1" min="13" max="13"/>
    <col width="15" customWidth="1" min="14" max="14"/>
    <col width="13" customWidth="1" min="15" max="15"/>
    <col width="17" customWidth="1" min="16" max="16"/>
    <col width="13" customWidth="1" min="17" max="17"/>
    <col width="13" customWidth="1" min="18" max="18"/>
    <col width="17" customWidth="1" min="19" max="19"/>
    <col width="20" customWidth="1" min="20" max="20"/>
    <col width="19" customWidth="1" min="21" max="21"/>
    <col width="20" customWidth="1" min="22" max="22"/>
    <col width="20" customWidth="1" min="23" max="23"/>
    <col width="19" customWidth="1" min="24" max="24"/>
    <col width="18" customWidth="1" min="25" max="25"/>
    <col width="20" customWidth="1" min="26" max="26"/>
    <col width="19" customWidth="1" min="27" max="27"/>
    <col width="17" customWidth="1" min="28" max="28"/>
    <col width="19" customWidth="1" min="29" max="29"/>
    <col width="15" customWidth="1" min="30" max="30"/>
    <col width="15" customWidth="1" min="31" max="31"/>
    <col width="15" customWidth="1" min="32" max="32"/>
    <col width="20" customWidth="1" min="33" max="33"/>
    <col width="30" customWidth="1" min="34" max="34"/>
    <col width="16" customWidth="1" min="35" max="35"/>
    <col width="20" customWidth="1" min="36" max="36"/>
    <col width="22" customWidth="1" min="37" max="37"/>
  </cols>
  <sheetData>
    <row r="1" ht="28" customHeight="1">
      <c r="A1" s="1" t="inlineStr">
        <is>
          <t>Reservation Revenue and Booking Costs</t>
        </is>
      </c>
    </row>
    <row r="2" ht="30" customHeight="1">
      <c r="A2" s="2" t="inlineStr">
        <is>
          <t>Enter one row per reservation. Blue cells are intended for user entry; gray formula cells calculate automatically. Revenue is reported in the check-out month.</t>
        </is>
      </c>
    </row>
    <row r="3">
      <c r="A3" s="10" t="inlineStr">
        <is>
          <t>Reservation ID</t>
        </is>
      </c>
      <c r="B3" s="10" t="inlineStr">
        <is>
          <t>Property</t>
        </is>
      </c>
      <c r="C3" s="10" t="inlineStr">
        <is>
          <t>Guest Name</t>
        </is>
      </c>
      <c r="D3" s="10" t="inlineStr">
        <is>
          <t>Booking Channel</t>
        </is>
      </c>
      <c r="E3" s="10" t="inlineStr">
        <is>
          <t>Booking Date</t>
        </is>
      </c>
      <c r="F3" s="10" t="inlineStr">
        <is>
          <t>Check-In Date</t>
        </is>
      </c>
      <c r="G3" s="10" t="inlineStr">
        <is>
          <t>Check-Out Date</t>
        </is>
      </c>
      <c r="H3" s="10" t="inlineStr">
        <is>
          <t>Nights</t>
        </is>
      </c>
      <c r="I3" s="10" t="inlineStr">
        <is>
          <t>Adults</t>
        </is>
      </c>
      <c r="J3" s="10" t="inlineStr">
        <is>
          <t>Children</t>
        </is>
      </c>
      <c r="K3" s="10" t="inlineStr">
        <is>
          <t>Pets</t>
        </is>
      </c>
      <c r="L3" s="10" t="inlineStr">
        <is>
          <t>Status</t>
        </is>
      </c>
      <c r="M3" s="10" t="inlineStr">
        <is>
          <t>Nightly Room Revenue</t>
        </is>
      </c>
      <c r="N3" s="10" t="inlineStr">
        <is>
          <t>Cleaning Fee</t>
        </is>
      </c>
      <c r="O3" s="10" t="inlineStr">
        <is>
          <t>Pet Fee</t>
        </is>
      </c>
      <c r="P3" s="10" t="inlineStr">
        <is>
          <t>Other Guest Fees</t>
        </is>
      </c>
      <c r="Q3" s="10" t="inlineStr">
        <is>
          <t>Discount</t>
        </is>
      </c>
      <c r="R3" s="10" t="inlineStr">
        <is>
          <t>Refund</t>
        </is>
      </c>
      <c r="S3" s="10" t="inlineStr">
        <is>
          <t>Lodging Tax Rate</t>
        </is>
      </c>
      <c r="T3" s="10" t="inlineStr">
        <is>
          <t>Taxable Guest Charges</t>
        </is>
      </c>
      <c r="U3" s="10" t="inlineStr">
        <is>
          <t>Lodging Tax Collected</t>
        </is>
      </c>
      <c r="V3" s="10" t="inlineStr">
        <is>
          <t>Gross Booking Revenue</t>
        </is>
      </c>
      <c r="W3" s="10" t="inlineStr">
        <is>
          <t>Channel Commission Rate</t>
        </is>
      </c>
      <c r="X3" s="10" t="inlineStr">
        <is>
          <t>Channel Commission</t>
        </is>
      </c>
      <c r="Y3" s="10" t="inlineStr">
        <is>
          <t>Processing Fee Rate</t>
        </is>
      </c>
      <c r="Z3" s="10" t="inlineStr">
        <is>
          <t>Payment Processing Fee</t>
        </is>
      </c>
      <c r="AA3" s="10" t="inlineStr">
        <is>
          <t>Management Fee Rate</t>
        </is>
      </c>
      <c r="AB3" s="10" t="inlineStr">
        <is>
          <t>Management Fee</t>
        </is>
      </c>
      <c r="AC3" s="10" t="inlineStr">
        <is>
          <t>Net Rental Revenue</t>
        </is>
      </c>
      <c r="AD3" s="10" t="inlineStr">
        <is>
          <t>Amount Paid</t>
        </is>
      </c>
      <c r="AE3" s="10" t="inlineStr">
        <is>
          <t>Balance Due</t>
        </is>
      </c>
      <c r="AF3" s="10" t="inlineStr">
        <is>
          <t>Payment Status</t>
        </is>
      </c>
      <c r="AG3" s="10" t="inlineStr">
        <is>
          <t>Confirmation Number</t>
        </is>
      </c>
      <c r="AH3" s="10" t="inlineStr">
        <is>
          <t>Internal Notes</t>
        </is>
      </c>
      <c r="AI3" s="10" t="inlineStr">
        <is>
          <t>Date Check</t>
        </is>
      </c>
      <c r="AJ3" s="10" t="inlineStr">
        <is>
          <t>Overlap Check</t>
        </is>
      </c>
      <c r="AK3" s="10" t="inlineStr">
        <is>
          <t>Record Check</t>
        </is>
      </c>
    </row>
    <row r="4">
      <c r="A4" s="25" t="inlineStr">
        <is>
          <t>VR-2026-001</t>
        </is>
      </c>
      <c r="B4" s="25" t="inlineStr">
        <is>
          <t>Harbor View Cottage</t>
        </is>
      </c>
      <c r="C4" s="25" t="inlineStr">
        <is>
          <t>Jordan Miller</t>
        </is>
      </c>
      <c r="D4" s="25" t="inlineStr">
        <is>
          <t>Direct</t>
        </is>
      </c>
      <c r="E4" s="26" t="n">
        <v>46027</v>
      </c>
      <c r="F4" s="26" t="n">
        <v>46063</v>
      </c>
      <c r="G4" s="26" t="n">
        <v>46067</v>
      </c>
      <c r="H4" s="27">
        <f>IFERROR(IF(OR(F4="",G4=""),"",MAX(0,G4-F4)),"")</f>
        <v/>
      </c>
      <c r="I4" s="25" t="n">
        <v>2</v>
      </c>
      <c r="J4" s="25" t="n">
        <v>1</v>
      </c>
      <c r="K4" s="25" t="n">
        <v>0</v>
      </c>
      <c r="L4" s="25" t="inlineStr">
        <is>
          <t>Completed</t>
        </is>
      </c>
      <c r="M4" s="49" t="n">
        <v>1040</v>
      </c>
      <c r="N4" s="49" t="n">
        <v>185</v>
      </c>
      <c r="O4" s="49" t="n">
        <v>0</v>
      </c>
      <c r="P4" s="49" t="n">
        <v>35</v>
      </c>
      <c r="Q4" s="49" t="n">
        <v>75</v>
      </c>
      <c r="R4" s="49" t="n">
        <v>0</v>
      </c>
      <c r="S4" s="50">
        <f>IFERROR(IF(B4="","",VLOOKUP(B4,'Assumptions'!$B$5:$K$104,7,FALSE)),"")</f>
        <v/>
      </c>
      <c r="T4" s="51">
        <f>IFERROR(IF(A4="","",MAX(0,M4-Q4+(N4+O4+P4)*VLOOKUP(B4,'Assumptions'!$B$5:$K$104,8,FALSE))),"")</f>
        <v/>
      </c>
      <c r="U4" s="51">
        <f>IFERROR(IF(A4="","",T4*S4),"")</f>
        <v/>
      </c>
      <c r="V4" s="51">
        <f>IFERROR(IF(A4="","",MAX(0,M4+N4+O4+P4-Q4)),"")</f>
        <v/>
      </c>
      <c r="W4" s="50">
        <f>IFERROR(IF(D4="","",VLOOKUP(D4,'Assumptions'!$U$5:$V$104,2,FALSE)),"")</f>
        <v/>
      </c>
      <c r="X4" s="51">
        <f>IFERROR(IF(A4="","",V4*W4),"")</f>
        <v/>
      </c>
      <c r="Y4" s="50">
        <f>IFERROR(IF(B4="","",VLOOKUP(B4,'Assumptions'!$B$5:$K$104,9,FALSE)),"")</f>
        <v/>
      </c>
      <c r="Z4" s="51">
        <f>IFERROR(IF(A4="","",(V4+U4)*Y4),"")</f>
        <v/>
      </c>
      <c r="AA4" s="50">
        <f>IFERROR(IF(B4="","",VLOOKUP(B4,'Assumptions'!$B$5:$K$104,10,FALSE)),"")</f>
        <v/>
      </c>
      <c r="AB4" s="51">
        <f>IFERROR(IF(A4="","",MAX(0,V4-R4)*AA4),"")</f>
        <v/>
      </c>
      <c r="AC4" s="51">
        <f>IFERROR(IF(A4="","",V4-R4-X4-Z4-AB4),"")</f>
        <v/>
      </c>
      <c r="AD4" s="49" t="n">
        <v>1350</v>
      </c>
      <c r="AE4" s="51">
        <f>IFERROR(IF(A4="","",MAX(0,V4+U4-R4-AD4)),"")</f>
        <v/>
      </c>
      <c r="AF4" s="27">
        <f>IFERROR(IF(A4="","",IF(OR(L4="Inquiry",L4="Tentative",L4="Canceled"),"Not Due",IF(AE4=0,"Paid","Balance Due"))),"")</f>
        <v/>
      </c>
      <c r="AG4" s="25" t="inlineStr">
        <is>
          <t>DIR-26001</t>
        </is>
      </c>
      <c r="AH4" s="31" t="inlineStr">
        <is>
          <t>Winter coastal stay</t>
        </is>
      </c>
      <c r="AI4" s="27">
        <f>IFERROR(IF(A4="","",IF(OR(F4="",G4=""),"Missing Date",IF(G4&lt;=F4,"Invalid Date","OK"))),"")</f>
        <v/>
      </c>
      <c r="AJ4" s="27">
        <f>IFERROR(IF(OR(A4="",B4="",F4="",G4="",L4="Canceled"),"",IF(COUNTIFS($B$4:$B$153,B4,$F$4:$F$153,"&lt;"&amp;G4,$G$4:$G$153,"&gt;"&amp;F4,$A$4:$A$153,"&lt;&gt;"&amp;A4,$L$4:$L$153,"&lt;&gt;Canceled")&gt;0,"Possible Overlap","OK")),"")</f>
        <v/>
      </c>
      <c r="AK4" s="27">
        <f>IFERROR(IF(COUNTA(A4:G4)=0,"",IF(A4="","Missing Reservation ID",IF(B4="","Missing Property",IF(AND(AE4&gt;='Assumptions'!$B$115,L4&lt;&gt;"Canceled"),"Review Balance",IF(OR(L4="Inquiry",L4="Tentative"),"Review Status","OK"))))),"")</f>
        <v/>
      </c>
    </row>
    <row r="5">
      <c r="A5" s="25" t="inlineStr">
        <is>
          <t>VR-2026-002</t>
        </is>
      </c>
      <c r="B5" s="25" t="inlineStr">
        <is>
          <t>Blue Ridge Cabin</t>
        </is>
      </c>
      <c r="C5" s="25" t="inlineStr">
        <is>
          <t>Casey Brooks</t>
        </is>
      </c>
      <c r="D5" s="25" t="inlineStr">
        <is>
          <t>Airbnb</t>
        </is>
      </c>
      <c r="E5" s="26" t="n">
        <v>46061</v>
      </c>
      <c r="F5" s="26" t="n">
        <v>46093</v>
      </c>
      <c r="G5" s="26" t="n">
        <v>46098</v>
      </c>
      <c r="H5" s="27">
        <f>IFERROR(IF(OR(F5="",G5=""),"",MAX(0,G5-F5)),"")</f>
        <v/>
      </c>
      <c r="I5" s="25" t="n">
        <v>4</v>
      </c>
      <c r="J5" s="25" t="n">
        <v>1</v>
      </c>
      <c r="K5" s="25" t="n">
        <v>0</v>
      </c>
      <c r="L5" s="25" t="inlineStr">
        <is>
          <t>Completed</t>
        </is>
      </c>
      <c r="M5" s="49" t="n">
        <v>1125</v>
      </c>
      <c r="N5" s="49" t="n">
        <v>160</v>
      </c>
      <c r="O5" s="49" t="n">
        <v>0</v>
      </c>
      <c r="P5" s="49" t="n">
        <v>25</v>
      </c>
      <c r="Q5" s="49" t="n">
        <v>0</v>
      </c>
      <c r="R5" s="49" t="n">
        <v>0</v>
      </c>
      <c r="S5" s="50">
        <f>IFERROR(IF(B5="","",VLOOKUP(B5,'Assumptions'!$B$5:$K$104,7,FALSE)),"")</f>
        <v/>
      </c>
      <c r="T5" s="51">
        <f>IFERROR(IF(A5="","",MAX(0,M5-Q5+(N5+O5+P5)*VLOOKUP(B5,'Assumptions'!$B$5:$K$104,8,FALSE))),"")</f>
        <v/>
      </c>
      <c r="U5" s="51">
        <f>IFERROR(IF(A5="","",T5*S5),"")</f>
        <v/>
      </c>
      <c r="V5" s="51">
        <f>IFERROR(IF(A5="","",MAX(0,M5+N5+O5+P5-Q5)),"")</f>
        <v/>
      </c>
      <c r="W5" s="50">
        <f>IFERROR(IF(D5="","",VLOOKUP(D5,'Assumptions'!$U$5:$V$104,2,FALSE)),"")</f>
        <v/>
      </c>
      <c r="X5" s="51">
        <f>IFERROR(IF(A5="","",V5*W5),"")</f>
        <v/>
      </c>
      <c r="Y5" s="50">
        <f>IFERROR(IF(B5="","",VLOOKUP(B5,'Assumptions'!$B$5:$K$104,9,FALSE)),"")</f>
        <v/>
      </c>
      <c r="Z5" s="51">
        <f>IFERROR(IF(A5="","",(V5+U5)*Y5),"")</f>
        <v/>
      </c>
      <c r="AA5" s="50">
        <f>IFERROR(IF(B5="","",VLOOKUP(B5,'Assumptions'!$B$5:$K$104,10,FALSE)),"")</f>
        <v/>
      </c>
      <c r="AB5" s="51">
        <f>IFERROR(IF(A5="","",MAX(0,V5-R5)*AA5),"")</f>
        <v/>
      </c>
      <c r="AC5" s="51">
        <f>IFERROR(IF(A5="","",V5-R5-X5-Z5-AB5),"")</f>
        <v/>
      </c>
      <c r="AD5" s="49" t="n">
        <v>1450</v>
      </c>
      <c r="AE5" s="51">
        <f>IFERROR(IF(A5="","",MAX(0,V5+U5-R5-AD5)),"")</f>
        <v/>
      </c>
      <c r="AF5" s="27">
        <f>IFERROR(IF(A5="","",IF(OR(L5="Inquiry",L5="Tentative",L5="Canceled"),"Not Due",IF(AE5=0,"Paid","Balance Due"))),"")</f>
        <v/>
      </c>
      <c r="AG5" s="25" t="inlineStr">
        <is>
          <t>AB-26002</t>
        </is>
      </c>
      <c r="AH5" s="31" t="inlineStr">
        <is>
          <t>Five-night mountain stay</t>
        </is>
      </c>
      <c r="AI5" s="27">
        <f>IFERROR(IF(A5="","",IF(OR(F5="",G5=""),"Missing Date",IF(G5&lt;=F5,"Invalid Date","OK"))),"")</f>
        <v/>
      </c>
      <c r="AJ5" s="27">
        <f>IFERROR(IF(OR(A5="",B5="",F5="",G5="",L5="Canceled"),"",IF(COUNTIFS($B$4:$B$153,B5,$F$4:$F$153,"&lt;"&amp;G5,$G$4:$G$153,"&gt;"&amp;F5,$A$4:$A$153,"&lt;&gt;"&amp;A5,$L$4:$L$153,"&lt;&gt;Canceled")&gt;0,"Possible Overlap","OK")),"")</f>
        <v/>
      </c>
      <c r="AK5" s="27">
        <f>IFERROR(IF(COUNTA(A5:G5)=0,"",IF(A5="","Missing Reservation ID",IF(B5="","Missing Property",IF(AND(AE5&gt;='Assumptions'!$B$115,L5&lt;&gt;"Canceled"),"Review Balance",IF(OR(L5="Inquiry",L5="Tentative"),"Review Status","OK"))))),"")</f>
        <v/>
      </c>
    </row>
    <row r="6">
      <c r="A6" s="25" t="inlineStr">
        <is>
          <t>VR-2026-003</t>
        </is>
      </c>
      <c r="B6" s="25" t="inlineStr">
        <is>
          <t>Desert Bloom Casita</t>
        </is>
      </c>
      <c r="C6" s="25" t="inlineStr">
        <is>
          <t>Morgan Reed</t>
        </is>
      </c>
      <c r="D6" s="25" t="inlineStr">
        <is>
          <t>Vrbo</t>
        </is>
      </c>
      <c r="E6" s="26" t="n">
        <v>46091</v>
      </c>
      <c r="F6" s="26" t="n">
        <v>46116</v>
      </c>
      <c r="G6" s="26" t="n">
        <v>46119</v>
      </c>
      <c r="H6" s="27">
        <f>IFERROR(IF(OR(F6="",G6=""),"",MAX(0,G6-F6)),"")</f>
        <v/>
      </c>
      <c r="I6" s="25" t="n">
        <v>2</v>
      </c>
      <c r="J6" s="25" t="n">
        <v>0</v>
      </c>
      <c r="K6" s="25" t="n">
        <v>0</v>
      </c>
      <c r="L6" s="25" t="inlineStr">
        <is>
          <t>Completed</t>
        </is>
      </c>
      <c r="M6" s="49" t="n">
        <v>690</v>
      </c>
      <c r="N6" s="49" t="n">
        <v>125</v>
      </c>
      <c r="O6" s="49" t="n">
        <v>0</v>
      </c>
      <c r="P6" s="49" t="n">
        <v>20</v>
      </c>
      <c r="Q6" s="49" t="n">
        <v>0</v>
      </c>
      <c r="R6" s="49" t="n">
        <v>0</v>
      </c>
      <c r="S6" s="50">
        <f>IFERROR(IF(B6="","",VLOOKUP(B6,'Assumptions'!$B$5:$K$104,7,FALSE)),"")</f>
        <v/>
      </c>
      <c r="T6" s="51">
        <f>IFERROR(IF(A6="","",MAX(0,M6-Q6+(N6+O6+P6)*VLOOKUP(B6,'Assumptions'!$B$5:$K$104,8,FALSE))),"")</f>
        <v/>
      </c>
      <c r="U6" s="51">
        <f>IFERROR(IF(A6="","",T6*S6),"")</f>
        <v/>
      </c>
      <c r="V6" s="51">
        <f>IFERROR(IF(A6="","",MAX(0,M6+N6+O6+P6-Q6)),"")</f>
        <v/>
      </c>
      <c r="W6" s="50">
        <f>IFERROR(IF(D6="","",VLOOKUP(D6,'Assumptions'!$U$5:$V$104,2,FALSE)),"")</f>
        <v/>
      </c>
      <c r="X6" s="51">
        <f>IFERROR(IF(A6="","",V6*W6),"")</f>
        <v/>
      </c>
      <c r="Y6" s="50">
        <f>IFERROR(IF(B6="","",VLOOKUP(B6,'Assumptions'!$B$5:$K$104,9,FALSE)),"")</f>
        <v/>
      </c>
      <c r="Z6" s="51">
        <f>IFERROR(IF(A6="","",(V6+U6)*Y6),"")</f>
        <v/>
      </c>
      <c r="AA6" s="50">
        <f>IFERROR(IF(B6="","",VLOOKUP(B6,'Assumptions'!$B$5:$K$104,10,FALSE)),"")</f>
        <v/>
      </c>
      <c r="AB6" s="51">
        <f>IFERROR(IF(A6="","",MAX(0,V6-R6)*AA6),"")</f>
        <v/>
      </c>
      <c r="AC6" s="51">
        <f>IFERROR(IF(A6="","",V6-R6-X6-Z6-AB6),"")</f>
        <v/>
      </c>
      <c r="AD6" s="49" t="n">
        <v>950</v>
      </c>
      <c r="AE6" s="51">
        <f>IFERROR(IF(A6="","",MAX(0,V6+U6-R6-AD6)),"")</f>
        <v/>
      </c>
      <c r="AF6" s="27">
        <f>IFERROR(IF(A6="","",IF(OR(L6="Inquiry",L6="Tentative",L6="Canceled"),"Not Due",IF(AE6=0,"Paid","Balance Due"))),"")</f>
        <v/>
      </c>
      <c r="AG6" s="25" t="inlineStr">
        <is>
          <t>VB-26003</t>
        </is>
      </c>
      <c r="AH6" s="31" t="inlineStr">
        <is>
          <t>Spring weekend</t>
        </is>
      </c>
      <c r="AI6" s="27">
        <f>IFERROR(IF(A6="","",IF(OR(F6="",G6=""),"Missing Date",IF(G6&lt;=F6,"Invalid Date","OK"))),"")</f>
        <v/>
      </c>
      <c r="AJ6" s="27">
        <f>IFERROR(IF(OR(A6="",B6="",F6="",G6="",L6="Canceled"),"",IF(COUNTIFS($B$4:$B$153,B6,$F$4:$F$153,"&lt;"&amp;G6,$G$4:$G$153,"&gt;"&amp;F6,$A$4:$A$153,"&lt;&gt;"&amp;A6,$L$4:$L$153,"&lt;&gt;Canceled")&gt;0,"Possible Overlap","OK")),"")</f>
        <v/>
      </c>
      <c r="AK6" s="27">
        <f>IFERROR(IF(COUNTA(A6:G6)=0,"",IF(A6="","Missing Reservation ID",IF(B6="","Missing Property",IF(AND(AE6&gt;='Assumptions'!$B$115,L6&lt;&gt;"Canceled"),"Review Balance",IF(OR(L6="Inquiry",L6="Tentative"),"Review Status","OK"))))),"")</f>
        <v/>
      </c>
    </row>
    <row r="7">
      <c r="A7" s="25" t="inlineStr">
        <is>
          <t>VR-2026-004</t>
        </is>
      </c>
      <c r="B7" s="25" t="inlineStr">
        <is>
          <t>Harbor View Cottage</t>
        </is>
      </c>
      <c r="C7" s="25" t="inlineStr">
        <is>
          <t>Taylor Foster</t>
        </is>
      </c>
      <c r="D7" s="25" t="inlineStr">
        <is>
          <t>Booking.com</t>
        </is>
      </c>
      <c r="E7" s="26" t="n">
        <v>46114</v>
      </c>
      <c r="F7" s="26" t="n">
        <v>46162</v>
      </c>
      <c r="G7" s="26" t="n">
        <v>46169</v>
      </c>
      <c r="H7" s="27">
        <f>IFERROR(IF(OR(F7="",G7=""),"",MAX(0,G7-F7)),"")</f>
        <v/>
      </c>
      <c r="I7" s="25" t="n">
        <v>5</v>
      </c>
      <c r="J7" s="25" t="n">
        <v>2</v>
      </c>
      <c r="K7" s="25" t="n">
        <v>1</v>
      </c>
      <c r="L7" s="25" t="inlineStr">
        <is>
          <t>Completed</t>
        </is>
      </c>
      <c r="M7" s="49" t="n">
        <v>1960</v>
      </c>
      <c r="N7" s="49" t="n">
        <v>210</v>
      </c>
      <c r="O7" s="49" t="n">
        <v>85</v>
      </c>
      <c r="P7" s="49" t="n">
        <v>45</v>
      </c>
      <c r="Q7" s="49" t="n">
        <v>100</v>
      </c>
      <c r="R7" s="49" t="n">
        <v>0</v>
      </c>
      <c r="S7" s="50">
        <f>IFERROR(IF(B7="","",VLOOKUP(B7,'Assumptions'!$B$5:$K$104,7,FALSE)),"")</f>
        <v/>
      </c>
      <c r="T7" s="51">
        <f>IFERROR(IF(A7="","",MAX(0,M7-Q7+(N7+O7+P7)*VLOOKUP(B7,'Assumptions'!$B$5:$K$104,8,FALSE))),"")</f>
        <v/>
      </c>
      <c r="U7" s="51">
        <f>IFERROR(IF(A7="","",T7*S7),"")</f>
        <v/>
      </c>
      <c r="V7" s="51">
        <f>IFERROR(IF(A7="","",MAX(0,M7+N7+O7+P7-Q7)),"")</f>
        <v/>
      </c>
      <c r="W7" s="50">
        <f>IFERROR(IF(D7="","",VLOOKUP(D7,'Assumptions'!$U$5:$V$104,2,FALSE)),"")</f>
        <v/>
      </c>
      <c r="X7" s="51">
        <f>IFERROR(IF(A7="","",V7*W7),"")</f>
        <v/>
      </c>
      <c r="Y7" s="50">
        <f>IFERROR(IF(B7="","",VLOOKUP(B7,'Assumptions'!$B$5:$K$104,9,FALSE)),"")</f>
        <v/>
      </c>
      <c r="Z7" s="51">
        <f>IFERROR(IF(A7="","",(V7+U7)*Y7),"")</f>
        <v/>
      </c>
      <c r="AA7" s="50">
        <f>IFERROR(IF(B7="","",VLOOKUP(B7,'Assumptions'!$B$5:$K$104,10,FALSE)),"")</f>
        <v/>
      </c>
      <c r="AB7" s="51">
        <f>IFERROR(IF(A7="","",MAX(0,V7-R7)*AA7),"")</f>
        <v/>
      </c>
      <c r="AC7" s="51">
        <f>IFERROR(IF(A7="","",V7-R7-X7-Z7-AB7),"")</f>
        <v/>
      </c>
      <c r="AD7" s="49" t="n">
        <v>2450</v>
      </c>
      <c r="AE7" s="51">
        <f>IFERROR(IF(A7="","",MAX(0,V7+U7-R7-AD7)),"")</f>
        <v/>
      </c>
      <c r="AF7" s="27">
        <f>IFERROR(IF(A7="","",IF(OR(L7="Inquiry",L7="Tentative",L7="Canceled"),"Not Due",IF(AE7=0,"Paid","Balance Due"))),"")</f>
        <v/>
      </c>
      <c r="AG7" s="25" t="inlineStr">
        <is>
          <t>BC-26004</t>
        </is>
      </c>
      <c r="AH7" s="31" t="inlineStr">
        <is>
          <t>Pet stay with discount</t>
        </is>
      </c>
      <c r="AI7" s="27">
        <f>IFERROR(IF(A7="","",IF(OR(F7="",G7=""),"Missing Date",IF(G7&lt;=F7,"Invalid Date","OK"))),"")</f>
        <v/>
      </c>
      <c r="AJ7" s="27">
        <f>IFERROR(IF(OR(A7="",B7="",F7="",G7="",L7="Canceled"),"",IF(COUNTIFS($B$4:$B$153,B7,$F$4:$F$153,"&lt;"&amp;G7,$G$4:$G$153,"&gt;"&amp;F7,$A$4:$A$153,"&lt;&gt;"&amp;A7,$L$4:$L$153,"&lt;&gt;Canceled")&gt;0,"Possible Overlap","OK")),"")</f>
        <v/>
      </c>
      <c r="AK7" s="27">
        <f>IFERROR(IF(COUNTA(A7:G7)=0,"",IF(A7="","Missing Reservation ID",IF(B7="","Missing Property",IF(AND(AE7&gt;='Assumptions'!$B$115,L7&lt;&gt;"Canceled"),"Review Balance",IF(OR(L7="Inquiry",L7="Tentative"),"Review Status","OK"))))),"")</f>
        <v/>
      </c>
    </row>
    <row r="8">
      <c r="A8" s="25" t="inlineStr">
        <is>
          <t>VR-2026-005</t>
        </is>
      </c>
      <c r="B8" s="25" t="inlineStr">
        <is>
          <t>Blue Ridge Cabin</t>
        </is>
      </c>
      <c r="C8" s="25" t="inlineStr">
        <is>
          <t>Avery Coleman</t>
        </is>
      </c>
      <c r="D8" s="25" t="inlineStr">
        <is>
          <t>Direct</t>
        </is>
      </c>
      <c r="E8" s="26" t="n">
        <v>46157</v>
      </c>
      <c r="F8" s="26" t="n">
        <v>46184</v>
      </c>
      <c r="G8" s="26" t="n">
        <v>46188</v>
      </c>
      <c r="H8" s="27">
        <f>IFERROR(IF(OR(F8="",G8=""),"",MAX(0,G8-F8)),"")</f>
        <v/>
      </c>
      <c r="I8" s="25" t="n">
        <v>3</v>
      </c>
      <c r="J8" s="25" t="n">
        <v>1</v>
      </c>
      <c r="K8" s="25" t="n">
        <v>0</v>
      </c>
      <c r="L8" s="25" t="inlineStr">
        <is>
          <t>Completed</t>
        </is>
      </c>
      <c r="M8" s="49" t="n">
        <v>920</v>
      </c>
      <c r="N8" s="49" t="n">
        <v>165</v>
      </c>
      <c r="O8" s="49" t="n">
        <v>0</v>
      </c>
      <c r="P8" s="49" t="n">
        <v>30</v>
      </c>
      <c r="Q8" s="49" t="n">
        <v>0</v>
      </c>
      <c r="R8" s="49" t="n">
        <v>120</v>
      </c>
      <c r="S8" s="50">
        <f>IFERROR(IF(B8="","",VLOOKUP(B8,'Assumptions'!$B$5:$K$104,7,FALSE)),"")</f>
        <v/>
      </c>
      <c r="T8" s="51">
        <f>IFERROR(IF(A8="","",MAX(0,M8-Q8+(N8+O8+P8)*VLOOKUP(B8,'Assumptions'!$B$5:$K$104,8,FALSE))),"")</f>
        <v/>
      </c>
      <c r="U8" s="51">
        <f>IFERROR(IF(A8="","",T8*S8),"")</f>
        <v/>
      </c>
      <c r="V8" s="51">
        <f>IFERROR(IF(A8="","",MAX(0,M8+N8+O8+P8-Q8)),"")</f>
        <v/>
      </c>
      <c r="W8" s="50">
        <f>IFERROR(IF(D8="","",VLOOKUP(D8,'Assumptions'!$U$5:$V$104,2,FALSE)),"")</f>
        <v/>
      </c>
      <c r="X8" s="51">
        <f>IFERROR(IF(A8="","",V8*W8),"")</f>
        <v/>
      </c>
      <c r="Y8" s="50">
        <f>IFERROR(IF(B8="","",VLOOKUP(B8,'Assumptions'!$B$5:$K$104,9,FALSE)),"")</f>
        <v/>
      </c>
      <c r="Z8" s="51">
        <f>IFERROR(IF(A8="","",(V8+U8)*Y8),"")</f>
        <v/>
      </c>
      <c r="AA8" s="50">
        <f>IFERROR(IF(B8="","",VLOOKUP(B8,'Assumptions'!$B$5:$K$104,10,FALSE)),"")</f>
        <v/>
      </c>
      <c r="AB8" s="51">
        <f>IFERROR(IF(A8="","",MAX(0,V8-R8)*AA8),"")</f>
        <v/>
      </c>
      <c r="AC8" s="51">
        <f>IFERROR(IF(A8="","",V8-R8-X8-Z8-AB8),"")</f>
        <v/>
      </c>
      <c r="AD8" s="49" t="n">
        <v>1050</v>
      </c>
      <c r="AE8" s="51">
        <f>IFERROR(IF(A8="","",MAX(0,V8+U8-R8-AD8)),"")</f>
        <v/>
      </c>
      <c r="AF8" s="27">
        <f>IFERROR(IF(A8="","",IF(OR(L8="Inquiry",L8="Tentative",L8="Canceled"),"Not Due",IF(AE8=0,"Paid","Balance Due"))),"")</f>
        <v/>
      </c>
      <c r="AG8" s="25" t="inlineStr">
        <is>
          <t>DIR-26005</t>
        </is>
      </c>
      <c r="AH8" s="31" t="inlineStr">
        <is>
          <t>Partial refund for maintenance issue</t>
        </is>
      </c>
      <c r="AI8" s="27">
        <f>IFERROR(IF(A8="","",IF(OR(F8="",G8=""),"Missing Date",IF(G8&lt;=F8,"Invalid Date","OK"))),"")</f>
        <v/>
      </c>
      <c r="AJ8" s="27">
        <f>IFERROR(IF(OR(A8="",B8="",F8="",G8="",L8="Canceled"),"",IF(COUNTIFS($B$4:$B$153,B8,$F$4:$F$153,"&lt;"&amp;G8,$G$4:$G$153,"&gt;"&amp;F8,$A$4:$A$153,"&lt;&gt;"&amp;A8,$L$4:$L$153,"&lt;&gt;Canceled")&gt;0,"Possible Overlap","OK")),"")</f>
        <v/>
      </c>
      <c r="AK8" s="27">
        <f>IFERROR(IF(COUNTA(A8:G8)=0,"",IF(A8="","Missing Reservation ID",IF(B8="","Missing Property",IF(AND(AE8&gt;='Assumptions'!$B$115,L8&lt;&gt;"Canceled"),"Review Balance",IF(OR(L8="Inquiry",L8="Tentative"),"Review Status","OK"))))),"")</f>
        <v/>
      </c>
    </row>
    <row r="9">
      <c r="A9" s="25" t="inlineStr">
        <is>
          <t>VR-2026-006</t>
        </is>
      </c>
      <c r="B9" s="25" t="inlineStr">
        <is>
          <t>Desert Bloom Casita</t>
        </is>
      </c>
      <c r="C9" s="25" t="inlineStr">
        <is>
          <t>Riley Sutton</t>
        </is>
      </c>
      <c r="D9" s="25" t="inlineStr">
        <is>
          <t>Airbnb</t>
        </is>
      </c>
      <c r="E9" s="26" t="n">
        <v>46181</v>
      </c>
      <c r="F9" s="26" t="n">
        <v>46211</v>
      </c>
      <c r="G9" s="26" t="n">
        <v>46213</v>
      </c>
      <c r="H9" s="27">
        <f>IFERROR(IF(OR(F9="",G9=""),"",MAX(0,G9-F9)),"")</f>
        <v/>
      </c>
      <c r="I9" s="25" t="n">
        <v>2</v>
      </c>
      <c r="J9" s="25" t="n">
        <v>0</v>
      </c>
      <c r="K9" s="25" t="n">
        <v>0</v>
      </c>
      <c r="L9" s="25" t="inlineStr">
        <is>
          <t>Completed</t>
        </is>
      </c>
      <c r="M9" s="49" t="n">
        <v>410</v>
      </c>
      <c r="N9" s="49" t="n">
        <v>125</v>
      </c>
      <c r="O9" s="49" t="n">
        <v>0</v>
      </c>
      <c r="P9" s="49" t="n">
        <v>15</v>
      </c>
      <c r="Q9" s="49" t="n">
        <v>0</v>
      </c>
      <c r="R9" s="49" t="n">
        <v>0</v>
      </c>
      <c r="S9" s="50">
        <f>IFERROR(IF(B9="","",VLOOKUP(B9,'Assumptions'!$B$5:$K$104,7,FALSE)),"")</f>
        <v/>
      </c>
      <c r="T9" s="51">
        <f>IFERROR(IF(A9="","",MAX(0,M9-Q9+(N9+O9+P9)*VLOOKUP(B9,'Assumptions'!$B$5:$K$104,8,FALSE))),"")</f>
        <v/>
      </c>
      <c r="U9" s="51">
        <f>IFERROR(IF(A9="","",T9*S9),"")</f>
        <v/>
      </c>
      <c r="V9" s="51">
        <f>IFERROR(IF(A9="","",MAX(0,M9+N9+O9+P9-Q9)),"")</f>
        <v/>
      </c>
      <c r="W9" s="50">
        <f>IFERROR(IF(D9="","",VLOOKUP(D9,'Assumptions'!$U$5:$V$104,2,FALSE)),"")</f>
        <v/>
      </c>
      <c r="X9" s="51">
        <f>IFERROR(IF(A9="","",V9*W9),"")</f>
        <v/>
      </c>
      <c r="Y9" s="50">
        <f>IFERROR(IF(B9="","",VLOOKUP(B9,'Assumptions'!$B$5:$K$104,9,FALSE)),"")</f>
        <v/>
      </c>
      <c r="Z9" s="51">
        <f>IFERROR(IF(A9="","",(V9+U9)*Y9),"")</f>
        <v/>
      </c>
      <c r="AA9" s="50">
        <f>IFERROR(IF(B9="","",VLOOKUP(B9,'Assumptions'!$B$5:$K$104,10,FALSE)),"")</f>
        <v/>
      </c>
      <c r="AB9" s="51">
        <f>IFERROR(IF(A9="","",MAX(0,V9-R9)*AA9),"")</f>
        <v/>
      </c>
      <c r="AC9" s="51">
        <f>IFERROR(IF(A9="","",V9-R9-X9-Z9-AB9),"")</f>
        <v/>
      </c>
      <c r="AD9" s="49" t="n">
        <v>620</v>
      </c>
      <c r="AE9" s="51">
        <f>IFERROR(IF(A9="","",MAX(0,V9+U9-R9-AD9)),"")</f>
        <v/>
      </c>
      <c r="AF9" s="27">
        <f>IFERROR(IF(A9="","",IF(OR(L9="Inquiry",L9="Tentative",L9="Canceled"),"Not Due",IF(AE9=0,"Paid","Balance Due"))),"")</f>
        <v/>
      </c>
      <c r="AG9" s="25" t="inlineStr">
        <is>
          <t>AB-26006</t>
        </is>
      </c>
      <c r="AH9" s="31" t="inlineStr">
        <is>
          <t>Short summer stay</t>
        </is>
      </c>
      <c r="AI9" s="27">
        <f>IFERROR(IF(A9="","",IF(OR(F9="",G9=""),"Missing Date",IF(G9&lt;=F9,"Invalid Date","OK"))),"")</f>
        <v/>
      </c>
      <c r="AJ9" s="27">
        <f>IFERROR(IF(OR(A9="",B9="",F9="",G9="",L9="Canceled"),"",IF(COUNTIFS($B$4:$B$153,B9,$F$4:$F$153,"&lt;"&amp;G9,$G$4:$G$153,"&gt;"&amp;F9,$A$4:$A$153,"&lt;&gt;"&amp;A9,$L$4:$L$153,"&lt;&gt;Canceled")&gt;0,"Possible Overlap","OK")),"")</f>
        <v/>
      </c>
      <c r="AK9" s="27">
        <f>IFERROR(IF(COUNTA(A9:G9)=0,"",IF(A9="","Missing Reservation ID",IF(B9="","Missing Property",IF(AND(AE9&gt;='Assumptions'!$B$115,L9&lt;&gt;"Canceled"),"Review Balance",IF(OR(L9="Inquiry",L9="Tentative"),"Review Status","OK"))))),"")</f>
        <v/>
      </c>
    </row>
    <row r="10">
      <c r="A10" s="25" t="inlineStr">
        <is>
          <t>VR-2026-007</t>
        </is>
      </c>
      <c r="B10" s="25" t="inlineStr">
        <is>
          <t>Harbor View Cottage</t>
        </is>
      </c>
      <c r="C10" s="25" t="inlineStr">
        <is>
          <t>Parker Ellis</t>
        </is>
      </c>
      <c r="D10" s="25" t="inlineStr">
        <is>
          <t>Vrbo</t>
        </is>
      </c>
      <c r="E10" s="26" t="n">
        <v>46217</v>
      </c>
      <c r="F10" s="26" t="n">
        <v>46283</v>
      </c>
      <c r="G10" s="26" t="n">
        <v>46288</v>
      </c>
      <c r="H10" s="27">
        <f>IFERROR(IF(OR(F10="",G10=""),"",MAX(0,G10-F10)),"")</f>
        <v/>
      </c>
      <c r="I10" s="25" t="n">
        <v>4</v>
      </c>
      <c r="J10" s="25" t="n">
        <v>2</v>
      </c>
      <c r="K10" s="25" t="n">
        <v>0</v>
      </c>
      <c r="L10" s="25" t="inlineStr">
        <is>
          <t>Checked In</t>
        </is>
      </c>
      <c r="M10" s="49" t="n">
        <v>1575</v>
      </c>
      <c r="N10" s="49" t="n">
        <v>195</v>
      </c>
      <c r="O10" s="49" t="n">
        <v>0</v>
      </c>
      <c r="P10" s="49" t="n">
        <v>40</v>
      </c>
      <c r="Q10" s="49" t="n">
        <v>0</v>
      </c>
      <c r="R10" s="49" t="n">
        <v>0</v>
      </c>
      <c r="S10" s="50">
        <f>IFERROR(IF(B10="","",VLOOKUP(B10,'Assumptions'!$B$5:$K$104,7,FALSE)),"")</f>
        <v/>
      </c>
      <c r="T10" s="51">
        <f>IFERROR(IF(A10="","",MAX(0,M10-Q10+(N10+O10+P10)*VLOOKUP(B10,'Assumptions'!$B$5:$K$104,8,FALSE))),"")</f>
        <v/>
      </c>
      <c r="U10" s="51">
        <f>IFERROR(IF(A10="","",T10*S10),"")</f>
        <v/>
      </c>
      <c r="V10" s="51">
        <f>IFERROR(IF(A10="","",MAX(0,M10+N10+O10+P10-Q10)),"")</f>
        <v/>
      </c>
      <c r="W10" s="50">
        <f>IFERROR(IF(D10="","",VLOOKUP(D10,'Assumptions'!$U$5:$V$104,2,FALSE)),"")</f>
        <v/>
      </c>
      <c r="X10" s="51">
        <f>IFERROR(IF(A10="","",V10*W10),"")</f>
        <v/>
      </c>
      <c r="Y10" s="50">
        <f>IFERROR(IF(B10="","",VLOOKUP(B10,'Assumptions'!$B$5:$K$104,9,FALSE)),"")</f>
        <v/>
      </c>
      <c r="Z10" s="51">
        <f>IFERROR(IF(A10="","",(V10+U10)*Y10),"")</f>
        <v/>
      </c>
      <c r="AA10" s="50">
        <f>IFERROR(IF(B10="","",VLOOKUP(B10,'Assumptions'!$B$5:$K$104,10,FALSE)),"")</f>
        <v/>
      </c>
      <c r="AB10" s="51">
        <f>IFERROR(IF(A10="","",MAX(0,V10-R10)*AA10),"")</f>
        <v/>
      </c>
      <c r="AC10" s="51">
        <f>IFERROR(IF(A10="","",V10-R10-X10-Z10-AB10),"")</f>
        <v/>
      </c>
      <c r="AD10" s="49" t="n">
        <v>1700</v>
      </c>
      <c r="AE10" s="51">
        <f>IFERROR(IF(A10="","",MAX(0,V10+U10-R10-AD10)),"")</f>
        <v/>
      </c>
      <c r="AF10" s="27">
        <f>IFERROR(IF(A10="","",IF(OR(L10="Inquiry",L10="Tentative",L10="Canceled"),"Not Due",IF(AE10=0,"Paid","Balance Due"))),"")</f>
        <v/>
      </c>
      <c r="AG10" s="25" t="inlineStr">
        <is>
          <t>VB-26007</t>
        </is>
      </c>
      <c r="AH10" s="31" t="inlineStr">
        <is>
          <t>Balance remains due</t>
        </is>
      </c>
      <c r="AI10" s="27">
        <f>IFERROR(IF(A10="","",IF(OR(F10="",G10=""),"Missing Date",IF(G10&lt;=F10,"Invalid Date","OK"))),"")</f>
        <v/>
      </c>
      <c r="AJ10" s="27">
        <f>IFERROR(IF(OR(A10="",B10="",F10="",G10="",L10="Canceled"),"",IF(COUNTIFS($B$4:$B$153,B10,$F$4:$F$153,"&lt;"&amp;G10,$G$4:$G$153,"&gt;"&amp;F10,$A$4:$A$153,"&lt;&gt;"&amp;A10,$L$4:$L$153,"&lt;&gt;Canceled")&gt;0,"Possible Overlap","OK")),"")</f>
        <v/>
      </c>
      <c r="AK10" s="27">
        <f>IFERROR(IF(COUNTA(A10:G10)=0,"",IF(A10="","Missing Reservation ID",IF(B10="","Missing Property",IF(AND(AE10&gt;='Assumptions'!$B$115,L10&lt;&gt;"Canceled"),"Review Balance",IF(OR(L10="Inquiry",L10="Tentative"),"Review Status","OK"))))),"")</f>
        <v/>
      </c>
    </row>
    <row r="11">
      <c r="A11" s="25" t="inlineStr">
        <is>
          <t>VR-2026-008</t>
        </is>
      </c>
      <c r="B11" s="25" t="inlineStr">
        <is>
          <t>Harbor View Cottage</t>
        </is>
      </c>
      <c r="C11" s="25" t="inlineStr">
        <is>
          <t>Quinn Harper</t>
        </is>
      </c>
      <c r="D11" s="25" t="inlineStr">
        <is>
          <t>Direct</t>
        </is>
      </c>
      <c r="E11" s="26" t="n">
        <v>46236</v>
      </c>
      <c r="F11" s="26" t="n">
        <v>46286</v>
      </c>
      <c r="G11" s="26" t="n">
        <v>46290</v>
      </c>
      <c r="H11" s="27">
        <f>IFERROR(IF(OR(F11="",G11=""),"",MAX(0,G11-F11)),"")</f>
        <v/>
      </c>
      <c r="I11" s="25" t="n">
        <v>2</v>
      </c>
      <c r="J11" s="25" t="n">
        <v>0</v>
      </c>
      <c r="K11" s="25" t="n">
        <v>0</v>
      </c>
      <c r="L11" s="25" t="inlineStr">
        <is>
          <t>Confirmed</t>
        </is>
      </c>
      <c r="M11" s="49" t="n">
        <v>1260</v>
      </c>
      <c r="N11" s="49" t="n">
        <v>195</v>
      </c>
      <c r="O11" s="49" t="n">
        <v>0</v>
      </c>
      <c r="P11" s="49" t="n">
        <v>25</v>
      </c>
      <c r="Q11" s="49" t="n">
        <v>0</v>
      </c>
      <c r="R11" s="49" t="n">
        <v>0</v>
      </c>
      <c r="S11" s="50">
        <f>IFERROR(IF(B11="","",VLOOKUP(B11,'Assumptions'!$B$5:$K$104,7,FALSE)),"")</f>
        <v/>
      </c>
      <c r="T11" s="51">
        <f>IFERROR(IF(A11="","",MAX(0,M11-Q11+(N11+O11+P11)*VLOOKUP(B11,'Assumptions'!$B$5:$K$104,8,FALSE))),"")</f>
        <v/>
      </c>
      <c r="U11" s="51">
        <f>IFERROR(IF(A11="","",T11*S11),"")</f>
        <v/>
      </c>
      <c r="V11" s="51">
        <f>IFERROR(IF(A11="","",MAX(0,M11+N11+O11+P11-Q11)),"")</f>
        <v/>
      </c>
      <c r="W11" s="50">
        <f>IFERROR(IF(D11="","",VLOOKUP(D11,'Assumptions'!$U$5:$V$104,2,FALSE)),"")</f>
        <v/>
      </c>
      <c r="X11" s="51">
        <f>IFERROR(IF(A11="","",V11*W11),"")</f>
        <v/>
      </c>
      <c r="Y11" s="50">
        <f>IFERROR(IF(B11="","",VLOOKUP(B11,'Assumptions'!$B$5:$K$104,9,FALSE)),"")</f>
        <v/>
      </c>
      <c r="Z11" s="51">
        <f>IFERROR(IF(A11="","",(V11+U11)*Y11),"")</f>
        <v/>
      </c>
      <c r="AA11" s="50">
        <f>IFERROR(IF(B11="","",VLOOKUP(B11,'Assumptions'!$B$5:$K$104,10,FALSE)),"")</f>
        <v/>
      </c>
      <c r="AB11" s="51">
        <f>IFERROR(IF(A11="","",MAX(0,V11-R11)*AA11),"")</f>
        <v/>
      </c>
      <c r="AC11" s="51">
        <f>IFERROR(IF(A11="","",V11-R11-X11-Z11-AB11),"")</f>
        <v/>
      </c>
      <c r="AD11" s="49" t="n">
        <v>1600</v>
      </c>
      <c r="AE11" s="51">
        <f>IFERROR(IF(A11="","",MAX(0,V11+U11-R11-AD11)),"")</f>
        <v/>
      </c>
      <c r="AF11" s="27">
        <f>IFERROR(IF(A11="","",IF(OR(L11="Inquiry",L11="Tentative",L11="Canceled"),"Not Due",IF(AE11=0,"Paid","Balance Due"))),"")</f>
        <v/>
      </c>
      <c r="AG11" s="25" t="inlineStr">
        <is>
          <t>DIR-26008</t>
        </is>
      </c>
      <c r="AH11" s="31" t="inlineStr">
        <is>
          <t>Intentional overlap for review</t>
        </is>
      </c>
      <c r="AI11" s="27">
        <f>IFERROR(IF(A11="","",IF(OR(F11="",G11=""),"Missing Date",IF(G11&lt;=F11,"Invalid Date","OK"))),"")</f>
        <v/>
      </c>
      <c r="AJ11" s="27">
        <f>IFERROR(IF(OR(A11="",B11="",F11="",G11="",L11="Canceled"),"",IF(COUNTIFS($B$4:$B$153,B11,$F$4:$F$153,"&lt;"&amp;G11,$G$4:$G$153,"&gt;"&amp;F11,$A$4:$A$153,"&lt;&gt;"&amp;A11,$L$4:$L$153,"&lt;&gt;Canceled")&gt;0,"Possible Overlap","OK")),"")</f>
        <v/>
      </c>
      <c r="AK11" s="27">
        <f>IFERROR(IF(COUNTA(A11:G11)=0,"",IF(A11="","Missing Reservation ID",IF(B11="","Missing Property",IF(AND(AE11&gt;='Assumptions'!$B$115,L11&lt;&gt;"Canceled"),"Review Balance",IF(OR(L11="Inquiry",L11="Tentative"),"Review Status","OK"))))),"")</f>
        <v/>
      </c>
    </row>
    <row r="12">
      <c r="A12" s="25" t="inlineStr">
        <is>
          <t>VR-2026-009</t>
        </is>
      </c>
      <c r="B12" s="25" t="inlineStr">
        <is>
          <t>Blue Ridge Cabin</t>
        </is>
      </c>
      <c r="C12" s="25" t="inlineStr">
        <is>
          <t>Cameron Blake</t>
        </is>
      </c>
      <c r="D12" s="25" t="inlineStr">
        <is>
          <t>Booking.com</t>
        </is>
      </c>
      <c r="E12" s="26" t="n">
        <v>46253</v>
      </c>
      <c r="F12" s="26" t="n">
        <v>46304</v>
      </c>
      <c r="G12" s="26" t="n">
        <v>46307</v>
      </c>
      <c r="H12" s="27">
        <f>IFERROR(IF(OR(F12="",G12=""),"",MAX(0,G12-F12)),"")</f>
        <v/>
      </c>
      <c r="I12" s="25" t="n">
        <v>2</v>
      </c>
      <c r="J12" s="25" t="n">
        <v>1</v>
      </c>
      <c r="K12" s="25" t="n">
        <v>0</v>
      </c>
      <c r="L12" s="25" t="inlineStr">
        <is>
          <t>Confirmed</t>
        </is>
      </c>
      <c r="M12" s="49" t="n">
        <v>735</v>
      </c>
      <c r="N12" s="49" t="n">
        <v>165</v>
      </c>
      <c r="O12" s="49" t="n">
        <v>0</v>
      </c>
      <c r="P12" s="49" t="n">
        <v>20</v>
      </c>
      <c r="Q12" s="49" t="n">
        <v>0</v>
      </c>
      <c r="R12" s="49" t="n">
        <v>0</v>
      </c>
      <c r="S12" s="50">
        <f>IFERROR(IF(B12="","",VLOOKUP(B12,'Assumptions'!$B$5:$K$104,7,FALSE)),"")</f>
        <v/>
      </c>
      <c r="T12" s="51">
        <f>IFERROR(IF(A12="","",MAX(0,M12-Q12+(N12+O12+P12)*VLOOKUP(B12,'Assumptions'!$B$5:$K$104,8,FALSE))),"")</f>
        <v/>
      </c>
      <c r="U12" s="51">
        <f>IFERROR(IF(A12="","",T12*S12),"")</f>
        <v/>
      </c>
      <c r="V12" s="51">
        <f>IFERROR(IF(A12="","",MAX(0,M12+N12+O12+P12-Q12)),"")</f>
        <v/>
      </c>
      <c r="W12" s="50">
        <f>IFERROR(IF(D12="","",VLOOKUP(D12,'Assumptions'!$U$5:$V$104,2,FALSE)),"")</f>
        <v/>
      </c>
      <c r="X12" s="51">
        <f>IFERROR(IF(A12="","",V12*W12),"")</f>
        <v/>
      </c>
      <c r="Y12" s="50">
        <f>IFERROR(IF(B12="","",VLOOKUP(B12,'Assumptions'!$B$5:$K$104,9,FALSE)),"")</f>
        <v/>
      </c>
      <c r="Z12" s="51">
        <f>IFERROR(IF(A12="","",(V12+U12)*Y12),"")</f>
        <v/>
      </c>
      <c r="AA12" s="50">
        <f>IFERROR(IF(B12="","",VLOOKUP(B12,'Assumptions'!$B$5:$K$104,10,FALSE)),"")</f>
        <v/>
      </c>
      <c r="AB12" s="51">
        <f>IFERROR(IF(A12="","",MAX(0,V12-R12)*AA12),"")</f>
        <v/>
      </c>
      <c r="AC12" s="51">
        <f>IFERROR(IF(A12="","",V12-R12-X12-Z12-AB12),"")</f>
        <v/>
      </c>
      <c r="AD12" s="49" t="n">
        <v>1050</v>
      </c>
      <c r="AE12" s="51">
        <f>IFERROR(IF(A12="","",MAX(0,V12+U12-R12-AD12)),"")</f>
        <v/>
      </c>
      <c r="AF12" s="27">
        <f>IFERROR(IF(A12="","",IF(OR(L12="Inquiry",L12="Tentative",L12="Canceled"),"Not Due",IF(AE12=0,"Paid","Balance Due"))),"")</f>
        <v/>
      </c>
      <c r="AG12" s="25" t="inlineStr">
        <is>
          <t>BC-26009</t>
        </is>
      </c>
      <c r="AH12" s="31" t="inlineStr">
        <is>
          <t>Autumn booking</t>
        </is>
      </c>
      <c r="AI12" s="27">
        <f>IFERROR(IF(A12="","",IF(OR(F12="",G12=""),"Missing Date",IF(G12&lt;=F12,"Invalid Date","OK"))),"")</f>
        <v/>
      </c>
      <c r="AJ12" s="27">
        <f>IFERROR(IF(OR(A12="",B12="",F12="",G12="",L12="Canceled"),"",IF(COUNTIFS($B$4:$B$153,B12,$F$4:$F$153,"&lt;"&amp;G12,$G$4:$G$153,"&gt;"&amp;F12,$A$4:$A$153,"&lt;&gt;"&amp;A12,$L$4:$L$153,"&lt;&gt;Canceled")&gt;0,"Possible Overlap","OK")),"")</f>
        <v/>
      </c>
      <c r="AK12" s="27">
        <f>IFERROR(IF(COUNTA(A12:G12)=0,"",IF(A12="","Missing Reservation ID",IF(B12="","Missing Property",IF(AND(AE12&gt;='Assumptions'!$B$115,L12&lt;&gt;"Canceled"),"Review Balance",IF(OR(L12="Inquiry",L12="Tentative"),"Review Status","OK"))))),"")</f>
        <v/>
      </c>
    </row>
    <row r="13">
      <c r="A13" s="25" t="inlineStr">
        <is>
          <t>VR-2026-010</t>
        </is>
      </c>
      <c r="B13" s="25" t="inlineStr">
        <is>
          <t>Desert Bloom Casita</t>
        </is>
      </c>
      <c r="C13" s="25" t="inlineStr">
        <is>
          <t>Skyler Monroe</t>
        </is>
      </c>
      <c r="D13" s="25" t="inlineStr">
        <is>
          <t>Airbnb</t>
        </is>
      </c>
      <c r="E13" s="26" t="n">
        <v>46266</v>
      </c>
      <c r="F13" s="26" t="n">
        <v>46332</v>
      </c>
      <c r="G13" s="26" t="n">
        <v>46336</v>
      </c>
      <c r="H13" s="27">
        <f>IFERROR(IF(OR(F13="",G13=""),"",MAX(0,G13-F13)),"")</f>
        <v/>
      </c>
      <c r="I13" s="25" t="n">
        <v>2</v>
      </c>
      <c r="J13" s="25" t="n">
        <v>0</v>
      </c>
      <c r="K13" s="25" t="n">
        <v>0</v>
      </c>
      <c r="L13" s="25" t="inlineStr">
        <is>
          <t>Canceled</t>
        </is>
      </c>
      <c r="M13" s="49" t="n">
        <v>760</v>
      </c>
      <c r="N13" s="49" t="n">
        <v>125</v>
      </c>
      <c r="O13" s="49" t="n">
        <v>0</v>
      </c>
      <c r="P13" s="49" t="n">
        <v>20</v>
      </c>
      <c r="Q13" s="49" t="n">
        <v>0</v>
      </c>
      <c r="R13" s="49" t="n">
        <v>0</v>
      </c>
      <c r="S13" s="50">
        <f>IFERROR(IF(B13="","",VLOOKUP(B13,'Assumptions'!$B$5:$K$104,7,FALSE)),"")</f>
        <v/>
      </c>
      <c r="T13" s="51">
        <f>IFERROR(IF(A13="","",MAX(0,M13-Q13+(N13+O13+P13)*VLOOKUP(B13,'Assumptions'!$B$5:$K$104,8,FALSE))),"")</f>
        <v/>
      </c>
      <c r="U13" s="51">
        <f>IFERROR(IF(A13="","",T13*S13),"")</f>
        <v/>
      </c>
      <c r="V13" s="51">
        <f>IFERROR(IF(A13="","",MAX(0,M13+N13+O13+P13-Q13)),"")</f>
        <v/>
      </c>
      <c r="W13" s="50">
        <f>IFERROR(IF(D13="","",VLOOKUP(D13,'Assumptions'!$U$5:$V$104,2,FALSE)),"")</f>
        <v/>
      </c>
      <c r="X13" s="51">
        <f>IFERROR(IF(A13="","",V13*W13),"")</f>
        <v/>
      </c>
      <c r="Y13" s="50">
        <f>IFERROR(IF(B13="","",VLOOKUP(B13,'Assumptions'!$B$5:$K$104,9,FALSE)),"")</f>
        <v/>
      </c>
      <c r="Z13" s="51">
        <f>IFERROR(IF(A13="","",(V13+U13)*Y13),"")</f>
        <v/>
      </c>
      <c r="AA13" s="50">
        <f>IFERROR(IF(B13="","",VLOOKUP(B13,'Assumptions'!$B$5:$K$104,10,FALSE)),"")</f>
        <v/>
      </c>
      <c r="AB13" s="51">
        <f>IFERROR(IF(A13="","",MAX(0,V13-R13)*AA13),"")</f>
        <v/>
      </c>
      <c r="AC13" s="51">
        <f>IFERROR(IF(A13="","",V13-R13-X13-Z13-AB13),"")</f>
        <v/>
      </c>
      <c r="AD13" s="49" t="n">
        <v>0</v>
      </c>
      <c r="AE13" s="51">
        <f>IFERROR(IF(A13="","",MAX(0,V13+U13-R13-AD13)),"")</f>
        <v/>
      </c>
      <c r="AF13" s="27">
        <f>IFERROR(IF(A13="","",IF(OR(L13="Inquiry",L13="Tentative",L13="Canceled"),"Not Due",IF(AE13=0,"Paid","Balance Due"))),"")</f>
        <v/>
      </c>
      <c r="AG13" s="25" t="inlineStr">
        <is>
          <t>AB-26010</t>
        </is>
      </c>
      <c r="AH13" s="31" t="inlineStr">
        <is>
          <t>Canceled reservation excluded</t>
        </is>
      </c>
      <c r="AI13" s="27">
        <f>IFERROR(IF(A13="","",IF(OR(F13="",G13=""),"Missing Date",IF(G13&lt;=F13,"Invalid Date","OK"))),"")</f>
        <v/>
      </c>
      <c r="AJ13" s="27">
        <f>IFERROR(IF(OR(A13="",B13="",F13="",G13="",L13="Canceled"),"",IF(COUNTIFS($B$4:$B$153,B13,$F$4:$F$153,"&lt;"&amp;G13,$G$4:$G$153,"&gt;"&amp;F13,$A$4:$A$153,"&lt;&gt;"&amp;A13,$L$4:$L$153,"&lt;&gt;Canceled")&gt;0,"Possible Overlap","OK")),"")</f>
        <v/>
      </c>
      <c r="AK13" s="27">
        <f>IFERROR(IF(COUNTA(A13:G13)=0,"",IF(A13="","Missing Reservation ID",IF(B13="","Missing Property",IF(AND(AE13&gt;='Assumptions'!$B$115,L13&lt;&gt;"Canceled"),"Review Balance",IF(OR(L13="Inquiry",L13="Tentative"),"Review Status","OK"))))),"")</f>
        <v/>
      </c>
    </row>
    <row r="14">
      <c r="A14" s="25" t="n"/>
      <c r="B14" s="25" t="n"/>
      <c r="C14" s="25" t="n"/>
      <c r="D14" s="25" t="n"/>
      <c r="E14" s="26" t="n"/>
      <c r="F14" s="26" t="n"/>
      <c r="G14" s="26" t="n"/>
      <c r="H14" s="27">
        <f>IFERROR(IF(OR(F14="",G14=""),"",MAX(0,G14-F14)),"")</f>
        <v/>
      </c>
      <c r="I14" s="25" t="n"/>
      <c r="J14" s="25" t="n"/>
      <c r="K14" s="25" t="n"/>
      <c r="L14" s="25" t="n"/>
      <c r="M14" s="49" t="n"/>
      <c r="N14" s="49" t="n"/>
      <c r="O14" s="49" t="n"/>
      <c r="P14" s="49" t="n"/>
      <c r="Q14" s="49" t="n"/>
      <c r="R14" s="49" t="n"/>
      <c r="S14" s="50">
        <f>IFERROR(IF(B14="","",VLOOKUP(B14,'Assumptions'!$B$5:$K$104,7,FALSE)),"")</f>
        <v/>
      </c>
      <c r="T14" s="51">
        <f>IFERROR(IF(A14="","",MAX(0,M14-Q14+(N14+O14+P14)*VLOOKUP(B14,'Assumptions'!$B$5:$K$104,8,FALSE))),"")</f>
        <v/>
      </c>
      <c r="U14" s="51">
        <f>IFERROR(IF(A14="","",T14*S14),"")</f>
        <v/>
      </c>
      <c r="V14" s="51">
        <f>IFERROR(IF(A14="","",MAX(0,M14+N14+O14+P14-Q14)),"")</f>
        <v/>
      </c>
      <c r="W14" s="50">
        <f>IFERROR(IF(D14="","",VLOOKUP(D14,'Assumptions'!$U$5:$V$104,2,FALSE)),"")</f>
        <v/>
      </c>
      <c r="X14" s="51">
        <f>IFERROR(IF(A14="","",V14*W14),"")</f>
        <v/>
      </c>
      <c r="Y14" s="50">
        <f>IFERROR(IF(B14="","",VLOOKUP(B14,'Assumptions'!$B$5:$K$104,9,FALSE)),"")</f>
        <v/>
      </c>
      <c r="Z14" s="51">
        <f>IFERROR(IF(A14="","",(V14+U14)*Y14),"")</f>
        <v/>
      </c>
      <c r="AA14" s="50">
        <f>IFERROR(IF(B14="","",VLOOKUP(B14,'Assumptions'!$B$5:$K$104,10,FALSE)),"")</f>
        <v/>
      </c>
      <c r="AB14" s="51">
        <f>IFERROR(IF(A14="","",MAX(0,V14-R14)*AA14),"")</f>
        <v/>
      </c>
      <c r="AC14" s="51">
        <f>IFERROR(IF(A14="","",V14-R14-X14-Z14-AB14),"")</f>
        <v/>
      </c>
      <c r="AD14" s="49" t="n"/>
      <c r="AE14" s="51">
        <f>IFERROR(IF(A14="","",MAX(0,V14+U14-R14-AD14)),"")</f>
        <v/>
      </c>
      <c r="AF14" s="27">
        <f>IFERROR(IF(A14="","",IF(OR(L14="Inquiry",L14="Tentative",L14="Canceled"),"Not Due",IF(AE14=0,"Paid","Balance Due"))),"")</f>
        <v/>
      </c>
      <c r="AG14" s="25" t="n"/>
      <c r="AH14" s="31" t="n"/>
      <c r="AI14" s="27">
        <f>IFERROR(IF(A14="","",IF(OR(F14="",G14=""),"Missing Date",IF(G14&lt;=F14,"Invalid Date","OK"))),"")</f>
        <v/>
      </c>
      <c r="AJ14" s="27">
        <f>IFERROR(IF(OR(A14="",B14="",F14="",G14="",L14="Canceled"),"",IF(COUNTIFS($B$4:$B$153,B14,$F$4:$F$153,"&lt;"&amp;G14,$G$4:$G$153,"&gt;"&amp;F14,$A$4:$A$153,"&lt;&gt;"&amp;A14,$L$4:$L$153,"&lt;&gt;Canceled")&gt;0,"Possible Overlap","OK")),"")</f>
        <v/>
      </c>
      <c r="AK14" s="27">
        <f>IFERROR(IF(COUNTA(A14:G14)=0,"",IF(A14="","Missing Reservation ID",IF(B14="","Missing Property",IF(AND(AE14&gt;='Assumptions'!$B$115,L14&lt;&gt;"Canceled"),"Review Balance",IF(OR(L14="Inquiry",L14="Tentative"),"Review Status","OK"))))),"")</f>
        <v/>
      </c>
    </row>
    <row r="15">
      <c r="A15" s="25" t="n"/>
      <c r="B15" s="25" t="n"/>
      <c r="C15" s="25" t="n"/>
      <c r="D15" s="25" t="n"/>
      <c r="E15" s="26" t="n"/>
      <c r="F15" s="26" t="n"/>
      <c r="G15" s="26" t="n"/>
      <c r="H15" s="27">
        <f>IFERROR(IF(OR(F15="",G15=""),"",MAX(0,G15-F15)),"")</f>
        <v/>
      </c>
      <c r="I15" s="25" t="n"/>
      <c r="J15" s="25" t="n"/>
      <c r="K15" s="25" t="n"/>
      <c r="L15" s="25" t="n"/>
      <c r="M15" s="49" t="n"/>
      <c r="N15" s="49" t="n"/>
      <c r="O15" s="49" t="n"/>
      <c r="P15" s="49" t="n"/>
      <c r="Q15" s="49" t="n"/>
      <c r="R15" s="49" t="n"/>
      <c r="S15" s="50">
        <f>IFERROR(IF(B15="","",VLOOKUP(B15,'Assumptions'!$B$5:$K$104,7,FALSE)),"")</f>
        <v/>
      </c>
      <c r="T15" s="51">
        <f>IFERROR(IF(A15="","",MAX(0,M15-Q15+(N15+O15+P15)*VLOOKUP(B15,'Assumptions'!$B$5:$K$104,8,FALSE))),"")</f>
        <v/>
      </c>
      <c r="U15" s="51">
        <f>IFERROR(IF(A15="","",T15*S15),"")</f>
        <v/>
      </c>
      <c r="V15" s="51">
        <f>IFERROR(IF(A15="","",MAX(0,M15+N15+O15+P15-Q15)),"")</f>
        <v/>
      </c>
      <c r="W15" s="50">
        <f>IFERROR(IF(D15="","",VLOOKUP(D15,'Assumptions'!$U$5:$V$104,2,FALSE)),"")</f>
        <v/>
      </c>
      <c r="X15" s="51">
        <f>IFERROR(IF(A15="","",V15*W15),"")</f>
        <v/>
      </c>
      <c r="Y15" s="50">
        <f>IFERROR(IF(B15="","",VLOOKUP(B15,'Assumptions'!$B$5:$K$104,9,FALSE)),"")</f>
        <v/>
      </c>
      <c r="Z15" s="51">
        <f>IFERROR(IF(A15="","",(V15+U15)*Y15),"")</f>
        <v/>
      </c>
      <c r="AA15" s="50">
        <f>IFERROR(IF(B15="","",VLOOKUP(B15,'Assumptions'!$B$5:$K$104,10,FALSE)),"")</f>
        <v/>
      </c>
      <c r="AB15" s="51">
        <f>IFERROR(IF(A15="","",MAX(0,V15-R15)*AA15),"")</f>
        <v/>
      </c>
      <c r="AC15" s="51">
        <f>IFERROR(IF(A15="","",V15-R15-X15-Z15-AB15),"")</f>
        <v/>
      </c>
      <c r="AD15" s="49" t="n"/>
      <c r="AE15" s="51">
        <f>IFERROR(IF(A15="","",MAX(0,V15+U15-R15-AD15)),"")</f>
        <v/>
      </c>
      <c r="AF15" s="27">
        <f>IFERROR(IF(A15="","",IF(OR(L15="Inquiry",L15="Tentative",L15="Canceled"),"Not Due",IF(AE15=0,"Paid","Balance Due"))),"")</f>
        <v/>
      </c>
      <c r="AG15" s="25" t="n"/>
      <c r="AH15" s="31" t="n"/>
      <c r="AI15" s="27">
        <f>IFERROR(IF(A15="","",IF(OR(F15="",G15=""),"Missing Date",IF(G15&lt;=F15,"Invalid Date","OK"))),"")</f>
        <v/>
      </c>
      <c r="AJ15" s="27">
        <f>IFERROR(IF(OR(A15="",B15="",F15="",G15="",L15="Canceled"),"",IF(COUNTIFS($B$4:$B$153,B15,$F$4:$F$153,"&lt;"&amp;G15,$G$4:$G$153,"&gt;"&amp;F15,$A$4:$A$153,"&lt;&gt;"&amp;A15,$L$4:$L$153,"&lt;&gt;Canceled")&gt;0,"Possible Overlap","OK")),"")</f>
        <v/>
      </c>
      <c r="AK15" s="27">
        <f>IFERROR(IF(COUNTA(A15:G15)=0,"",IF(A15="","Missing Reservation ID",IF(B15="","Missing Property",IF(AND(AE15&gt;='Assumptions'!$B$115,L15&lt;&gt;"Canceled"),"Review Balance",IF(OR(L15="Inquiry",L15="Tentative"),"Review Status","OK"))))),"")</f>
        <v/>
      </c>
    </row>
    <row r="16">
      <c r="A16" s="25" t="n"/>
      <c r="B16" s="25" t="n"/>
      <c r="C16" s="25" t="n"/>
      <c r="D16" s="25" t="n"/>
      <c r="E16" s="26" t="n"/>
      <c r="F16" s="26" t="n"/>
      <c r="G16" s="26" t="n"/>
      <c r="H16" s="27">
        <f>IFERROR(IF(OR(F16="",G16=""),"",MAX(0,G16-F16)),"")</f>
        <v/>
      </c>
      <c r="I16" s="25" t="n"/>
      <c r="J16" s="25" t="n"/>
      <c r="K16" s="25" t="n"/>
      <c r="L16" s="25" t="n"/>
      <c r="M16" s="49" t="n"/>
      <c r="N16" s="49" t="n"/>
      <c r="O16" s="49" t="n"/>
      <c r="P16" s="49" t="n"/>
      <c r="Q16" s="49" t="n"/>
      <c r="R16" s="49" t="n"/>
      <c r="S16" s="50">
        <f>IFERROR(IF(B16="","",VLOOKUP(B16,'Assumptions'!$B$5:$K$104,7,FALSE)),"")</f>
        <v/>
      </c>
      <c r="T16" s="51">
        <f>IFERROR(IF(A16="","",MAX(0,M16-Q16+(N16+O16+P16)*VLOOKUP(B16,'Assumptions'!$B$5:$K$104,8,FALSE))),"")</f>
        <v/>
      </c>
      <c r="U16" s="51">
        <f>IFERROR(IF(A16="","",T16*S16),"")</f>
        <v/>
      </c>
      <c r="V16" s="51">
        <f>IFERROR(IF(A16="","",MAX(0,M16+N16+O16+P16-Q16)),"")</f>
        <v/>
      </c>
      <c r="W16" s="50">
        <f>IFERROR(IF(D16="","",VLOOKUP(D16,'Assumptions'!$U$5:$V$104,2,FALSE)),"")</f>
        <v/>
      </c>
      <c r="X16" s="51">
        <f>IFERROR(IF(A16="","",V16*W16),"")</f>
        <v/>
      </c>
      <c r="Y16" s="50">
        <f>IFERROR(IF(B16="","",VLOOKUP(B16,'Assumptions'!$B$5:$K$104,9,FALSE)),"")</f>
        <v/>
      </c>
      <c r="Z16" s="51">
        <f>IFERROR(IF(A16="","",(V16+U16)*Y16),"")</f>
        <v/>
      </c>
      <c r="AA16" s="50">
        <f>IFERROR(IF(B16="","",VLOOKUP(B16,'Assumptions'!$B$5:$K$104,10,FALSE)),"")</f>
        <v/>
      </c>
      <c r="AB16" s="51">
        <f>IFERROR(IF(A16="","",MAX(0,V16-R16)*AA16),"")</f>
        <v/>
      </c>
      <c r="AC16" s="51">
        <f>IFERROR(IF(A16="","",V16-R16-X16-Z16-AB16),"")</f>
        <v/>
      </c>
      <c r="AD16" s="49" t="n"/>
      <c r="AE16" s="51">
        <f>IFERROR(IF(A16="","",MAX(0,V16+U16-R16-AD16)),"")</f>
        <v/>
      </c>
      <c r="AF16" s="27">
        <f>IFERROR(IF(A16="","",IF(OR(L16="Inquiry",L16="Tentative",L16="Canceled"),"Not Due",IF(AE16=0,"Paid","Balance Due"))),"")</f>
        <v/>
      </c>
      <c r="AG16" s="25" t="n"/>
      <c r="AH16" s="31" t="n"/>
      <c r="AI16" s="27">
        <f>IFERROR(IF(A16="","",IF(OR(F16="",G16=""),"Missing Date",IF(G16&lt;=F16,"Invalid Date","OK"))),"")</f>
        <v/>
      </c>
      <c r="AJ16" s="27">
        <f>IFERROR(IF(OR(A16="",B16="",F16="",G16="",L16="Canceled"),"",IF(COUNTIFS($B$4:$B$153,B16,$F$4:$F$153,"&lt;"&amp;G16,$G$4:$G$153,"&gt;"&amp;F16,$A$4:$A$153,"&lt;&gt;"&amp;A16,$L$4:$L$153,"&lt;&gt;Canceled")&gt;0,"Possible Overlap","OK")),"")</f>
        <v/>
      </c>
      <c r="AK16" s="27">
        <f>IFERROR(IF(COUNTA(A16:G16)=0,"",IF(A16="","Missing Reservation ID",IF(B16="","Missing Property",IF(AND(AE16&gt;='Assumptions'!$B$115,L16&lt;&gt;"Canceled"),"Review Balance",IF(OR(L16="Inquiry",L16="Tentative"),"Review Status","OK"))))),"")</f>
        <v/>
      </c>
    </row>
    <row r="17">
      <c r="A17" s="25" t="n"/>
      <c r="B17" s="25" t="n"/>
      <c r="C17" s="25" t="n"/>
      <c r="D17" s="25" t="n"/>
      <c r="E17" s="26" t="n"/>
      <c r="F17" s="26" t="n"/>
      <c r="G17" s="26" t="n"/>
      <c r="H17" s="27">
        <f>IFERROR(IF(OR(F17="",G17=""),"",MAX(0,G17-F17)),"")</f>
        <v/>
      </c>
      <c r="I17" s="25" t="n"/>
      <c r="J17" s="25" t="n"/>
      <c r="K17" s="25" t="n"/>
      <c r="L17" s="25" t="n"/>
      <c r="M17" s="49" t="n"/>
      <c r="N17" s="49" t="n"/>
      <c r="O17" s="49" t="n"/>
      <c r="P17" s="49" t="n"/>
      <c r="Q17" s="49" t="n"/>
      <c r="R17" s="49" t="n"/>
      <c r="S17" s="50">
        <f>IFERROR(IF(B17="","",VLOOKUP(B17,'Assumptions'!$B$5:$K$104,7,FALSE)),"")</f>
        <v/>
      </c>
      <c r="T17" s="51">
        <f>IFERROR(IF(A17="","",MAX(0,M17-Q17+(N17+O17+P17)*VLOOKUP(B17,'Assumptions'!$B$5:$K$104,8,FALSE))),"")</f>
        <v/>
      </c>
      <c r="U17" s="51">
        <f>IFERROR(IF(A17="","",T17*S17),"")</f>
        <v/>
      </c>
      <c r="V17" s="51">
        <f>IFERROR(IF(A17="","",MAX(0,M17+N17+O17+P17-Q17)),"")</f>
        <v/>
      </c>
      <c r="W17" s="50">
        <f>IFERROR(IF(D17="","",VLOOKUP(D17,'Assumptions'!$U$5:$V$104,2,FALSE)),"")</f>
        <v/>
      </c>
      <c r="X17" s="51">
        <f>IFERROR(IF(A17="","",V17*W17),"")</f>
        <v/>
      </c>
      <c r="Y17" s="50">
        <f>IFERROR(IF(B17="","",VLOOKUP(B17,'Assumptions'!$B$5:$K$104,9,FALSE)),"")</f>
        <v/>
      </c>
      <c r="Z17" s="51">
        <f>IFERROR(IF(A17="","",(V17+U17)*Y17),"")</f>
        <v/>
      </c>
      <c r="AA17" s="50">
        <f>IFERROR(IF(B17="","",VLOOKUP(B17,'Assumptions'!$B$5:$K$104,10,FALSE)),"")</f>
        <v/>
      </c>
      <c r="AB17" s="51">
        <f>IFERROR(IF(A17="","",MAX(0,V17-R17)*AA17),"")</f>
        <v/>
      </c>
      <c r="AC17" s="51">
        <f>IFERROR(IF(A17="","",V17-R17-X17-Z17-AB17),"")</f>
        <v/>
      </c>
      <c r="AD17" s="49" t="n"/>
      <c r="AE17" s="51">
        <f>IFERROR(IF(A17="","",MAX(0,V17+U17-R17-AD17)),"")</f>
        <v/>
      </c>
      <c r="AF17" s="27">
        <f>IFERROR(IF(A17="","",IF(OR(L17="Inquiry",L17="Tentative",L17="Canceled"),"Not Due",IF(AE17=0,"Paid","Balance Due"))),"")</f>
        <v/>
      </c>
      <c r="AG17" s="25" t="n"/>
      <c r="AH17" s="31" t="n"/>
      <c r="AI17" s="27">
        <f>IFERROR(IF(A17="","",IF(OR(F17="",G17=""),"Missing Date",IF(G17&lt;=F17,"Invalid Date","OK"))),"")</f>
        <v/>
      </c>
      <c r="AJ17" s="27">
        <f>IFERROR(IF(OR(A17="",B17="",F17="",G17="",L17="Canceled"),"",IF(COUNTIFS($B$4:$B$153,B17,$F$4:$F$153,"&lt;"&amp;G17,$G$4:$G$153,"&gt;"&amp;F17,$A$4:$A$153,"&lt;&gt;"&amp;A17,$L$4:$L$153,"&lt;&gt;Canceled")&gt;0,"Possible Overlap","OK")),"")</f>
        <v/>
      </c>
      <c r="AK17" s="27">
        <f>IFERROR(IF(COUNTA(A17:G17)=0,"",IF(A17="","Missing Reservation ID",IF(B17="","Missing Property",IF(AND(AE17&gt;='Assumptions'!$B$115,L17&lt;&gt;"Canceled"),"Review Balance",IF(OR(L17="Inquiry",L17="Tentative"),"Review Status","OK"))))),"")</f>
        <v/>
      </c>
    </row>
    <row r="18">
      <c r="A18" s="25" t="n"/>
      <c r="B18" s="25" t="n"/>
      <c r="C18" s="25" t="n"/>
      <c r="D18" s="25" t="n"/>
      <c r="E18" s="26" t="n"/>
      <c r="F18" s="26" t="n"/>
      <c r="G18" s="26" t="n"/>
      <c r="H18" s="27">
        <f>IFERROR(IF(OR(F18="",G18=""),"",MAX(0,G18-F18)),"")</f>
        <v/>
      </c>
      <c r="I18" s="25" t="n"/>
      <c r="J18" s="25" t="n"/>
      <c r="K18" s="25" t="n"/>
      <c r="L18" s="25" t="n"/>
      <c r="M18" s="49" t="n"/>
      <c r="N18" s="49" t="n"/>
      <c r="O18" s="49" t="n"/>
      <c r="P18" s="49" t="n"/>
      <c r="Q18" s="49" t="n"/>
      <c r="R18" s="49" t="n"/>
      <c r="S18" s="50">
        <f>IFERROR(IF(B18="","",VLOOKUP(B18,'Assumptions'!$B$5:$K$104,7,FALSE)),"")</f>
        <v/>
      </c>
      <c r="T18" s="51">
        <f>IFERROR(IF(A18="","",MAX(0,M18-Q18+(N18+O18+P18)*VLOOKUP(B18,'Assumptions'!$B$5:$K$104,8,FALSE))),"")</f>
        <v/>
      </c>
      <c r="U18" s="51">
        <f>IFERROR(IF(A18="","",T18*S18),"")</f>
        <v/>
      </c>
      <c r="V18" s="51">
        <f>IFERROR(IF(A18="","",MAX(0,M18+N18+O18+P18-Q18)),"")</f>
        <v/>
      </c>
      <c r="W18" s="50">
        <f>IFERROR(IF(D18="","",VLOOKUP(D18,'Assumptions'!$U$5:$V$104,2,FALSE)),"")</f>
        <v/>
      </c>
      <c r="X18" s="51">
        <f>IFERROR(IF(A18="","",V18*W18),"")</f>
        <v/>
      </c>
      <c r="Y18" s="50">
        <f>IFERROR(IF(B18="","",VLOOKUP(B18,'Assumptions'!$B$5:$K$104,9,FALSE)),"")</f>
        <v/>
      </c>
      <c r="Z18" s="51">
        <f>IFERROR(IF(A18="","",(V18+U18)*Y18),"")</f>
        <v/>
      </c>
      <c r="AA18" s="50">
        <f>IFERROR(IF(B18="","",VLOOKUP(B18,'Assumptions'!$B$5:$K$104,10,FALSE)),"")</f>
        <v/>
      </c>
      <c r="AB18" s="51">
        <f>IFERROR(IF(A18="","",MAX(0,V18-R18)*AA18),"")</f>
        <v/>
      </c>
      <c r="AC18" s="51">
        <f>IFERROR(IF(A18="","",V18-R18-X18-Z18-AB18),"")</f>
        <v/>
      </c>
      <c r="AD18" s="49" t="n"/>
      <c r="AE18" s="51">
        <f>IFERROR(IF(A18="","",MAX(0,V18+U18-R18-AD18)),"")</f>
        <v/>
      </c>
      <c r="AF18" s="27">
        <f>IFERROR(IF(A18="","",IF(OR(L18="Inquiry",L18="Tentative",L18="Canceled"),"Not Due",IF(AE18=0,"Paid","Balance Due"))),"")</f>
        <v/>
      </c>
      <c r="AG18" s="25" t="n"/>
      <c r="AH18" s="31" t="n"/>
      <c r="AI18" s="27">
        <f>IFERROR(IF(A18="","",IF(OR(F18="",G18=""),"Missing Date",IF(G18&lt;=F18,"Invalid Date","OK"))),"")</f>
        <v/>
      </c>
      <c r="AJ18" s="27">
        <f>IFERROR(IF(OR(A18="",B18="",F18="",G18="",L18="Canceled"),"",IF(COUNTIFS($B$4:$B$153,B18,$F$4:$F$153,"&lt;"&amp;G18,$G$4:$G$153,"&gt;"&amp;F18,$A$4:$A$153,"&lt;&gt;"&amp;A18,$L$4:$L$153,"&lt;&gt;Canceled")&gt;0,"Possible Overlap","OK")),"")</f>
        <v/>
      </c>
      <c r="AK18" s="27">
        <f>IFERROR(IF(COUNTA(A18:G18)=0,"",IF(A18="","Missing Reservation ID",IF(B18="","Missing Property",IF(AND(AE18&gt;='Assumptions'!$B$115,L18&lt;&gt;"Canceled"),"Review Balance",IF(OR(L18="Inquiry",L18="Tentative"),"Review Status","OK"))))),"")</f>
        <v/>
      </c>
    </row>
    <row r="19">
      <c r="A19" s="25" t="n"/>
      <c r="B19" s="25" t="n"/>
      <c r="C19" s="25" t="n"/>
      <c r="D19" s="25" t="n"/>
      <c r="E19" s="26" t="n"/>
      <c r="F19" s="26" t="n"/>
      <c r="G19" s="26" t="n"/>
      <c r="H19" s="27">
        <f>IFERROR(IF(OR(F19="",G19=""),"",MAX(0,G19-F19)),"")</f>
        <v/>
      </c>
      <c r="I19" s="25" t="n"/>
      <c r="J19" s="25" t="n"/>
      <c r="K19" s="25" t="n"/>
      <c r="L19" s="25" t="n"/>
      <c r="M19" s="49" t="n"/>
      <c r="N19" s="49" t="n"/>
      <c r="O19" s="49" t="n"/>
      <c r="P19" s="49" t="n"/>
      <c r="Q19" s="49" t="n"/>
      <c r="R19" s="49" t="n"/>
      <c r="S19" s="50">
        <f>IFERROR(IF(B19="","",VLOOKUP(B19,'Assumptions'!$B$5:$K$104,7,FALSE)),"")</f>
        <v/>
      </c>
      <c r="T19" s="51">
        <f>IFERROR(IF(A19="","",MAX(0,M19-Q19+(N19+O19+P19)*VLOOKUP(B19,'Assumptions'!$B$5:$K$104,8,FALSE))),"")</f>
        <v/>
      </c>
      <c r="U19" s="51">
        <f>IFERROR(IF(A19="","",T19*S19),"")</f>
        <v/>
      </c>
      <c r="V19" s="51">
        <f>IFERROR(IF(A19="","",MAX(0,M19+N19+O19+P19-Q19)),"")</f>
        <v/>
      </c>
      <c r="W19" s="50">
        <f>IFERROR(IF(D19="","",VLOOKUP(D19,'Assumptions'!$U$5:$V$104,2,FALSE)),"")</f>
        <v/>
      </c>
      <c r="X19" s="51">
        <f>IFERROR(IF(A19="","",V19*W19),"")</f>
        <v/>
      </c>
      <c r="Y19" s="50">
        <f>IFERROR(IF(B19="","",VLOOKUP(B19,'Assumptions'!$B$5:$K$104,9,FALSE)),"")</f>
        <v/>
      </c>
      <c r="Z19" s="51">
        <f>IFERROR(IF(A19="","",(V19+U19)*Y19),"")</f>
        <v/>
      </c>
      <c r="AA19" s="50">
        <f>IFERROR(IF(B19="","",VLOOKUP(B19,'Assumptions'!$B$5:$K$104,10,FALSE)),"")</f>
        <v/>
      </c>
      <c r="AB19" s="51">
        <f>IFERROR(IF(A19="","",MAX(0,V19-R19)*AA19),"")</f>
        <v/>
      </c>
      <c r="AC19" s="51">
        <f>IFERROR(IF(A19="","",V19-R19-X19-Z19-AB19),"")</f>
        <v/>
      </c>
      <c r="AD19" s="49" t="n"/>
      <c r="AE19" s="51">
        <f>IFERROR(IF(A19="","",MAX(0,V19+U19-R19-AD19)),"")</f>
        <v/>
      </c>
      <c r="AF19" s="27">
        <f>IFERROR(IF(A19="","",IF(OR(L19="Inquiry",L19="Tentative",L19="Canceled"),"Not Due",IF(AE19=0,"Paid","Balance Due"))),"")</f>
        <v/>
      </c>
      <c r="AG19" s="25" t="n"/>
      <c r="AH19" s="31" t="n"/>
      <c r="AI19" s="27">
        <f>IFERROR(IF(A19="","",IF(OR(F19="",G19=""),"Missing Date",IF(G19&lt;=F19,"Invalid Date","OK"))),"")</f>
        <v/>
      </c>
      <c r="AJ19" s="27">
        <f>IFERROR(IF(OR(A19="",B19="",F19="",G19="",L19="Canceled"),"",IF(COUNTIFS($B$4:$B$153,B19,$F$4:$F$153,"&lt;"&amp;G19,$G$4:$G$153,"&gt;"&amp;F19,$A$4:$A$153,"&lt;&gt;"&amp;A19,$L$4:$L$153,"&lt;&gt;Canceled")&gt;0,"Possible Overlap","OK")),"")</f>
        <v/>
      </c>
      <c r="AK19" s="27">
        <f>IFERROR(IF(COUNTA(A19:G19)=0,"",IF(A19="","Missing Reservation ID",IF(B19="","Missing Property",IF(AND(AE19&gt;='Assumptions'!$B$115,L19&lt;&gt;"Canceled"),"Review Balance",IF(OR(L19="Inquiry",L19="Tentative"),"Review Status","OK"))))),"")</f>
        <v/>
      </c>
    </row>
    <row r="20">
      <c r="A20" s="25" t="n"/>
      <c r="B20" s="25" t="n"/>
      <c r="C20" s="25" t="n"/>
      <c r="D20" s="25" t="n"/>
      <c r="E20" s="26" t="n"/>
      <c r="F20" s="26" t="n"/>
      <c r="G20" s="26" t="n"/>
      <c r="H20" s="27">
        <f>IFERROR(IF(OR(F20="",G20=""),"",MAX(0,G20-F20)),"")</f>
        <v/>
      </c>
      <c r="I20" s="25" t="n"/>
      <c r="J20" s="25" t="n"/>
      <c r="K20" s="25" t="n"/>
      <c r="L20" s="25" t="n"/>
      <c r="M20" s="49" t="n"/>
      <c r="N20" s="49" t="n"/>
      <c r="O20" s="49" t="n"/>
      <c r="P20" s="49" t="n"/>
      <c r="Q20" s="49" t="n"/>
      <c r="R20" s="49" t="n"/>
      <c r="S20" s="50">
        <f>IFERROR(IF(B20="","",VLOOKUP(B20,'Assumptions'!$B$5:$K$104,7,FALSE)),"")</f>
        <v/>
      </c>
      <c r="T20" s="51">
        <f>IFERROR(IF(A20="","",MAX(0,M20-Q20+(N20+O20+P20)*VLOOKUP(B20,'Assumptions'!$B$5:$K$104,8,FALSE))),"")</f>
        <v/>
      </c>
      <c r="U20" s="51">
        <f>IFERROR(IF(A20="","",T20*S20),"")</f>
        <v/>
      </c>
      <c r="V20" s="51">
        <f>IFERROR(IF(A20="","",MAX(0,M20+N20+O20+P20-Q20)),"")</f>
        <v/>
      </c>
      <c r="W20" s="50">
        <f>IFERROR(IF(D20="","",VLOOKUP(D20,'Assumptions'!$U$5:$V$104,2,FALSE)),"")</f>
        <v/>
      </c>
      <c r="X20" s="51">
        <f>IFERROR(IF(A20="","",V20*W20),"")</f>
        <v/>
      </c>
      <c r="Y20" s="50">
        <f>IFERROR(IF(B20="","",VLOOKUP(B20,'Assumptions'!$B$5:$K$104,9,FALSE)),"")</f>
        <v/>
      </c>
      <c r="Z20" s="51">
        <f>IFERROR(IF(A20="","",(V20+U20)*Y20),"")</f>
        <v/>
      </c>
      <c r="AA20" s="50">
        <f>IFERROR(IF(B20="","",VLOOKUP(B20,'Assumptions'!$B$5:$K$104,10,FALSE)),"")</f>
        <v/>
      </c>
      <c r="AB20" s="51">
        <f>IFERROR(IF(A20="","",MAX(0,V20-R20)*AA20),"")</f>
        <v/>
      </c>
      <c r="AC20" s="51">
        <f>IFERROR(IF(A20="","",V20-R20-X20-Z20-AB20),"")</f>
        <v/>
      </c>
      <c r="AD20" s="49" t="n"/>
      <c r="AE20" s="51">
        <f>IFERROR(IF(A20="","",MAX(0,V20+U20-R20-AD20)),"")</f>
        <v/>
      </c>
      <c r="AF20" s="27">
        <f>IFERROR(IF(A20="","",IF(OR(L20="Inquiry",L20="Tentative",L20="Canceled"),"Not Due",IF(AE20=0,"Paid","Balance Due"))),"")</f>
        <v/>
      </c>
      <c r="AG20" s="25" t="n"/>
      <c r="AH20" s="31" t="n"/>
      <c r="AI20" s="27">
        <f>IFERROR(IF(A20="","",IF(OR(F20="",G20=""),"Missing Date",IF(G20&lt;=F20,"Invalid Date","OK"))),"")</f>
        <v/>
      </c>
      <c r="AJ20" s="27">
        <f>IFERROR(IF(OR(A20="",B20="",F20="",G20="",L20="Canceled"),"",IF(COUNTIFS($B$4:$B$153,B20,$F$4:$F$153,"&lt;"&amp;G20,$G$4:$G$153,"&gt;"&amp;F20,$A$4:$A$153,"&lt;&gt;"&amp;A20,$L$4:$L$153,"&lt;&gt;Canceled")&gt;0,"Possible Overlap","OK")),"")</f>
        <v/>
      </c>
      <c r="AK20" s="27">
        <f>IFERROR(IF(COUNTA(A20:G20)=0,"",IF(A20="","Missing Reservation ID",IF(B20="","Missing Property",IF(AND(AE20&gt;='Assumptions'!$B$115,L20&lt;&gt;"Canceled"),"Review Balance",IF(OR(L20="Inquiry",L20="Tentative"),"Review Status","OK"))))),"")</f>
        <v/>
      </c>
    </row>
    <row r="21">
      <c r="A21" s="25" t="n"/>
      <c r="B21" s="25" t="n"/>
      <c r="C21" s="25" t="n"/>
      <c r="D21" s="25" t="n"/>
      <c r="E21" s="26" t="n"/>
      <c r="F21" s="26" t="n"/>
      <c r="G21" s="26" t="n"/>
      <c r="H21" s="27">
        <f>IFERROR(IF(OR(F21="",G21=""),"",MAX(0,G21-F21)),"")</f>
        <v/>
      </c>
      <c r="I21" s="25" t="n"/>
      <c r="J21" s="25" t="n"/>
      <c r="K21" s="25" t="n"/>
      <c r="L21" s="25" t="n"/>
      <c r="M21" s="49" t="n"/>
      <c r="N21" s="49" t="n"/>
      <c r="O21" s="49" t="n"/>
      <c r="P21" s="49" t="n"/>
      <c r="Q21" s="49" t="n"/>
      <c r="R21" s="49" t="n"/>
      <c r="S21" s="50">
        <f>IFERROR(IF(B21="","",VLOOKUP(B21,'Assumptions'!$B$5:$K$104,7,FALSE)),"")</f>
        <v/>
      </c>
      <c r="T21" s="51">
        <f>IFERROR(IF(A21="","",MAX(0,M21-Q21+(N21+O21+P21)*VLOOKUP(B21,'Assumptions'!$B$5:$K$104,8,FALSE))),"")</f>
        <v/>
      </c>
      <c r="U21" s="51">
        <f>IFERROR(IF(A21="","",T21*S21),"")</f>
        <v/>
      </c>
      <c r="V21" s="51">
        <f>IFERROR(IF(A21="","",MAX(0,M21+N21+O21+P21-Q21)),"")</f>
        <v/>
      </c>
      <c r="W21" s="50">
        <f>IFERROR(IF(D21="","",VLOOKUP(D21,'Assumptions'!$U$5:$V$104,2,FALSE)),"")</f>
        <v/>
      </c>
      <c r="X21" s="51">
        <f>IFERROR(IF(A21="","",V21*W21),"")</f>
        <v/>
      </c>
      <c r="Y21" s="50">
        <f>IFERROR(IF(B21="","",VLOOKUP(B21,'Assumptions'!$B$5:$K$104,9,FALSE)),"")</f>
        <v/>
      </c>
      <c r="Z21" s="51">
        <f>IFERROR(IF(A21="","",(V21+U21)*Y21),"")</f>
        <v/>
      </c>
      <c r="AA21" s="50">
        <f>IFERROR(IF(B21="","",VLOOKUP(B21,'Assumptions'!$B$5:$K$104,10,FALSE)),"")</f>
        <v/>
      </c>
      <c r="AB21" s="51">
        <f>IFERROR(IF(A21="","",MAX(0,V21-R21)*AA21),"")</f>
        <v/>
      </c>
      <c r="AC21" s="51">
        <f>IFERROR(IF(A21="","",V21-R21-X21-Z21-AB21),"")</f>
        <v/>
      </c>
      <c r="AD21" s="49" t="n"/>
      <c r="AE21" s="51">
        <f>IFERROR(IF(A21="","",MAX(0,V21+U21-R21-AD21)),"")</f>
        <v/>
      </c>
      <c r="AF21" s="27">
        <f>IFERROR(IF(A21="","",IF(OR(L21="Inquiry",L21="Tentative",L21="Canceled"),"Not Due",IF(AE21=0,"Paid","Balance Due"))),"")</f>
        <v/>
      </c>
      <c r="AG21" s="25" t="n"/>
      <c r="AH21" s="31" t="n"/>
      <c r="AI21" s="27">
        <f>IFERROR(IF(A21="","",IF(OR(F21="",G21=""),"Missing Date",IF(G21&lt;=F21,"Invalid Date","OK"))),"")</f>
        <v/>
      </c>
      <c r="AJ21" s="27">
        <f>IFERROR(IF(OR(A21="",B21="",F21="",G21="",L21="Canceled"),"",IF(COUNTIFS($B$4:$B$153,B21,$F$4:$F$153,"&lt;"&amp;G21,$G$4:$G$153,"&gt;"&amp;F21,$A$4:$A$153,"&lt;&gt;"&amp;A21,$L$4:$L$153,"&lt;&gt;Canceled")&gt;0,"Possible Overlap","OK")),"")</f>
        <v/>
      </c>
      <c r="AK21" s="27">
        <f>IFERROR(IF(COUNTA(A21:G21)=0,"",IF(A21="","Missing Reservation ID",IF(B21="","Missing Property",IF(AND(AE21&gt;='Assumptions'!$B$115,L21&lt;&gt;"Canceled"),"Review Balance",IF(OR(L21="Inquiry",L21="Tentative"),"Review Status","OK"))))),"")</f>
        <v/>
      </c>
    </row>
    <row r="22">
      <c r="A22" s="25" t="n"/>
      <c r="B22" s="25" t="n"/>
      <c r="C22" s="25" t="n"/>
      <c r="D22" s="25" t="n"/>
      <c r="E22" s="26" t="n"/>
      <c r="F22" s="26" t="n"/>
      <c r="G22" s="26" t="n"/>
      <c r="H22" s="27">
        <f>IFERROR(IF(OR(F22="",G22=""),"",MAX(0,G22-F22)),"")</f>
        <v/>
      </c>
      <c r="I22" s="25" t="n"/>
      <c r="J22" s="25" t="n"/>
      <c r="K22" s="25" t="n"/>
      <c r="L22" s="25" t="n"/>
      <c r="M22" s="49" t="n"/>
      <c r="N22" s="49" t="n"/>
      <c r="O22" s="49" t="n"/>
      <c r="P22" s="49" t="n"/>
      <c r="Q22" s="49" t="n"/>
      <c r="R22" s="49" t="n"/>
      <c r="S22" s="50">
        <f>IFERROR(IF(B22="","",VLOOKUP(B22,'Assumptions'!$B$5:$K$104,7,FALSE)),"")</f>
        <v/>
      </c>
      <c r="T22" s="51">
        <f>IFERROR(IF(A22="","",MAX(0,M22-Q22+(N22+O22+P22)*VLOOKUP(B22,'Assumptions'!$B$5:$K$104,8,FALSE))),"")</f>
        <v/>
      </c>
      <c r="U22" s="51">
        <f>IFERROR(IF(A22="","",T22*S22),"")</f>
        <v/>
      </c>
      <c r="V22" s="51">
        <f>IFERROR(IF(A22="","",MAX(0,M22+N22+O22+P22-Q22)),"")</f>
        <v/>
      </c>
      <c r="W22" s="50">
        <f>IFERROR(IF(D22="","",VLOOKUP(D22,'Assumptions'!$U$5:$V$104,2,FALSE)),"")</f>
        <v/>
      </c>
      <c r="X22" s="51">
        <f>IFERROR(IF(A22="","",V22*W22),"")</f>
        <v/>
      </c>
      <c r="Y22" s="50">
        <f>IFERROR(IF(B22="","",VLOOKUP(B22,'Assumptions'!$B$5:$K$104,9,FALSE)),"")</f>
        <v/>
      </c>
      <c r="Z22" s="51">
        <f>IFERROR(IF(A22="","",(V22+U22)*Y22),"")</f>
        <v/>
      </c>
      <c r="AA22" s="50">
        <f>IFERROR(IF(B22="","",VLOOKUP(B22,'Assumptions'!$B$5:$K$104,10,FALSE)),"")</f>
        <v/>
      </c>
      <c r="AB22" s="51">
        <f>IFERROR(IF(A22="","",MAX(0,V22-R22)*AA22),"")</f>
        <v/>
      </c>
      <c r="AC22" s="51">
        <f>IFERROR(IF(A22="","",V22-R22-X22-Z22-AB22),"")</f>
        <v/>
      </c>
      <c r="AD22" s="49" t="n"/>
      <c r="AE22" s="51">
        <f>IFERROR(IF(A22="","",MAX(0,V22+U22-R22-AD22)),"")</f>
        <v/>
      </c>
      <c r="AF22" s="27">
        <f>IFERROR(IF(A22="","",IF(OR(L22="Inquiry",L22="Tentative",L22="Canceled"),"Not Due",IF(AE22=0,"Paid","Balance Due"))),"")</f>
        <v/>
      </c>
      <c r="AG22" s="25" t="n"/>
      <c r="AH22" s="31" t="n"/>
      <c r="AI22" s="27">
        <f>IFERROR(IF(A22="","",IF(OR(F22="",G22=""),"Missing Date",IF(G22&lt;=F22,"Invalid Date","OK"))),"")</f>
        <v/>
      </c>
      <c r="AJ22" s="27">
        <f>IFERROR(IF(OR(A22="",B22="",F22="",G22="",L22="Canceled"),"",IF(COUNTIFS($B$4:$B$153,B22,$F$4:$F$153,"&lt;"&amp;G22,$G$4:$G$153,"&gt;"&amp;F22,$A$4:$A$153,"&lt;&gt;"&amp;A22,$L$4:$L$153,"&lt;&gt;Canceled")&gt;0,"Possible Overlap","OK")),"")</f>
        <v/>
      </c>
      <c r="AK22" s="27">
        <f>IFERROR(IF(COUNTA(A22:G22)=0,"",IF(A22="","Missing Reservation ID",IF(B22="","Missing Property",IF(AND(AE22&gt;='Assumptions'!$B$115,L22&lt;&gt;"Canceled"),"Review Balance",IF(OR(L22="Inquiry",L22="Tentative"),"Review Status","OK"))))),"")</f>
        <v/>
      </c>
    </row>
    <row r="23">
      <c r="A23" s="25" t="n"/>
      <c r="B23" s="25" t="n"/>
      <c r="C23" s="25" t="n"/>
      <c r="D23" s="25" t="n"/>
      <c r="E23" s="26" t="n"/>
      <c r="F23" s="26" t="n"/>
      <c r="G23" s="26" t="n"/>
      <c r="H23" s="27">
        <f>IFERROR(IF(OR(F23="",G23=""),"",MAX(0,G23-F23)),"")</f>
        <v/>
      </c>
      <c r="I23" s="25" t="n"/>
      <c r="J23" s="25" t="n"/>
      <c r="K23" s="25" t="n"/>
      <c r="L23" s="25" t="n"/>
      <c r="M23" s="49" t="n"/>
      <c r="N23" s="49" t="n"/>
      <c r="O23" s="49" t="n"/>
      <c r="P23" s="49" t="n"/>
      <c r="Q23" s="49" t="n"/>
      <c r="R23" s="49" t="n"/>
      <c r="S23" s="50">
        <f>IFERROR(IF(B23="","",VLOOKUP(B23,'Assumptions'!$B$5:$K$104,7,FALSE)),"")</f>
        <v/>
      </c>
      <c r="T23" s="51">
        <f>IFERROR(IF(A23="","",MAX(0,M23-Q23+(N23+O23+P23)*VLOOKUP(B23,'Assumptions'!$B$5:$K$104,8,FALSE))),"")</f>
        <v/>
      </c>
      <c r="U23" s="51">
        <f>IFERROR(IF(A23="","",T23*S23),"")</f>
        <v/>
      </c>
      <c r="V23" s="51">
        <f>IFERROR(IF(A23="","",MAX(0,M23+N23+O23+P23-Q23)),"")</f>
        <v/>
      </c>
      <c r="W23" s="50">
        <f>IFERROR(IF(D23="","",VLOOKUP(D23,'Assumptions'!$U$5:$V$104,2,FALSE)),"")</f>
        <v/>
      </c>
      <c r="X23" s="51">
        <f>IFERROR(IF(A23="","",V23*W23),"")</f>
        <v/>
      </c>
      <c r="Y23" s="50">
        <f>IFERROR(IF(B23="","",VLOOKUP(B23,'Assumptions'!$B$5:$K$104,9,FALSE)),"")</f>
        <v/>
      </c>
      <c r="Z23" s="51">
        <f>IFERROR(IF(A23="","",(V23+U23)*Y23),"")</f>
        <v/>
      </c>
      <c r="AA23" s="50">
        <f>IFERROR(IF(B23="","",VLOOKUP(B23,'Assumptions'!$B$5:$K$104,10,FALSE)),"")</f>
        <v/>
      </c>
      <c r="AB23" s="51">
        <f>IFERROR(IF(A23="","",MAX(0,V23-R23)*AA23),"")</f>
        <v/>
      </c>
      <c r="AC23" s="51">
        <f>IFERROR(IF(A23="","",V23-R23-X23-Z23-AB23),"")</f>
        <v/>
      </c>
      <c r="AD23" s="49" t="n"/>
      <c r="AE23" s="51">
        <f>IFERROR(IF(A23="","",MAX(0,V23+U23-R23-AD23)),"")</f>
        <v/>
      </c>
      <c r="AF23" s="27">
        <f>IFERROR(IF(A23="","",IF(OR(L23="Inquiry",L23="Tentative",L23="Canceled"),"Not Due",IF(AE23=0,"Paid","Balance Due"))),"")</f>
        <v/>
      </c>
      <c r="AG23" s="25" t="n"/>
      <c r="AH23" s="31" t="n"/>
      <c r="AI23" s="27">
        <f>IFERROR(IF(A23="","",IF(OR(F23="",G23=""),"Missing Date",IF(G23&lt;=F23,"Invalid Date","OK"))),"")</f>
        <v/>
      </c>
      <c r="AJ23" s="27">
        <f>IFERROR(IF(OR(A23="",B23="",F23="",G23="",L23="Canceled"),"",IF(COUNTIFS($B$4:$B$153,B23,$F$4:$F$153,"&lt;"&amp;G23,$G$4:$G$153,"&gt;"&amp;F23,$A$4:$A$153,"&lt;&gt;"&amp;A23,$L$4:$L$153,"&lt;&gt;Canceled")&gt;0,"Possible Overlap","OK")),"")</f>
        <v/>
      </c>
      <c r="AK23" s="27">
        <f>IFERROR(IF(COUNTA(A23:G23)=0,"",IF(A23="","Missing Reservation ID",IF(B23="","Missing Property",IF(AND(AE23&gt;='Assumptions'!$B$115,L23&lt;&gt;"Canceled"),"Review Balance",IF(OR(L23="Inquiry",L23="Tentative"),"Review Status","OK"))))),"")</f>
        <v/>
      </c>
    </row>
    <row r="24">
      <c r="A24" s="25" t="n"/>
      <c r="B24" s="25" t="n"/>
      <c r="C24" s="25" t="n"/>
      <c r="D24" s="25" t="n"/>
      <c r="E24" s="26" t="n"/>
      <c r="F24" s="26" t="n"/>
      <c r="G24" s="26" t="n"/>
      <c r="H24" s="27">
        <f>IFERROR(IF(OR(F24="",G24=""),"",MAX(0,G24-F24)),"")</f>
        <v/>
      </c>
      <c r="I24" s="25" t="n"/>
      <c r="J24" s="25" t="n"/>
      <c r="K24" s="25" t="n"/>
      <c r="L24" s="25" t="n"/>
      <c r="M24" s="49" t="n"/>
      <c r="N24" s="49" t="n"/>
      <c r="O24" s="49" t="n"/>
      <c r="P24" s="49" t="n"/>
      <c r="Q24" s="49" t="n"/>
      <c r="R24" s="49" t="n"/>
      <c r="S24" s="50">
        <f>IFERROR(IF(B24="","",VLOOKUP(B24,'Assumptions'!$B$5:$K$104,7,FALSE)),"")</f>
        <v/>
      </c>
      <c r="T24" s="51">
        <f>IFERROR(IF(A24="","",MAX(0,M24-Q24+(N24+O24+P24)*VLOOKUP(B24,'Assumptions'!$B$5:$K$104,8,FALSE))),"")</f>
        <v/>
      </c>
      <c r="U24" s="51">
        <f>IFERROR(IF(A24="","",T24*S24),"")</f>
        <v/>
      </c>
      <c r="V24" s="51">
        <f>IFERROR(IF(A24="","",MAX(0,M24+N24+O24+P24-Q24)),"")</f>
        <v/>
      </c>
      <c r="W24" s="50">
        <f>IFERROR(IF(D24="","",VLOOKUP(D24,'Assumptions'!$U$5:$V$104,2,FALSE)),"")</f>
        <v/>
      </c>
      <c r="X24" s="51">
        <f>IFERROR(IF(A24="","",V24*W24),"")</f>
        <v/>
      </c>
      <c r="Y24" s="50">
        <f>IFERROR(IF(B24="","",VLOOKUP(B24,'Assumptions'!$B$5:$K$104,9,FALSE)),"")</f>
        <v/>
      </c>
      <c r="Z24" s="51">
        <f>IFERROR(IF(A24="","",(V24+U24)*Y24),"")</f>
        <v/>
      </c>
      <c r="AA24" s="50">
        <f>IFERROR(IF(B24="","",VLOOKUP(B24,'Assumptions'!$B$5:$K$104,10,FALSE)),"")</f>
        <v/>
      </c>
      <c r="AB24" s="51">
        <f>IFERROR(IF(A24="","",MAX(0,V24-R24)*AA24),"")</f>
        <v/>
      </c>
      <c r="AC24" s="51">
        <f>IFERROR(IF(A24="","",V24-R24-X24-Z24-AB24),"")</f>
        <v/>
      </c>
      <c r="AD24" s="49" t="n"/>
      <c r="AE24" s="51">
        <f>IFERROR(IF(A24="","",MAX(0,V24+U24-R24-AD24)),"")</f>
        <v/>
      </c>
      <c r="AF24" s="27">
        <f>IFERROR(IF(A24="","",IF(OR(L24="Inquiry",L24="Tentative",L24="Canceled"),"Not Due",IF(AE24=0,"Paid","Balance Due"))),"")</f>
        <v/>
      </c>
      <c r="AG24" s="25" t="n"/>
      <c r="AH24" s="31" t="n"/>
      <c r="AI24" s="27">
        <f>IFERROR(IF(A24="","",IF(OR(F24="",G24=""),"Missing Date",IF(G24&lt;=F24,"Invalid Date","OK"))),"")</f>
        <v/>
      </c>
      <c r="AJ24" s="27">
        <f>IFERROR(IF(OR(A24="",B24="",F24="",G24="",L24="Canceled"),"",IF(COUNTIFS($B$4:$B$153,B24,$F$4:$F$153,"&lt;"&amp;G24,$G$4:$G$153,"&gt;"&amp;F24,$A$4:$A$153,"&lt;&gt;"&amp;A24,$L$4:$L$153,"&lt;&gt;Canceled")&gt;0,"Possible Overlap","OK")),"")</f>
        <v/>
      </c>
      <c r="AK24" s="27">
        <f>IFERROR(IF(COUNTA(A24:G24)=0,"",IF(A24="","Missing Reservation ID",IF(B24="","Missing Property",IF(AND(AE24&gt;='Assumptions'!$B$115,L24&lt;&gt;"Canceled"),"Review Balance",IF(OR(L24="Inquiry",L24="Tentative"),"Review Status","OK"))))),"")</f>
        <v/>
      </c>
    </row>
    <row r="25">
      <c r="A25" s="25" t="n"/>
      <c r="B25" s="25" t="n"/>
      <c r="C25" s="25" t="n"/>
      <c r="D25" s="25" t="n"/>
      <c r="E25" s="26" t="n"/>
      <c r="F25" s="26" t="n"/>
      <c r="G25" s="26" t="n"/>
      <c r="H25" s="27">
        <f>IFERROR(IF(OR(F25="",G25=""),"",MAX(0,G25-F25)),"")</f>
        <v/>
      </c>
      <c r="I25" s="25" t="n"/>
      <c r="J25" s="25" t="n"/>
      <c r="K25" s="25" t="n"/>
      <c r="L25" s="25" t="n"/>
      <c r="M25" s="49" t="n"/>
      <c r="N25" s="49" t="n"/>
      <c r="O25" s="49" t="n"/>
      <c r="P25" s="49" t="n"/>
      <c r="Q25" s="49" t="n"/>
      <c r="R25" s="49" t="n"/>
      <c r="S25" s="50">
        <f>IFERROR(IF(B25="","",VLOOKUP(B25,'Assumptions'!$B$5:$K$104,7,FALSE)),"")</f>
        <v/>
      </c>
      <c r="T25" s="51">
        <f>IFERROR(IF(A25="","",MAX(0,M25-Q25+(N25+O25+P25)*VLOOKUP(B25,'Assumptions'!$B$5:$K$104,8,FALSE))),"")</f>
        <v/>
      </c>
      <c r="U25" s="51">
        <f>IFERROR(IF(A25="","",T25*S25),"")</f>
        <v/>
      </c>
      <c r="V25" s="51">
        <f>IFERROR(IF(A25="","",MAX(0,M25+N25+O25+P25-Q25)),"")</f>
        <v/>
      </c>
      <c r="W25" s="50">
        <f>IFERROR(IF(D25="","",VLOOKUP(D25,'Assumptions'!$U$5:$V$104,2,FALSE)),"")</f>
        <v/>
      </c>
      <c r="X25" s="51">
        <f>IFERROR(IF(A25="","",V25*W25),"")</f>
        <v/>
      </c>
      <c r="Y25" s="50">
        <f>IFERROR(IF(B25="","",VLOOKUP(B25,'Assumptions'!$B$5:$K$104,9,FALSE)),"")</f>
        <v/>
      </c>
      <c r="Z25" s="51">
        <f>IFERROR(IF(A25="","",(V25+U25)*Y25),"")</f>
        <v/>
      </c>
      <c r="AA25" s="50">
        <f>IFERROR(IF(B25="","",VLOOKUP(B25,'Assumptions'!$B$5:$K$104,10,FALSE)),"")</f>
        <v/>
      </c>
      <c r="AB25" s="51">
        <f>IFERROR(IF(A25="","",MAX(0,V25-R25)*AA25),"")</f>
        <v/>
      </c>
      <c r="AC25" s="51">
        <f>IFERROR(IF(A25="","",V25-R25-X25-Z25-AB25),"")</f>
        <v/>
      </c>
      <c r="AD25" s="49" t="n"/>
      <c r="AE25" s="51">
        <f>IFERROR(IF(A25="","",MAX(0,V25+U25-R25-AD25)),"")</f>
        <v/>
      </c>
      <c r="AF25" s="27">
        <f>IFERROR(IF(A25="","",IF(OR(L25="Inquiry",L25="Tentative",L25="Canceled"),"Not Due",IF(AE25=0,"Paid","Balance Due"))),"")</f>
        <v/>
      </c>
      <c r="AG25" s="25" t="n"/>
      <c r="AH25" s="31" t="n"/>
      <c r="AI25" s="27">
        <f>IFERROR(IF(A25="","",IF(OR(F25="",G25=""),"Missing Date",IF(G25&lt;=F25,"Invalid Date","OK"))),"")</f>
        <v/>
      </c>
      <c r="AJ25" s="27">
        <f>IFERROR(IF(OR(A25="",B25="",F25="",G25="",L25="Canceled"),"",IF(COUNTIFS($B$4:$B$153,B25,$F$4:$F$153,"&lt;"&amp;G25,$G$4:$G$153,"&gt;"&amp;F25,$A$4:$A$153,"&lt;&gt;"&amp;A25,$L$4:$L$153,"&lt;&gt;Canceled")&gt;0,"Possible Overlap","OK")),"")</f>
        <v/>
      </c>
      <c r="AK25" s="27">
        <f>IFERROR(IF(COUNTA(A25:G25)=0,"",IF(A25="","Missing Reservation ID",IF(B25="","Missing Property",IF(AND(AE25&gt;='Assumptions'!$B$115,L25&lt;&gt;"Canceled"),"Review Balance",IF(OR(L25="Inquiry",L25="Tentative"),"Review Status","OK"))))),"")</f>
        <v/>
      </c>
    </row>
    <row r="26">
      <c r="A26" s="25" t="n"/>
      <c r="B26" s="25" t="n"/>
      <c r="C26" s="25" t="n"/>
      <c r="D26" s="25" t="n"/>
      <c r="E26" s="26" t="n"/>
      <c r="F26" s="26" t="n"/>
      <c r="G26" s="26" t="n"/>
      <c r="H26" s="27">
        <f>IFERROR(IF(OR(F26="",G26=""),"",MAX(0,G26-F26)),"")</f>
        <v/>
      </c>
      <c r="I26" s="25" t="n"/>
      <c r="J26" s="25" t="n"/>
      <c r="K26" s="25" t="n"/>
      <c r="L26" s="25" t="n"/>
      <c r="M26" s="49" t="n"/>
      <c r="N26" s="49" t="n"/>
      <c r="O26" s="49" t="n"/>
      <c r="P26" s="49" t="n"/>
      <c r="Q26" s="49" t="n"/>
      <c r="R26" s="49" t="n"/>
      <c r="S26" s="50">
        <f>IFERROR(IF(B26="","",VLOOKUP(B26,'Assumptions'!$B$5:$K$104,7,FALSE)),"")</f>
        <v/>
      </c>
      <c r="T26" s="51">
        <f>IFERROR(IF(A26="","",MAX(0,M26-Q26+(N26+O26+P26)*VLOOKUP(B26,'Assumptions'!$B$5:$K$104,8,FALSE))),"")</f>
        <v/>
      </c>
      <c r="U26" s="51">
        <f>IFERROR(IF(A26="","",T26*S26),"")</f>
        <v/>
      </c>
      <c r="V26" s="51">
        <f>IFERROR(IF(A26="","",MAX(0,M26+N26+O26+P26-Q26)),"")</f>
        <v/>
      </c>
      <c r="W26" s="50">
        <f>IFERROR(IF(D26="","",VLOOKUP(D26,'Assumptions'!$U$5:$V$104,2,FALSE)),"")</f>
        <v/>
      </c>
      <c r="X26" s="51">
        <f>IFERROR(IF(A26="","",V26*W26),"")</f>
        <v/>
      </c>
      <c r="Y26" s="50">
        <f>IFERROR(IF(B26="","",VLOOKUP(B26,'Assumptions'!$B$5:$K$104,9,FALSE)),"")</f>
        <v/>
      </c>
      <c r="Z26" s="51">
        <f>IFERROR(IF(A26="","",(V26+U26)*Y26),"")</f>
        <v/>
      </c>
      <c r="AA26" s="50">
        <f>IFERROR(IF(B26="","",VLOOKUP(B26,'Assumptions'!$B$5:$K$104,10,FALSE)),"")</f>
        <v/>
      </c>
      <c r="AB26" s="51">
        <f>IFERROR(IF(A26="","",MAX(0,V26-R26)*AA26),"")</f>
        <v/>
      </c>
      <c r="AC26" s="51">
        <f>IFERROR(IF(A26="","",V26-R26-X26-Z26-AB26),"")</f>
        <v/>
      </c>
      <c r="AD26" s="49" t="n"/>
      <c r="AE26" s="51">
        <f>IFERROR(IF(A26="","",MAX(0,V26+U26-R26-AD26)),"")</f>
        <v/>
      </c>
      <c r="AF26" s="27">
        <f>IFERROR(IF(A26="","",IF(OR(L26="Inquiry",L26="Tentative",L26="Canceled"),"Not Due",IF(AE26=0,"Paid","Balance Due"))),"")</f>
        <v/>
      </c>
      <c r="AG26" s="25" t="n"/>
      <c r="AH26" s="31" t="n"/>
      <c r="AI26" s="27">
        <f>IFERROR(IF(A26="","",IF(OR(F26="",G26=""),"Missing Date",IF(G26&lt;=F26,"Invalid Date","OK"))),"")</f>
        <v/>
      </c>
      <c r="AJ26" s="27">
        <f>IFERROR(IF(OR(A26="",B26="",F26="",G26="",L26="Canceled"),"",IF(COUNTIFS($B$4:$B$153,B26,$F$4:$F$153,"&lt;"&amp;G26,$G$4:$G$153,"&gt;"&amp;F26,$A$4:$A$153,"&lt;&gt;"&amp;A26,$L$4:$L$153,"&lt;&gt;Canceled")&gt;0,"Possible Overlap","OK")),"")</f>
        <v/>
      </c>
      <c r="AK26" s="27">
        <f>IFERROR(IF(COUNTA(A26:G26)=0,"",IF(A26="","Missing Reservation ID",IF(B26="","Missing Property",IF(AND(AE26&gt;='Assumptions'!$B$115,L26&lt;&gt;"Canceled"),"Review Balance",IF(OR(L26="Inquiry",L26="Tentative"),"Review Status","OK"))))),"")</f>
        <v/>
      </c>
    </row>
    <row r="27">
      <c r="A27" s="25" t="n"/>
      <c r="B27" s="25" t="n"/>
      <c r="C27" s="25" t="n"/>
      <c r="D27" s="25" t="n"/>
      <c r="E27" s="26" t="n"/>
      <c r="F27" s="26" t="n"/>
      <c r="G27" s="26" t="n"/>
      <c r="H27" s="27">
        <f>IFERROR(IF(OR(F27="",G27=""),"",MAX(0,G27-F27)),"")</f>
        <v/>
      </c>
      <c r="I27" s="25" t="n"/>
      <c r="J27" s="25" t="n"/>
      <c r="K27" s="25" t="n"/>
      <c r="L27" s="25" t="n"/>
      <c r="M27" s="49" t="n"/>
      <c r="N27" s="49" t="n"/>
      <c r="O27" s="49" t="n"/>
      <c r="P27" s="49" t="n"/>
      <c r="Q27" s="49" t="n"/>
      <c r="R27" s="49" t="n"/>
      <c r="S27" s="50">
        <f>IFERROR(IF(B27="","",VLOOKUP(B27,'Assumptions'!$B$5:$K$104,7,FALSE)),"")</f>
        <v/>
      </c>
      <c r="T27" s="51">
        <f>IFERROR(IF(A27="","",MAX(0,M27-Q27+(N27+O27+P27)*VLOOKUP(B27,'Assumptions'!$B$5:$K$104,8,FALSE))),"")</f>
        <v/>
      </c>
      <c r="U27" s="51">
        <f>IFERROR(IF(A27="","",T27*S27),"")</f>
        <v/>
      </c>
      <c r="V27" s="51">
        <f>IFERROR(IF(A27="","",MAX(0,M27+N27+O27+P27-Q27)),"")</f>
        <v/>
      </c>
      <c r="W27" s="50">
        <f>IFERROR(IF(D27="","",VLOOKUP(D27,'Assumptions'!$U$5:$V$104,2,FALSE)),"")</f>
        <v/>
      </c>
      <c r="X27" s="51">
        <f>IFERROR(IF(A27="","",V27*W27),"")</f>
        <v/>
      </c>
      <c r="Y27" s="50">
        <f>IFERROR(IF(B27="","",VLOOKUP(B27,'Assumptions'!$B$5:$K$104,9,FALSE)),"")</f>
        <v/>
      </c>
      <c r="Z27" s="51">
        <f>IFERROR(IF(A27="","",(V27+U27)*Y27),"")</f>
        <v/>
      </c>
      <c r="AA27" s="50">
        <f>IFERROR(IF(B27="","",VLOOKUP(B27,'Assumptions'!$B$5:$K$104,10,FALSE)),"")</f>
        <v/>
      </c>
      <c r="AB27" s="51">
        <f>IFERROR(IF(A27="","",MAX(0,V27-R27)*AA27),"")</f>
        <v/>
      </c>
      <c r="AC27" s="51">
        <f>IFERROR(IF(A27="","",V27-R27-X27-Z27-AB27),"")</f>
        <v/>
      </c>
      <c r="AD27" s="49" t="n"/>
      <c r="AE27" s="51">
        <f>IFERROR(IF(A27="","",MAX(0,V27+U27-R27-AD27)),"")</f>
        <v/>
      </c>
      <c r="AF27" s="27">
        <f>IFERROR(IF(A27="","",IF(OR(L27="Inquiry",L27="Tentative",L27="Canceled"),"Not Due",IF(AE27=0,"Paid","Balance Due"))),"")</f>
        <v/>
      </c>
      <c r="AG27" s="25" t="n"/>
      <c r="AH27" s="31" t="n"/>
      <c r="AI27" s="27">
        <f>IFERROR(IF(A27="","",IF(OR(F27="",G27=""),"Missing Date",IF(G27&lt;=F27,"Invalid Date","OK"))),"")</f>
        <v/>
      </c>
      <c r="AJ27" s="27">
        <f>IFERROR(IF(OR(A27="",B27="",F27="",G27="",L27="Canceled"),"",IF(COUNTIFS($B$4:$B$153,B27,$F$4:$F$153,"&lt;"&amp;G27,$G$4:$G$153,"&gt;"&amp;F27,$A$4:$A$153,"&lt;&gt;"&amp;A27,$L$4:$L$153,"&lt;&gt;Canceled")&gt;0,"Possible Overlap","OK")),"")</f>
        <v/>
      </c>
      <c r="AK27" s="27">
        <f>IFERROR(IF(COUNTA(A27:G27)=0,"",IF(A27="","Missing Reservation ID",IF(B27="","Missing Property",IF(AND(AE27&gt;='Assumptions'!$B$115,L27&lt;&gt;"Canceled"),"Review Balance",IF(OR(L27="Inquiry",L27="Tentative"),"Review Status","OK"))))),"")</f>
        <v/>
      </c>
    </row>
    <row r="28">
      <c r="A28" s="25" t="n"/>
      <c r="B28" s="25" t="n"/>
      <c r="C28" s="25" t="n"/>
      <c r="D28" s="25" t="n"/>
      <c r="E28" s="26" t="n"/>
      <c r="F28" s="26" t="n"/>
      <c r="G28" s="26" t="n"/>
      <c r="H28" s="27">
        <f>IFERROR(IF(OR(F28="",G28=""),"",MAX(0,G28-F28)),"")</f>
        <v/>
      </c>
      <c r="I28" s="25" t="n"/>
      <c r="J28" s="25" t="n"/>
      <c r="K28" s="25" t="n"/>
      <c r="L28" s="25" t="n"/>
      <c r="M28" s="49" t="n"/>
      <c r="N28" s="49" t="n"/>
      <c r="O28" s="49" t="n"/>
      <c r="P28" s="49" t="n"/>
      <c r="Q28" s="49" t="n"/>
      <c r="R28" s="49" t="n"/>
      <c r="S28" s="50">
        <f>IFERROR(IF(B28="","",VLOOKUP(B28,'Assumptions'!$B$5:$K$104,7,FALSE)),"")</f>
        <v/>
      </c>
      <c r="T28" s="51">
        <f>IFERROR(IF(A28="","",MAX(0,M28-Q28+(N28+O28+P28)*VLOOKUP(B28,'Assumptions'!$B$5:$K$104,8,FALSE))),"")</f>
        <v/>
      </c>
      <c r="U28" s="51">
        <f>IFERROR(IF(A28="","",T28*S28),"")</f>
        <v/>
      </c>
      <c r="V28" s="51">
        <f>IFERROR(IF(A28="","",MAX(0,M28+N28+O28+P28-Q28)),"")</f>
        <v/>
      </c>
      <c r="W28" s="50">
        <f>IFERROR(IF(D28="","",VLOOKUP(D28,'Assumptions'!$U$5:$V$104,2,FALSE)),"")</f>
        <v/>
      </c>
      <c r="X28" s="51">
        <f>IFERROR(IF(A28="","",V28*W28),"")</f>
        <v/>
      </c>
      <c r="Y28" s="50">
        <f>IFERROR(IF(B28="","",VLOOKUP(B28,'Assumptions'!$B$5:$K$104,9,FALSE)),"")</f>
        <v/>
      </c>
      <c r="Z28" s="51">
        <f>IFERROR(IF(A28="","",(V28+U28)*Y28),"")</f>
        <v/>
      </c>
      <c r="AA28" s="50">
        <f>IFERROR(IF(B28="","",VLOOKUP(B28,'Assumptions'!$B$5:$K$104,10,FALSE)),"")</f>
        <v/>
      </c>
      <c r="AB28" s="51">
        <f>IFERROR(IF(A28="","",MAX(0,V28-R28)*AA28),"")</f>
        <v/>
      </c>
      <c r="AC28" s="51">
        <f>IFERROR(IF(A28="","",V28-R28-X28-Z28-AB28),"")</f>
        <v/>
      </c>
      <c r="AD28" s="49" t="n"/>
      <c r="AE28" s="51">
        <f>IFERROR(IF(A28="","",MAX(0,V28+U28-R28-AD28)),"")</f>
        <v/>
      </c>
      <c r="AF28" s="27">
        <f>IFERROR(IF(A28="","",IF(OR(L28="Inquiry",L28="Tentative",L28="Canceled"),"Not Due",IF(AE28=0,"Paid","Balance Due"))),"")</f>
        <v/>
      </c>
      <c r="AG28" s="25" t="n"/>
      <c r="AH28" s="31" t="n"/>
      <c r="AI28" s="27">
        <f>IFERROR(IF(A28="","",IF(OR(F28="",G28=""),"Missing Date",IF(G28&lt;=F28,"Invalid Date","OK"))),"")</f>
        <v/>
      </c>
      <c r="AJ28" s="27">
        <f>IFERROR(IF(OR(A28="",B28="",F28="",G28="",L28="Canceled"),"",IF(COUNTIFS($B$4:$B$153,B28,$F$4:$F$153,"&lt;"&amp;G28,$G$4:$G$153,"&gt;"&amp;F28,$A$4:$A$153,"&lt;&gt;"&amp;A28,$L$4:$L$153,"&lt;&gt;Canceled")&gt;0,"Possible Overlap","OK")),"")</f>
        <v/>
      </c>
      <c r="AK28" s="27">
        <f>IFERROR(IF(COUNTA(A28:G28)=0,"",IF(A28="","Missing Reservation ID",IF(B28="","Missing Property",IF(AND(AE28&gt;='Assumptions'!$B$115,L28&lt;&gt;"Canceled"),"Review Balance",IF(OR(L28="Inquiry",L28="Tentative"),"Review Status","OK"))))),"")</f>
        <v/>
      </c>
    </row>
    <row r="29">
      <c r="A29" s="25" t="n"/>
      <c r="B29" s="25" t="n"/>
      <c r="C29" s="25" t="n"/>
      <c r="D29" s="25" t="n"/>
      <c r="E29" s="26" t="n"/>
      <c r="F29" s="26" t="n"/>
      <c r="G29" s="26" t="n"/>
      <c r="H29" s="27">
        <f>IFERROR(IF(OR(F29="",G29=""),"",MAX(0,G29-F29)),"")</f>
        <v/>
      </c>
      <c r="I29" s="25" t="n"/>
      <c r="J29" s="25" t="n"/>
      <c r="K29" s="25" t="n"/>
      <c r="L29" s="25" t="n"/>
      <c r="M29" s="49" t="n"/>
      <c r="N29" s="49" t="n"/>
      <c r="O29" s="49" t="n"/>
      <c r="P29" s="49" t="n"/>
      <c r="Q29" s="49" t="n"/>
      <c r="R29" s="49" t="n"/>
      <c r="S29" s="50">
        <f>IFERROR(IF(B29="","",VLOOKUP(B29,'Assumptions'!$B$5:$K$104,7,FALSE)),"")</f>
        <v/>
      </c>
      <c r="T29" s="51">
        <f>IFERROR(IF(A29="","",MAX(0,M29-Q29+(N29+O29+P29)*VLOOKUP(B29,'Assumptions'!$B$5:$K$104,8,FALSE))),"")</f>
        <v/>
      </c>
      <c r="U29" s="51">
        <f>IFERROR(IF(A29="","",T29*S29),"")</f>
        <v/>
      </c>
      <c r="V29" s="51">
        <f>IFERROR(IF(A29="","",MAX(0,M29+N29+O29+P29-Q29)),"")</f>
        <v/>
      </c>
      <c r="W29" s="50">
        <f>IFERROR(IF(D29="","",VLOOKUP(D29,'Assumptions'!$U$5:$V$104,2,FALSE)),"")</f>
        <v/>
      </c>
      <c r="X29" s="51">
        <f>IFERROR(IF(A29="","",V29*W29),"")</f>
        <v/>
      </c>
      <c r="Y29" s="50">
        <f>IFERROR(IF(B29="","",VLOOKUP(B29,'Assumptions'!$B$5:$K$104,9,FALSE)),"")</f>
        <v/>
      </c>
      <c r="Z29" s="51">
        <f>IFERROR(IF(A29="","",(V29+U29)*Y29),"")</f>
        <v/>
      </c>
      <c r="AA29" s="50">
        <f>IFERROR(IF(B29="","",VLOOKUP(B29,'Assumptions'!$B$5:$K$104,10,FALSE)),"")</f>
        <v/>
      </c>
      <c r="AB29" s="51">
        <f>IFERROR(IF(A29="","",MAX(0,V29-R29)*AA29),"")</f>
        <v/>
      </c>
      <c r="AC29" s="51">
        <f>IFERROR(IF(A29="","",V29-R29-X29-Z29-AB29),"")</f>
        <v/>
      </c>
      <c r="AD29" s="49" t="n"/>
      <c r="AE29" s="51">
        <f>IFERROR(IF(A29="","",MAX(0,V29+U29-R29-AD29)),"")</f>
        <v/>
      </c>
      <c r="AF29" s="27">
        <f>IFERROR(IF(A29="","",IF(OR(L29="Inquiry",L29="Tentative",L29="Canceled"),"Not Due",IF(AE29=0,"Paid","Balance Due"))),"")</f>
        <v/>
      </c>
      <c r="AG29" s="25" t="n"/>
      <c r="AH29" s="31" t="n"/>
      <c r="AI29" s="27">
        <f>IFERROR(IF(A29="","",IF(OR(F29="",G29=""),"Missing Date",IF(G29&lt;=F29,"Invalid Date","OK"))),"")</f>
        <v/>
      </c>
      <c r="AJ29" s="27">
        <f>IFERROR(IF(OR(A29="",B29="",F29="",G29="",L29="Canceled"),"",IF(COUNTIFS($B$4:$B$153,B29,$F$4:$F$153,"&lt;"&amp;G29,$G$4:$G$153,"&gt;"&amp;F29,$A$4:$A$153,"&lt;&gt;"&amp;A29,$L$4:$L$153,"&lt;&gt;Canceled")&gt;0,"Possible Overlap","OK")),"")</f>
        <v/>
      </c>
      <c r="AK29" s="27">
        <f>IFERROR(IF(COUNTA(A29:G29)=0,"",IF(A29="","Missing Reservation ID",IF(B29="","Missing Property",IF(AND(AE29&gt;='Assumptions'!$B$115,L29&lt;&gt;"Canceled"),"Review Balance",IF(OR(L29="Inquiry",L29="Tentative"),"Review Status","OK"))))),"")</f>
        <v/>
      </c>
    </row>
    <row r="30">
      <c r="A30" s="25" t="n"/>
      <c r="B30" s="25" t="n"/>
      <c r="C30" s="25" t="n"/>
      <c r="D30" s="25" t="n"/>
      <c r="E30" s="26" t="n"/>
      <c r="F30" s="26" t="n"/>
      <c r="G30" s="26" t="n"/>
      <c r="H30" s="27">
        <f>IFERROR(IF(OR(F30="",G30=""),"",MAX(0,G30-F30)),"")</f>
        <v/>
      </c>
      <c r="I30" s="25" t="n"/>
      <c r="J30" s="25" t="n"/>
      <c r="K30" s="25" t="n"/>
      <c r="L30" s="25" t="n"/>
      <c r="M30" s="49" t="n"/>
      <c r="N30" s="49" t="n"/>
      <c r="O30" s="49" t="n"/>
      <c r="P30" s="49" t="n"/>
      <c r="Q30" s="49" t="n"/>
      <c r="R30" s="49" t="n"/>
      <c r="S30" s="50">
        <f>IFERROR(IF(B30="","",VLOOKUP(B30,'Assumptions'!$B$5:$K$104,7,FALSE)),"")</f>
        <v/>
      </c>
      <c r="T30" s="51">
        <f>IFERROR(IF(A30="","",MAX(0,M30-Q30+(N30+O30+P30)*VLOOKUP(B30,'Assumptions'!$B$5:$K$104,8,FALSE))),"")</f>
        <v/>
      </c>
      <c r="U30" s="51">
        <f>IFERROR(IF(A30="","",T30*S30),"")</f>
        <v/>
      </c>
      <c r="V30" s="51">
        <f>IFERROR(IF(A30="","",MAX(0,M30+N30+O30+P30-Q30)),"")</f>
        <v/>
      </c>
      <c r="W30" s="50">
        <f>IFERROR(IF(D30="","",VLOOKUP(D30,'Assumptions'!$U$5:$V$104,2,FALSE)),"")</f>
        <v/>
      </c>
      <c r="X30" s="51">
        <f>IFERROR(IF(A30="","",V30*W30),"")</f>
        <v/>
      </c>
      <c r="Y30" s="50">
        <f>IFERROR(IF(B30="","",VLOOKUP(B30,'Assumptions'!$B$5:$K$104,9,FALSE)),"")</f>
        <v/>
      </c>
      <c r="Z30" s="51">
        <f>IFERROR(IF(A30="","",(V30+U30)*Y30),"")</f>
        <v/>
      </c>
      <c r="AA30" s="50">
        <f>IFERROR(IF(B30="","",VLOOKUP(B30,'Assumptions'!$B$5:$K$104,10,FALSE)),"")</f>
        <v/>
      </c>
      <c r="AB30" s="51">
        <f>IFERROR(IF(A30="","",MAX(0,V30-R30)*AA30),"")</f>
        <v/>
      </c>
      <c r="AC30" s="51">
        <f>IFERROR(IF(A30="","",V30-R30-X30-Z30-AB30),"")</f>
        <v/>
      </c>
      <c r="AD30" s="49" t="n"/>
      <c r="AE30" s="51">
        <f>IFERROR(IF(A30="","",MAX(0,V30+U30-R30-AD30)),"")</f>
        <v/>
      </c>
      <c r="AF30" s="27">
        <f>IFERROR(IF(A30="","",IF(OR(L30="Inquiry",L30="Tentative",L30="Canceled"),"Not Due",IF(AE30=0,"Paid","Balance Due"))),"")</f>
        <v/>
      </c>
      <c r="AG30" s="25" t="n"/>
      <c r="AH30" s="31" t="n"/>
      <c r="AI30" s="27">
        <f>IFERROR(IF(A30="","",IF(OR(F30="",G30=""),"Missing Date",IF(G30&lt;=F30,"Invalid Date","OK"))),"")</f>
        <v/>
      </c>
      <c r="AJ30" s="27">
        <f>IFERROR(IF(OR(A30="",B30="",F30="",G30="",L30="Canceled"),"",IF(COUNTIFS($B$4:$B$153,B30,$F$4:$F$153,"&lt;"&amp;G30,$G$4:$G$153,"&gt;"&amp;F30,$A$4:$A$153,"&lt;&gt;"&amp;A30,$L$4:$L$153,"&lt;&gt;Canceled")&gt;0,"Possible Overlap","OK")),"")</f>
        <v/>
      </c>
      <c r="AK30" s="27">
        <f>IFERROR(IF(COUNTA(A30:G30)=0,"",IF(A30="","Missing Reservation ID",IF(B30="","Missing Property",IF(AND(AE30&gt;='Assumptions'!$B$115,L30&lt;&gt;"Canceled"),"Review Balance",IF(OR(L30="Inquiry",L30="Tentative"),"Review Status","OK"))))),"")</f>
        <v/>
      </c>
    </row>
    <row r="31">
      <c r="A31" s="25" t="n"/>
      <c r="B31" s="25" t="n"/>
      <c r="C31" s="25" t="n"/>
      <c r="D31" s="25" t="n"/>
      <c r="E31" s="26" t="n"/>
      <c r="F31" s="26" t="n"/>
      <c r="G31" s="26" t="n"/>
      <c r="H31" s="27">
        <f>IFERROR(IF(OR(F31="",G31=""),"",MAX(0,G31-F31)),"")</f>
        <v/>
      </c>
      <c r="I31" s="25" t="n"/>
      <c r="J31" s="25" t="n"/>
      <c r="K31" s="25" t="n"/>
      <c r="L31" s="25" t="n"/>
      <c r="M31" s="49" t="n"/>
      <c r="N31" s="49" t="n"/>
      <c r="O31" s="49" t="n"/>
      <c r="P31" s="49" t="n"/>
      <c r="Q31" s="49" t="n"/>
      <c r="R31" s="49" t="n"/>
      <c r="S31" s="50">
        <f>IFERROR(IF(B31="","",VLOOKUP(B31,'Assumptions'!$B$5:$K$104,7,FALSE)),"")</f>
        <v/>
      </c>
      <c r="T31" s="51">
        <f>IFERROR(IF(A31="","",MAX(0,M31-Q31+(N31+O31+P31)*VLOOKUP(B31,'Assumptions'!$B$5:$K$104,8,FALSE))),"")</f>
        <v/>
      </c>
      <c r="U31" s="51">
        <f>IFERROR(IF(A31="","",T31*S31),"")</f>
        <v/>
      </c>
      <c r="V31" s="51">
        <f>IFERROR(IF(A31="","",MAX(0,M31+N31+O31+P31-Q31)),"")</f>
        <v/>
      </c>
      <c r="W31" s="50">
        <f>IFERROR(IF(D31="","",VLOOKUP(D31,'Assumptions'!$U$5:$V$104,2,FALSE)),"")</f>
        <v/>
      </c>
      <c r="X31" s="51">
        <f>IFERROR(IF(A31="","",V31*W31),"")</f>
        <v/>
      </c>
      <c r="Y31" s="50">
        <f>IFERROR(IF(B31="","",VLOOKUP(B31,'Assumptions'!$B$5:$K$104,9,FALSE)),"")</f>
        <v/>
      </c>
      <c r="Z31" s="51">
        <f>IFERROR(IF(A31="","",(V31+U31)*Y31),"")</f>
        <v/>
      </c>
      <c r="AA31" s="50">
        <f>IFERROR(IF(B31="","",VLOOKUP(B31,'Assumptions'!$B$5:$K$104,10,FALSE)),"")</f>
        <v/>
      </c>
      <c r="AB31" s="51">
        <f>IFERROR(IF(A31="","",MAX(0,V31-R31)*AA31),"")</f>
        <v/>
      </c>
      <c r="AC31" s="51">
        <f>IFERROR(IF(A31="","",V31-R31-X31-Z31-AB31),"")</f>
        <v/>
      </c>
      <c r="AD31" s="49" t="n"/>
      <c r="AE31" s="51">
        <f>IFERROR(IF(A31="","",MAX(0,V31+U31-R31-AD31)),"")</f>
        <v/>
      </c>
      <c r="AF31" s="27">
        <f>IFERROR(IF(A31="","",IF(OR(L31="Inquiry",L31="Tentative",L31="Canceled"),"Not Due",IF(AE31=0,"Paid","Balance Due"))),"")</f>
        <v/>
      </c>
      <c r="AG31" s="25" t="n"/>
      <c r="AH31" s="31" t="n"/>
      <c r="AI31" s="27">
        <f>IFERROR(IF(A31="","",IF(OR(F31="",G31=""),"Missing Date",IF(G31&lt;=F31,"Invalid Date","OK"))),"")</f>
        <v/>
      </c>
      <c r="AJ31" s="27">
        <f>IFERROR(IF(OR(A31="",B31="",F31="",G31="",L31="Canceled"),"",IF(COUNTIFS($B$4:$B$153,B31,$F$4:$F$153,"&lt;"&amp;G31,$G$4:$G$153,"&gt;"&amp;F31,$A$4:$A$153,"&lt;&gt;"&amp;A31,$L$4:$L$153,"&lt;&gt;Canceled")&gt;0,"Possible Overlap","OK")),"")</f>
        <v/>
      </c>
      <c r="AK31" s="27">
        <f>IFERROR(IF(COUNTA(A31:G31)=0,"",IF(A31="","Missing Reservation ID",IF(B31="","Missing Property",IF(AND(AE31&gt;='Assumptions'!$B$115,L31&lt;&gt;"Canceled"),"Review Balance",IF(OR(L31="Inquiry",L31="Tentative"),"Review Status","OK"))))),"")</f>
        <v/>
      </c>
    </row>
    <row r="32">
      <c r="A32" s="25" t="n"/>
      <c r="B32" s="25" t="n"/>
      <c r="C32" s="25" t="n"/>
      <c r="D32" s="25" t="n"/>
      <c r="E32" s="26" t="n"/>
      <c r="F32" s="26" t="n"/>
      <c r="G32" s="26" t="n"/>
      <c r="H32" s="27">
        <f>IFERROR(IF(OR(F32="",G32=""),"",MAX(0,G32-F32)),"")</f>
        <v/>
      </c>
      <c r="I32" s="25" t="n"/>
      <c r="J32" s="25" t="n"/>
      <c r="K32" s="25" t="n"/>
      <c r="L32" s="25" t="n"/>
      <c r="M32" s="49" t="n"/>
      <c r="N32" s="49" t="n"/>
      <c r="O32" s="49" t="n"/>
      <c r="P32" s="49" t="n"/>
      <c r="Q32" s="49" t="n"/>
      <c r="R32" s="49" t="n"/>
      <c r="S32" s="50">
        <f>IFERROR(IF(B32="","",VLOOKUP(B32,'Assumptions'!$B$5:$K$104,7,FALSE)),"")</f>
        <v/>
      </c>
      <c r="T32" s="51">
        <f>IFERROR(IF(A32="","",MAX(0,M32-Q32+(N32+O32+P32)*VLOOKUP(B32,'Assumptions'!$B$5:$K$104,8,FALSE))),"")</f>
        <v/>
      </c>
      <c r="U32" s="51">
        <f>IFERROR(IF(A32="","",T32*S32),"")</f>
        <v/>
      </c>
      <c r="V32" s="51">
        <f>IFERROR(IF(A32="","",MAX(0,M32+N32+O32+P32-Q32)),"")</f>
        <v/>
      </c>
      <c r="W32" s="50">
        <f>IFERROR(IF(D32="","",VLOOKUP(D32,'Assumptions'!$U$5:$V$104,2,FALSE)),"")</f>
        <v/>
      </c>
      <c r="X32" s="51">
        <f>IFERROR(IF(A32="","",V32*W32),"")</f>
        <v/>
      </c>
      <c r="Y32" s="50">
        <f>IFERROR(IF(B32="","",VLOOKUP(B32,'Assumptions'!$B$5:$K$104,9,FALSE)),"")</f>
        <v/>
      </c>
      <c r="Z32" s="51">
        <f>IFERROR(IF(A32="","",(V32+U32)*Y32),"")</f>
        <v/>
      </c>
      <c r="AA32" s="50">
        <f>IFERROR(IF(B32="","",VLOOKUP(B32,'Assumptions'!$B$5:$K$104,10,FALSE)),"")</f>
        <v/>
      </c>
      <c r="AB32" s="51">
        <f>IFERROR(IF(A32="","",MAX(0,V32-R32)*AA32),"")</f>
        <v/>
      </c>
      <c r="AC32" s="51">
        <f>IFERROR(IF(A32="","",V32-R32-X32-Z32-AB32),"")</f>
        <v/>
      </c>
      <c r="AD32" s="49" t="n"/>
      <c r="AE32" s="51">
        <f>IFERROR(IF(A32="","",MAX(0,V32+U32-R32-AD32)),"")</f>
        <v/>
      </c>
      <c r="AF32" s="27">
        <f>IFERROR(IF(A32="","",IF(OR(L32="Inquiry",L32="Tentative",L32="Canceled"),"Not Due",IF(AE32=0,"Paid","Balance Due"))),"")</f>
        <v/>
      </c>
      <c r="AG32" s="25" t="n"/>
      <c r="AH32" s="31" t="n"/>
      <c r="AI32" s="27">
        <f>IFERROR(IF(A32="","",IF(OR(F32="",G32=""),"Missing Date",IF(G32&lt;=F32,"Invalid Date","OK"))),"")</f>
        <v/>
      </c>
      <c r="AJ32" s="27">
        <f>IFERROR(IF(OR(A32="",B32="",F32="",G32="",L32="Canceled"),"",IF(COUNTIFS($B$4:$B$153,B32,$F$4:$F$153,"&lt;"&amp;G32,$G$4:$G$153,"&gt;"&amp;F32,$A$4:$A$153,"&lt;&gt;"&amp;A32,$L$4:$L$153,"&lt;&gt;Canceled")&gt;0,"Possible Overlap","OK")),"")</f>
        <v/>
      </c>
      <c r="AK32" s="27">
        <f>IFERROR(IF(COUNTA(A32:G32)=0,"",IF(A32="","Missing Reservation ID",IF(B32="","Missing Property",IF(AND(AE32&gt;='Assumptions'!$B$115,L32&lt;&gt;"Canceled"),"Review Balance",IF(OR(L32="Inquiry",L32="Tentative"),"Review Status","OK"))))),"")</f>
        <v/>
      </c>
    </row>
    <row r="33">
      <c r="A33" s="25" t="n"/>
      <c r="B33" s="25" t="n"/>
      <c r="C33" s="25" t="n"/>
      <c r="D33" s="25" t="n"/>
      <c r="E33" s="26" t="n"/>
      <c r="F33" s="26" t="n"/>
      <c r="G33" s="26" t="n"/>
      <c r="H33" s="27">
        <f>IFERROR(IF(OR(F33="",G33=""),"",MAX(0,G33-F33)),"")</f>
        <v/>
      </c>
      <c r="I33" s="25" t="n"/>
      <c r="J33" s="25" t="n"/>
      <c r="K33" s="25" t="n"/>
      <c r="L33" s="25" t="n"/>
      <c r="M33" s="49" t="n"/>
      <c r="N33" s="49" t="n"/>
      <c r="O33" s="49" t="n"/>
      <c r="P33" s="49" t="n"/>
      <c r="Q33" s="49" t="n"/>
      <c r="R33" s="49" t="n"/>
      <c r="S33" s="50">
        <f>IFERROR(IF(B33="","",VLOOKUP(B33,'Assumptions'!$B$5:$K$104,7,FALSE)),"")</f>
        <v/>
      </c>
      <c r="T33" s="51">
        <f>IFERROR(IF(A33="","",MAX(0,M33-Q33+(N33+O33+P33)*VLOOKUP(B33,'Assumptions'!$B$5:$K$104,8,FALSE))),"")</f>
        <v/>
      </c>
      <c r="U33" s="51">
        <f>IFERROR(IF(A33="","",T33*S33),"")</f>
        <v/>
      </c>
      <c r="V33" s="51">
        <f>IFERROR(IF(A33="","",MAX(0,M33+N33+O33+P33-Q33)),"")</f>
        <v/>
      </c>
      <c r="W33" s="50">
        <f>IFERROR(IF(D33="","",VLOOKUP(D33,'Assumptions'!$U$5:$V$104,2,FALSE)),"")</f>
        <v/>
      </c>
      <c r="X33" s="51">
        <f>IFERROR(IF(A33="","",V33*W33),"")</f>
        <v/>
      </c>
      <c r="Y33" s="50">
        <f>IFERROR(IF(B33="","",VLOOKUP(B33,'Assumptions'!$B$5:$K$104,9,FALSE)),"")</f>
        <v/>
      </c>
      <c r="Z33" s="51">
        <f>IFERROR(IF(A33="","",(V33+U33)*Y33),"")</f>
        <v/>
      </c>
      <c r="AA33" s="50">
        <f>IFERROR(IF(B33="","",VLOOKUP(B33,'Assumptions'!$B$5:$K$104,10,FALSE)),"")</f>
        <v/>
      </c>
      <c r="AB33" s="51">
        <f>IFERROR(IF(A33="","",MAX(0,V33-R33)*AA33),"")</f>
        <v/>
      </c>
      <c r="AC33" s="51">
        <f>IFERROR(IF(A33="","",V33-R33-X33-Z33-AB33),"")</f>
        <v/>
      </c>
      <c r="AD33" s="49" t="n"/>
      <c r="AE33" s="51">
        <f>IFERROR(IF(A33="","",MAX(0,V33+U33-R33-AD33)),"")</f>
        <v/>
      </c>
      <c r="AF33" s="27">
        <f>IFERROR(IF(A33="","",IF(OR(L33="Inquiry",L33="Tentative",L33="Canceled"),"Not Due",IF(AE33=0,"Paid","Balance Due"))),"")</f>
        <v/>
      </c>
      <c r="AG33" s="25" t="n"/>
      <c r="AH33" s="31" t="n"/>
      <c r="AI33" s="27">
        <f>IFERROR(IF(A33="","",IF(OR(F33="",G33=""),"Missing Date",IF(G33&lt;=F33,"Invalid Date","OK"))),"")</f>
        <v/>
      </c>
      <c r="AJ33" s="27">
        <f>IFERROR(IF(OR(A33="",B33="",F33="",G33="",L33="Canceled"),"",IF(COUNTIFS($B$4:$B$153,B33,$F$4:$F$153,"&lt;"&amp;G33,$G$4:$G$153,"&gt;"&amp;F33,$A$4:$A$153,"&lt;&gt;"&amp;A33,$L$4:$L$153,"&lt;&gt;Canceled")&gt;0,"Possible Overlap","OK")),"")</f>
        <v/>
      </c>
      <c r="AK33" s="27">
        <f>IFERROR(IF(COUNTA(A33:G33)=0,"",IF(A33="","Missing Reservation ID",IF(B33="","Missing Property",IF(AND(AE33&gt;='Assumptions'!$B$115,L33&lt;&gt;"Canceled"),"Review Balance",IF(OR(L33="Inquiry",L33="Tentative"),"Review Status","OK"))))),"")</f>
        <v/>
      </c>
    </row>
    <row r="34">
      <c r="A34" s="25" t="n"/>
      <c r="B34" s="25" t="n"/>
      <c r="C34" s="25" t="n"/>
      <c r="D34" s="25" t="n"/>
      <c r="E34" s="26" t="n"/>
      <c r="F34" s="26" t="n"/>
      <c r="G34" s="26" t="n"/>
      <c r="H34" s="27">
        <f>IFERROR(IF(OR(F34="",G34=""),"",MAX(0,G34-F34)),"")</f>
        <v/>
      </c>
      <c r="I34" s="25" t="n"/>
      <c r="J34" s="25" t="n"/>
      <c r="K34" s="25" t="n"/>
      <c r="L34" s="25" t="n"/>
      <c r="M34" s="49" t="n"/>
      <c r="N34" s="49" t="n"/>
      <c r="O34" s="49" t="n"/>
      <c r="P34" s="49" t="n"/>
      <c r="Q34" s="49" t="n"/>
      <c r="R34" s="49" t="n"/>
      <c r="S34" s="50">
        <f>IFERROR(IF(B34="","",VLOOKUP(B34,'Assumptions'!$B$5:$K$104,7,FALSE)),"")</f>
        <v/>
      </c>
      <c r="T34" s="51">
        <f>IFERROR(IF(A34="","",MAX(0,M34-Q34+(N34+O34+P34)*VLOOKUP(B34,'Assumptions'!$B$5:$K$104,8,FALSE))),"")</f>
        <v/>
      </c>
      <c r="U34" s="51">
        <f>IFERROR(IF(A34="","",T34*S34),"")</f>
        <v/>
      </c>
      <c r="V34" s="51">
        <f>IFERROR(IF(A34="","",MAX(0,M34+N34+O34+P34-Q34)),"")</f>
        <v/>
      </c>
      <c r="W34" s="50">
        <f>IFERROR(IF(D34="","",VLOOKUP(D34,'Assumptions'!$U$5:$V$104,2,FALSE)),"")</f>
        <v/>
      </c>
      <c r="X34" s="51">
        <f>IFERROR(IF(A34="","",V34*W34),"")</f>
        <v/>
      </c>
      <c r="Y34" s="50">
        <f>IFERROR(IF(B34="","",VLOOKUP(B34,'Assumptions'!$B$5:$K$104,9,FALSE)),"")</f>
        <v/>
      </c>
      <c r="Z34" s="51">
        <f>IFERROR(IF(A34="","",(V34+U34)*Y34),"")</f>
        <v/>
      </c>
      <c r="AA34" s="50">
        <f>IFERROR(IF(B34="","",VLOOKUP(B34,'Assumptions'!$B$5:$K$104,10,FALSE)),"")</f>
        <v/>
      </c>
      <c r="AB34" s="51">
        <f>IFERROR(IF(A34="","",MAX(0,V34-R34)*AA34),"")</f>
        <v/>
      </c>
      <c r="AC34" s="51">
        <f>IFERROR(IF(A34="","",V34-R34-X34-Z34-AB34),"")</f>
        <v/>
      </c>
      <c r="AD34" s="49" t="n"/>
      <c r="AE34" s="51">
        <f>IFERROR(IF(A34="","",MAX(0,V34+U34-R34-AD34)),"")</f>
        <v/>
      </c>
      <c r="AF34" s="27">
        <f>IFERROR(IF(A34="","",IF(OR(L34="Inquiry",L34="Tentative",L34="Canceled"),"Not Due",IF(AE34=0,"Paid","Balance Due"))),"")</f>
        <v/>
      </c>
      <c r="AG34" s="25" t="n"/>
      <c r="AH34" s="31" t="n"/>
      <c r="AI34" s="27">
        <f>IFERROR(IF(A34="","",IF(OR(F34="",G34=""),"Missing Date",IF(G34&lt;=F34,"Invalid Date","OK"))),"")</f>
        <v/>
      </c>
      <c r="AJ34" s="27">
        <f>IFERROR(IF(OR(A34="",B34="",F34="",G34="",L34="Canceled"),"",IF(COUNTIFS($B$4:$B$153,B34,$F$4:$F$153,"&lt;"&amp;G34,$G$4:$G$153,"&gt;"&amp;F34,$A$4:$A$153,"&lt;&gt;"&amp;A34,$L$4:$L$153,"&lt;&gt;Canceled")&gt;0,"Possible Overlap","OK")),"")</f>
        <v/>
      </c>
      <c r="AK34" s="27">
        <f>IFERROR(IF(COUNTA(A34:G34)=0,"",IF(A34="","Missing Reservation ID",IF(B34="","Missing Property",IF(AND(AE34&gt;='Assumptions'!$B$115,L34&lt;&gt;"Canceled"),"Review Balance",IF(OR(L34="Inquiry",L34="Tentative"),"Review Status","OK"))))),"")</f>
        <v/>
      </c>
    </row>
    <row r="35">
      <c r="A35" s="25" t="n"/>
      <c r="B35" s="25" t="n"/>
      <c r="C35" s="25" t="n"/>
      <c r="D35" s="25" t="n"/>
      <c r="E35" s="26" t="n"/>
      <c r="F35" s="26" t="n"/>
      <c r="G35" s="26" t="n"/>
      <c r="H35" s="27">
        <f>IFERROR(IF(OR(F35="",G35=""),"",MAX(0,G35-F35)),"")</f>
        <v/>
      </c>
      <c r="I35" s="25" t="n"/>
      <c r="J35" s="25" t="n"/>
      <c r="K35" s="25" t="n"/>
      <c r="L35" s="25" t="n"/>
      <c r="M35" s="49" t="n"/>
      <c r="N35" s="49" t="n"/>
      <c r="O35" s="49" t="n"/>
      <c r="P35" s="49" t="n"/>
      <c r="Q35" s="49" t="n"/>
      <c r="R35" s="49" t="n"/>
      <c r="S35" s="50">
        <f>IFERROR(IF(B35="","",VLOOKUP(B35,'Assumptions'!$B$5:$K$104,7,FALSE)),"")</f>
        <v/>
      </c>
      <c r="T35" s="51">
        <f>IFERROR(IF(A35="","",MAX(0,M35-Q35+(N35+O35+P35)*VLOOKUP(B35,'Assumptions'!$B$5:$K$104,8,FALSE))),"")</f>
        <v/>
      </c>
      <c r="U35" s="51">
        <f>IFERROR(IF(A35="","",T35*S35),"")</f>
        <v/>
      </c>
      <c r="V35" s="51">
        <f>IFERROR(IF(A35="","",MAX(0,M35+N35+O35+P35-Q35)),"")</f>
        <v/>
      </c>
      <c r="W35" s="50">
        <f>IFERROR(IF(D35="","",VLOOKUP(D35,'Assumptions'!$U$5:$V$104,2,FALSE)),"")</f>
        <v/>
      </c>
      <c r="X35" s="51">
        <f>IFERROR(IF(A35="","",V35*W35),"")</f>
        <v/>
      </c>
      <c r="Y35" s="50">
        <f>IFERROR(IF(B35="","",VLOOKUP(B35,'Assumptions'!$B$5:$K$104,9,FALSE)),"")</f>
        <v/>
      </c>
      <c r="Z35" s="51">
        <f>IFERROR(IF(A35="","",(V35+U35)*Y35),"")</f>
        <v/>
      </c>
      <c r="AA35" s="50">
        <f>IFERROR(IF(B35="","",VLOOKUP(B35,'Assumptions'!$B$5:$K$104,10,FALSE)),"")</f>
        <v/>
      </c>
      <c r="AB35" s="51">
        <f>IFERROR(IF(A35="","",MAX(0,V35-R35)*AA35),"")</f>
        <v/>
      </c>
      <c r="AC35" s="51">
        <f>IFERROR(IF(A35="","",V35-R35-X35-Z35-AB35),"")</f>
        <v/>
      </c>
      <c r="AD35" s="49" t="n"/>
      <c r="AE35" s="51">
        <f>IFERROR(IF(A35="","",MAX(0,V35+U35-R35-AD35)),"")</f>
        <v/>
      </c>
      <c r="AF35" s="27">
        <f>IFERROR(IF(A35="","",IF(OR(L35="Inquiry",L35="Tentative",L35="Canceled"),"Not Due",IF(AE35=0,"Paid","Balance Due"))),"")</f>
        <v/>
      </c>
      <c r="AG35" s="25" t="n"/>
      <c r="AH35" s="31" t="n"/>
      <c r="AI35" s="27">
        <f>IFERROR(IF(A35="","",IF(OR(F35="",G35=""),"Missing Date",IF(G35&lt;=F35,"Invalid Date","OK"))),"")</f>
        <v/>
      </c>
      <c r="AJ35" s="27">
        <f>IFERROR(IF(OR(A35="",B35="",F35="",G35="",L35="Canceled"),"",IF(COUNTIFS($B$4:$B$153,B35,$F$4:$F$153,"&lt;"&amp;G35,$G$4:$G$153,"&gt;"&amp;F35,$A$4:$A$153,"&lt;&gt;"&amp;A35,$L$4:$L$153,"&lt;&gt;Canceled")&gt;0,"Possible Overlap","OK")),"")</f>
        <v/>
      </c>
      <c r="AK35" s="27">
        <f>IFERROR(IF(COUNTA(A35:G35)=0,"",IF(A35="","Missing Reservation ID",IF(B35="","Missing Property",IF(AND(AE35&gt;='Assumptions'!$B$115,L35&lt;&gt;"Canceled"),"Review Balance",IF(OR(L35="Inquiry",L35="Tentative"),"Review Status","OK"))))),"")</f>
        <v/>
      </c>
    </row>
    <row r="36">
      <c r="A36" s="25" t="n"/>
      <c r="B36" s="25" t="n"/>
      <c r="C36" s="25" t="n"/>
      <c r="D36" s="25" t="n"/>
      <c r="E36" s="26" t="n"/>
      <c r="F36" s="26" t="n"/>
      <c r="G36" s="26" t="n"/>
      <c r="H36" s="27">
        <f>IFERROR(IF(OR(F36="",G36=""),"",MAX(0,G36-F36)),"")</f>
        <v/>
      </c>
      <c r="I36" s="25" t="n"/>
      <c r="J36" s="25" t="n"/>
      <c r="K36" s="25" t="n"/>
      <c r="L36" s="25" t="n"/>
      <c r="M36" s="49" t="n"/>
      <c r="N36" s="49" t="n"/>
      <c r="O36" s="49" t="n"/>
      <c r="P36" s="49" t="n"/>
      <c r="Q36" s="49" t="n"/>
      <c r="R36" s="49" t="n"/>
      <c r="S36" s="50">
        <f>IFERROR(IF(B36="","",VLOOKUP(B36,'Assumptions'!$B$5:$K$104,7,FALSE)),"")</f>
        <v/>
      </c>
      <c r="T36" s="51">
        <f>IFERROR(IF(A36="","",MAX(0,M36-Q36+(N36+O36+P36)*VLOOKUP(B36,'Assumptions'!$B$5:$K$104,8,FALSE))),"")</f>
        <v/>
      </c>
      <c r="U36" s="51">
        <f>IFERROR(IF(A36="","",T36*S36),"")</f>
        <v/>
      </c>
      <c r="V36" s="51">
        <f>IFERROR(IF(A36="","",MAX(0,M36+N36+O36+P36-Q36)),"")</f>
        <v/>
      </c>
      <c r="W36" s="50">
        <f>IFERROR(IF(D36="","",VLOOKUP(D36,'Assumptions'!$U$5:$V$104,2,FALSE)),"")</f>
        <v/>
      </c>
      <c r="X36" s="51">
        <f>IFERROR(IF(A36="","",V36*W36),"")</f>
        <v/>
      </c>
      <c r="Y36" s="50">
        <f>IFERROR(IF(B36="","",VLOOKUP(B36,'Assumptions'!$B$5:$K$104,9,FALSE)),"")</f>
        <v/>
      </c>
      <c r="Z36" s="51">
        <f>IFERROR(IF(A36="","",(V36+U36)*Y36),"")</f>
        <v/>
      </c>
      <c r="AA36" s="50">
        <f>IFERROR(IF(B36="","",VLOOKUP(B36,'Assumptions'!$B$5:$K$104,10,FALSE)),"")</f>
        <v/>
      </c>
      <c r="AB36" s="51">
        <f>IFERROR(IF(A36="","",MAX(0,V36-R36)*AA36),"")</f>
        <v/>
      </c>
      <c r="AC36" s="51">
        <f>IFERROR(IF(A36="","",V36-R36-X36-Z36-AB36),"")</f>
        <v/>
      </c>
      <c r="AD36" s="49" t="n"/>
      <c r="AE36" s="51">
        <f>IFERROR(IF(A36="","",MAX(0,V36+U36-R36-AD36)),"")</f>
        <v/>
      </c>
      <c r="AF36" s="27">
        <f>IFERROR(IF(A36="","",IF(OR(L36="Inquiry",L36="Tentative",L36="Canceled"),"Not Due",IF(AE36=0,"Paid","Balance Due"))),"")</f>
        <v/>
      </c>
      <c r="AG36" s="25" t="n"/>
      <c r="AH36" s="31" t="n"/>
      <c r="AI36" s="27">
        <f>IFERROR(IF(A36="","",IF(OR(F36="",G36=""),"Missing Date",IF(G36&lt;=F36,"Invalid Date","OK"))),"")</f>
        <v/>
      </c>
      <c r="AJ36" s="27">
        <f>IFERROR(IF(OR(A36="",B36="",F36="",G36="",L36="Canceled"),"",IF(COUNTIFS($B$4:$B$153,B36,$F$4:$F$153,"&lt;"&amp;G36,$G$4:$G$153,"&gt;"&amp;F36,$A$4:$A$153,"&lt;&gt;"&amp;A36,$L$4:$L$153,"&lt;&gt;Canceled")&gt;0,"Possible Overlap","OK")),"")</f>
        <v/>
      </c>
      <c r="AK36" s="27">
        <f>IFERROR(IF(COUNTA(A36:G36)=0,"",IF(A36="","Missing Reservation ID",IF(B36="","Missing Property",IF(AND(AE36&gt;='Assumptions'!$B$115,L36&lt;&gt;"Canceled"),"Review Balance",IF(OR(L36="Inquiry",L36="Tentative"),"Review Status","OK"))))),"")</f>
        <v/>
      </c>
    </row>
    <row r="37">
      <c r="A37" s="25" t="n"/>
      <c r="B37" s="25" t="n"/>
      <c r="C37" s="25" t="n"/>
      <c r="D37" s="25" t="n"/>
      <c r="E37" s="26" t="n"/>
      <c r="F37" s="26" t="n"/>
      <c r="G37" s="26" t="n"/>
      <c r="H37" s="27">
        <f>IFERROR(IF(OR(F37="",G37=""),"",MAX(0,G37-F37)),"")</f>
        <v/>
      </c>
      <c r="I37" s="25" t="n"/>
      <c r="J37" s="25" t="n"/>
      <c r="K37" s="25" t="n"/>
      <c r="L37" s="25" t="n"/>
      <c r="M37" s="49" t="n"/>
      <c r="N37" s="49" t="n"/>
      <c r="O37" s="49" t="n"/>
      <c r="P37" s="49" t="n"/>
      <c r="Q37" s="49" t="n"/>
      <c r="R37" s="49" t="n"/>
      <c r="S37" s="50">
        <f>IFERROR(IF(B37="","",VLOOKUP(B37,'Assumptions'!$B$5:$K$104,7,FALSE)),"")</f>
        <v/>
      </c>
      <c r="T37" s="51">
        <f>IFERROR(IF(A37="","",MAX(0,M37-Q37+(N37+O37+P37)*VLOOKUP(B37,'Assumptions'!$B$5:$K$104,8,FALSE))),"")</f>
        <v/>
      </c>
      <c r="U37" s="51">
        <f>IFERROR(IF(A37="","",T37*S37),"")</f>
        <v/>
      </c>
      <c r="V37" s="51">
        <f>IFERROR(IF(A37="","",MAX(0,M37+N37+O37+P37-Q37)),"")</f>
        <v/>
      </c>
      <c r="W37" s="50">
        <f>IFERROR(IF(D37="","",VLOOKUP(D37,'Assumptions'!$U$5:$V$104,2,FALSE)),"")</f>
        <v/>
      </c>
      <c r="X37" s="51">
        <f>IFERROR(IF(A37="","",V37*W37),"")</f>
        <v/>
      </c>
      <c r="Y37" s="50">
        <f>IFERROR(IF(B37="","",VLOOKUP(B37,'Assumptions'!$B$5:$K$104,9,FALSE)),"")</f>
        <v/>
      </c>
      <c r="Z37" s="51">
        <f>IFERROR(IF(A37="","",(V37+U37)*Y37),"")</f>
        <v/>
      </c>
      <c r="AA37" s="50">
        <f>IFERROR(IF(B37="","",VLOOKUP(B37,'Assumptions'!$B$5:$K$104,10,FALSE)),"")</f>
        <v/>
      </c>
      <c r="AB37" s="51">
        <f>IFERROR(IF(A37="","",MAX(0,V37-R37)*AA37),"")</f>
        <v/>
      </c>
      <c r="AC37" s="51">
        <f>IFERROR(IF(A37="","",V37-R37-X37-Z37-AB37),"")</f>
        <v/>
      </c>
      <c r="AD37" s="49" t="n"/>
      <c r="AE37" s="51">
        <f>IFERROR(IF(A37="","",MAX(0,V37+U37-R37-AD37)),"")</f>
        <v/>
      </c>
      <c r="AF37" s="27">
        <f>IFERROR(IF(A37="","",IF(OR(L37="Inquiry",L37="Tentative",L37="Canceled"),"Not Due",IF(AE37=0,"Paid","Balance Due"))),"")</f>
        <v/>
      </c>
      <c r="AG37" s="25" t="n"/>
      <c r="AH37" s="31" t="n"/>
      <c r="AI37" s="27">
        <f>IFERROR(IF(A37="","",IF(OR(F37="",G37=""),"Missing Date",IF(G37&lt;=F37,"Invalid Date","OK"))),"")</f>
        <v/>
      </c>
      <c r="AJ37" s="27">
        <f>IFERROR(IF(OR(A37="",B37="",F37="",G37="",L37="Canceled"),"",IF(COUNTIFS($B$4:$B$153,B37,$F$4:$F$153,"&lt;"&amp;G37,$G$4:$G$153,"&gt;"&amp;F37,$A$4:$A$153,"&lt;&gt;"&amp;A37,$L$4:$L$153,"&lt;&gt;Canceled")&gt;0,"Possible Overlap","OK")),"")</f>
        <v/>
      </c>
      <c r="AK37" s="27">
        <f>IFERROR(IF(COUNTA(A37:G37)=0,"",IF(A37="","Missing Reservation ID",IF(B37="","Missing Property",IF(AND(AE37&gt;='Assumptions'!$B$115,L37&lt;&gt;"Canceled"),"Review Balance",IF(OR(L37="Inquiry",L37="Tentative"),"Review Status","OK"))))),"")</f>
        <v/>
      </c>
    </row>
    <row r="38">
      <c r="A38" s="25" t="n"/>
      <c r="B38" s="25" t="n"/>
      <c r="C38" s="25" t="n"/>
      <c r="D38" s="25" t="n"/>
      <c r="E38" s="26" t="n"/>
      <c r="F38" s="26" t="n"/>
      <c r="G38" s="26" t="n"/>
      <c r="H38" s="27">
        <f>IFERROR(IF(OR(F38="",G38=""),"",MAX(0,G38-F38)),"")</f>
        <v/>
      </c>
      <c r="I38" s="25" t="n"/>
      <c r="J38" s="25" t="n"/>
      <c r="K38" s="25" t="n"/>
      <c r="L38" s="25" t="n"/>
      <c r="M38" s="49" t="n"/>
      <c r="N38" s="49" t="n"/>
      <c r="O38" s="49" t="n"/>
      <c r="P38" s="49" t="n"/>
      <c r="Q38" s="49" t="n"/>
      <c r="R38" s="49" t="n"/>
      <c r="S38" s="50">
        <f>IFERROR(IF(B38="","",VLOOKUP(B38,'Assumptions'!$B$5:$K$104,7,FALSE)),"")</f>
        <v/>
      </c>
      <c r="T38" s="51">
        <f>IFERROR(IF(A38="","",MAX(0,M38-Q38+(N38+O38+P38)*VLOOKUP(B38,'Assumptions'!$B$5:$K$104,8,FALSE))),"")</f>
        <v/>
      </c>
      <c r="U38" s="51">
        <f>IFERROR(IF(A38="","",T38*S38),"")</f>
        <v/>
      </c>
      <c r="V38" s="51">
        <f>IFERROR(IF(A38="","",MAX(0,M38+N38+O38+P38-Q38)),"")</f>
        <v/>
      </c>
      <c r="W38" s="50">
        <f>IFERROR(IF(D38="","",VLOOKUP(D38,'Assumptions'!$U$5:$V$104,2,FALSE)),"")</f>
        <v/>
      </c>
      <c r="X38" s="51">
        <f>IFERROR(IF(A38="","",V38*W38),"")</f>
        <v/>
      </c>
      <c r="Y38" s="50">
        <f>IFERROR(IF(B38="","",VLOOKUP(B38,'Assumptions'!$B$5:$K$104,9,FALSE)),"")</f>
        <v/>
      </c>
      <c r="Z38" s="51">
        <f>IFERROR(IF(A38="","",(V38+U38)*Y38),"")</f>
        <v/>
      </c>
      <c r="AA38" s="50">
        <f>IFERROR(IF(B38="","",VLOOKUP(B38,'Assumptions'!$B$5:$K$104,10,FALSE)),"")</f>
        <v/>
      </c>
      <c r="AB38" s="51">
        <f>IFERROR(IF(A38="","",MAX(0,V38-R38)*AA38),"")</f>
        <v/>
      </c>
      <c r="AC38" s="51">
        <f>IFERROR(IF(A38="","",V38-R38-X38-Z38-AB38),"")</f>
        <v/>
      </c>
      <c r="AD38" s="49" t="n"/>
      <c r="AE38" s="51">
        <f>IFERROR(IF(A38="","",MAX(0,V38+U38-R38-AD38)),"")</f>
        <v/>
      </c>
      <c r="AF38" s="27">
        <f>IFERROR(IF(A38="","",IF(OR(L38="Inquiry",L38="Tentative",L38="Canceled"),"Not Due",IF(AE38=0,"Paid","Balance Due"))),"")</f>
        <v/>
      </c>
      <c r="AG38" s="25" t="n"/>
      <c r="AH38" s="31" t="n"/>
      <c r="AI38" s="27">
        <f>IFERROR(IF(A38="","",IF(OR(F38="",G38=""),"Missing Date",IF(G38&lt;=F38,"Invalid Date","OK"))),"")</f>
        <v/>
      </c>
      <c r="AJ38" s="27">
        <f>IFERROR(IF(OR(A38="",B38="",F38="",G38="",L38="Canceled"),"",IF(COUNTIFS($B$4:$B$153,B38,$F$4:$F$153,"&lt;"&amp;G38,$G$4:$G$153,"&gt;"&amp;F38,$A$4:$A$153,"&lt;&gt;"&amp;A38,$L$4:$L$153,"&lt;&gt;Canceled")&gt;0,"Possible Overlap","OK")),"")</f>
        <v/>
      </c>
      <c r="AK38" s="27">
        <f>IFERROR(IF(COUNTA(A38:G38)=0,"",IF(A38="","Missing Reservation ID",IF(B38="","Missing Property",IF(AND(AE38&gt;='Assumptions'!$B$115,L38&lt;&gt;"Canceled"),"Review Balance",IF(OR(L38="Inquiry",L38="Tentative"),"Review Status","OK"))))),"")</f>
        <v/>
      </c>
    </row>
    <row r="39">
      <c r="A39" s="25" t="n"/>
      <c r="B39" s="25" t="n"/>
      <c r="C39" s="25" t="n"/>
      <c r="D39" s="25" t="n"/>
      <c r="E39" s="26" t="n"/>
      <c r="F39" s="26" t="n"/>
      <c r="G39" s="26" t="n"/>
      <c r="H39" s="27">
        <f>IFERROR(IF(OR(F39="",G39=""),"",MAX(0,G39-F39)),"")</f>
        <v/>
      </c>
      <c r="I39" s="25" t="n"/>
      <c r="J39" s="25" t="n"/>
      <c r="K39" s="25" t="n"/>
      <c r="L39" s="25" t="n"/>
      <c r="M39" s="49" t="n"/>
      <c r="N39" s="49" t="n"/>
      <c r="O39" s="49" t="n"/>
      <c r="P39" s="49" t="n"/>
      <c r="Q39" s="49" t="n"/>
      <c r="R39" s="49" t="n"/>
      <c r="S39" s="50">
        <f>IFERROR(IF(B39="","",VLOOKUP(B39,'Assumptions'!$B$5:$K$104,7,FALSE)),"")</f>
        <v/>
      </c>
      <c r="T39" s="51">
        <f>IFERROR(IF(A39="","",MAX(0,M39-Q39+(N39+O39+P39)*VLOOKUP(B39,'Assumptions'!$B$5:$K$104,8,FALSE))),"")</f>
        <v/>
      </c>
      <c r="U39" s="51">
        <f>IFERROR(IF(A39="","",T39*S39),"")</f>
        <v/>
      </c>
      <c r="V39" s="51">
        <f>IFERROR(IF(A39="","",MAX(0,M39+N39+O39+P39-Q39)),"")</f>
        <v/>
      </c>
      <c r="W39" s="50">
        <f>IFERROR(IF(D39="","",VLOOKUP(D39,'Assumptions'!$U$5:$V$104,2,FALSE)),"")</f>
        <v/>
      </c>
      <c r="X39" s="51">
        <f>IFERROR(IF(A39="","",V39*W39),"")</f>
        <v/>
      </c>
      <c r="Y39" s="50">
        <f>IFERROR(IF(B39="","",VLOOKUP(B39,'Assumptions'!$B$5:$K$104,9,FALSE)),"")</f>
        <v/>
      </c>
      <c r="Z39" s="51">
        <f>IFERROR(IF(A39="","",(V39+U39)*Y39),"")</f>
        <v/>
      </c>
      <c r="AA39" s="50">
        <f>IFERROR(IF(B39="","",VLOOKUP(B39,'Assumptions'!$B$5:$K$104,10,FALSE)),"")</f>
        <v/>
      </c>
      <c r="AB39" s="51">
        <f>IFERROR(IF(A39="","",MAX(0,V39-R39)*AA39),"")</f>
        <v/>
      </c>
      <c r="AC39" s="51">
        <f>IFERROR(IF(A39="","",V39-R39-X39-Z39-AB39),"")</f>
        <v/>
      </c>
      <c r="AD39" s="49" t="n"/>
      <c r="AE39" s="51">
        <f>IFERROR(IF(A39="","",MAX(0,V39+U39-R39-AD39)),"")</f>
        <v/>
      </c>
      <c r="AF39" s="27">
        <f>IFERROR(IF(A39="","",IF(OR(L39="Inquiry",L39="Tentative",L39="Canceled"),"Not Due",IF(AE39=0,"Paid","Balance Due"))),"")</f>
        <v/>
      </c>
      <c r="AG39" s="25" t="n"/>
      <c r="AH39" s="31" t="n"/>
      <c r="AI39" s="27">
        <f>IFERROR(IF(A39="","",IF(OR(F39="",G39=""),"Missing Date",IF(G39&lt;=F39,"Invalid Date","OK"))),"")</f>
        <v/>
      </c>
      <c r="AJ39" s="27">
        <f>IFERROR(IF(OR(A39="",B39="",F39="",G39="",L39="Canceled"),"",IF(COUNTIFS($B$4:$B$153,B39,$F$4:$F$153,"&lt;"&amp;G39,$G$4:$G$153,"&gt;"&amp;F39,$A$4:$A$153,"&lt;&gt;"&amp;A39,$L$4:$L$153,"&lt;&gt;Canceled")&gt;0,"Possible Overlap","OK")),"")</f>
        <v/>
      </c>
      <c r="AK39" s="27">
        <f>IFERROR(IF(COUNTA(A39:G39)=0,"",IF(A39="","Missing Reservation ID",IF(B39="","Missing Property",IF(AND(AE39&gt;='Assumptions'!$B$115,L39&lt;&gt;"Canceled"),"Review Balance",IF(OR(L39="Inquiry",L39="Tentative"),"Review Status","OK"))))),"")</f>
        <v/>
      </c>
    </row>
    <row r="40">
      <c r="A40" s="25" t="n"/>
      <c r="B40" s="25" t="n"/>
      <c r="C40" s="25" t="n"/>
      <c r="D40" s="25" t="n"/>
      <c r="E40" s="26" t="n"/>
      <c r="F40" s="26" t="n"/>
      <c r="G40" s="26" t="n"/>
      <c r="H40" s="27">
        <f>IFERROR(IF(OR(F40="",G40=""),"",MAX(0,G40-F40)),"")</f>
        <v/>
      </c>
      <c r="I40" s="25" t="n"/>
      <c r="J40" s="25" t="n"/>
      <c r="K40" s="25" t="n"/>
      <c r="L40" s="25" t="n"/>
      <c r="M40" s="49" t="n"/>
      <c r="N40" s="49" t="n"/>
      <c r="O40" s="49" t="n"/>
      <c r="P40" s="49" t="n"/>
      <c r="Q40" s="49" t="n"/>
      <c r="R40" s="49" t="n"/>
      <c r="S40" s="50">
        <f>IFERROR(IF(B40="","",VLOOKUP(B40,'Assumptions'!$B$5:$K$104,7,FALSE)),"")</f>
        <v/>
      </c>
      <c r="T40" s="51">
        <f>IFERROR(IF(A40="","",MAX(0,M40-Q40+(N40+O40+P40)*VLOOKUP(B40,'Assumptions'!$B$5:$K$104,8,FALSE))),"")</f>
        <v/>
      </c>
      <c r="U40" s="51">
        <f>IFERROR(IF(A40="","",T40*S40),"")</f>
        <v/>
      </c>
      <c r="V40" s="51">
        <f>IFERROR(IF(A40="","",MAX(0,M40+N40+O40+P40-Q40)),"")</f>
        <v/>
      </c>
      <c r="W40" s="50">
        <f>IFERROR(IF(D40="","",VLOOKUP(D40,'Assumptions'!$U$5:$V$104,2,FALSE)),"")</f>
        <v/>
      </c>
      <c r="X40" s="51">
        <f>IFERROR(IF(A40="","",V40*W40),"")</f>
        <v/>
      </c>
      <c r="Y40" s="50">
        <f>IFERROR(IF(B40="","",VLOOKUP(B40,'Assumptions'!$B$5:$K$104,9,FALSE)),"")</f>
        <v/>
      </c>
      <c r="Z40" s="51">
        <f>IFERROR(IF(A40="","",(V40+U40)*Y40),"")</f>
        <v/>
      </c>
      <c r="AA40" s="50">
        <f>IFERROR(IF(B40="","",VLOOKUP(B40,'Assumptions'!$B$5:$K$104,10,FALSE)),"")</f>
        <v/>
      </c>
      <c r="AB40" s="51">
        <f>IFERROR(IF(A40="","",MAX(0,V40-R40)*AA40),"")</f>
        <v/>
      </c>
      <c r="AC40" s="51">
        <f>IFERROR(IF(A40="","",V40-R40-X40-Z40-AB40),"")</f>
        <v/>
      </c>
      <c r="AD40" s="49" t="n"/>
      <c r="AE40" s="51">
        <f>IFERROR(IF(A40="","",MAX(0,V40+U40-R40-AD40)),"")</f>
        <v/>
      </c>
      <c r="AF40" s="27">
        <f>IFERROR(IF(A40="","",IF(OR(L40="Inquiry",L40="Tentative",L40="Canceled"),"Not Due",IF(AE40=0,"Paid","Balance Due"))),"")</f>
        <v/>
      </c>
      <c r="AG40" s="25" t="n"/>
      <c r="AH40" s="31" t="n"/>
      <c r="AI40" s="27">
        <f>IFERROR(IF(A40="","",IF(OR(F40="",G40=""),"Missing Date",IF(G40&lt;=F40,"Invalid Date","OK"))),"")</f>
        <v/>
      </c>
      <c r="AJ40" s="27">
        <f>IFERROR(IF(OR(A40="",B40="",F40="",G40="",L40="Canceled"),"",IF(COUNTIFS($B$4:$B$153,B40,$F$4:$F$153,"&lt;"&amp;G40,$G$4:$G$153,"&gt;"&amp;F40,$A$4:$A$153,"&lt;&gt;"&amp;A40,$L$4:$L$153,"&lt;&gt;Canceled")&gt;0,"Possible Overlap","OK")),"")</f>
        <v/>
      </c>
      <c r="AK40" s="27">
        <f>IFERROR(IF(COUNTA(A40:G40)=0,"",IF(A40="","Missing Reservation ID",IF(B40="","Missing Property",IF(AND(AE40&gt;='Assumptions'!$B$115,L40&lt;&gt;"Canceled"),"Review Balance",IF(OR(L40="Inquiry",L40="Tentative"),"Review Status","OK"))))),"")</f>
        <v/>
      </c>
    </row>
    <row r="41">
      <c r="A41" s="25" t="n"/>
      <c r="B41" s="25" t="n"/>
      <c r="C41" s="25" t="n"/>
      <c r="D41" s="25" t="n"/>
      <c r="E41" s="26" t="n"/>
      <c r="F41" s="26" t="n"/>
      <c r="G41" s="26" t="n"/>
      <c r="H41" s="27">
        <f>IFERROR(IF(OR(F41="",G41=""),"",MAX(0,G41-F41)),"")</f>
        <v/>
      </c>
      <c r="I41" s="25" t="n"/>
      <c r="J41" s="25" t="n"/>
      <c r="K41" s="25" t="n"/>
      <c r="L41" s="25" t="n"/>
      <c r="M41" s="49" t="n"/>
      <c r="N41" s="49" t="n"/>
      <c r="O41" s="49" t="n"/>
      <c r="P41" s="49" t="n"/>
      <c r="Q41" s="49" t="n"/>
      <c r="R41" s="49" t="n"/>
      <c r="S41" s="50">
        <f>IFERROR(IF(B41="","",VLOOKUP(B41,'Assumptions'!$B$5:$K$104,7,FALSE)),"")</f>
        <v/>
      </c>
      <c r="T41" s="51">
        <f>IFERROR(IF(A41="","",MAX(0,M41-Q41+(N41+O41+P41)*VLOOKUP(B41,'Assumptions'!$B$5:$K$104,8,FALSE))),"")</f>
        <v/>
      </c>
      <c r="U41" s="51">
        <f>IFERROR(IF(A41="","",T41*S41),"")</f>
        <v/>
      </c>
      <c r="V41" s="51">
        <f>IFERROR(IF(A41="","",MAX(0,M41+N41+O41+P41-Q41)),"")</f>
        <v/>
      </c>
      <c r="W41" s="50">
        <f>IFERROR(IF(D41="","",VLOOKUP(D41,'Assumptions'!$U$5:$V$104,2,FALSE)),"")</f>
        <v/>
      </c>
      <c r="X41" s="51">
        <f>IFERROR(IF(A41="","",V41*W41),"")</f>
        <v/>
      </c>
      <c r="Y41" s="50">
        <f>IFERROR(IF(B41="","",VLOOKUP(B41,'Assumptions'!$B$5:$K$104,9,FALSE)),"")</f>
        <v/>
      </c>
      <c r="Z41" s="51">
        <f>IFERROR(IF(A41="","",(V41+U41)*Y41),"")</f>
        <v/>
      </c>
      <c r="AA41" s="50">
        <f>IFERROR(IF(B41="","",VLOOKUP(B41,'Assumptions'!$B$5:$K$104,10,FALSE)),"")</f>
        <v/>
      </c>
      <c r="AB41" s="51">
        <f>IFERROR(IF(A41="","",MAX(0,V41-R41)*AA41),"")</f>
        <v/>
      </c>
      <c r="AC41" s="51">
        <f>IFERROR(IF(A41="","",V41-R41-X41-Z41-AB41),"")</f>
        <v/>
      </c>
      <c r="AD41" s="49" t="n"/>
      <c r="AE41" s="51">
        <f>IFERROR(IF(A41="","",MAX(0,V41+U41-R41-AD41)),"")</f>
        <v/>
      </c>
      <c r="AF41" s="27">
        <f>IFERROR(IF(A41="","",IF(OR(L41="Inquiry",L41="Tentative",L41="Canceled"),"Not Due",IF(AE41=0,"Paid","Balance Due"))),"")</f>
        <v/>
      </c>
      <c r="AG41" s="25" t="n"/>
      <c r="AH41" s="31" t="n"/>
      <c r="AI41" s="27">
        <f>IFERROR(IF(A41="","",IF(OR(F41="",G41=""),"Missing Date",IF(G41&lt;=F41,"Invalid Date","OK"))),"")</f>
        <v/>
      </c>
      <c r="AJ41" s="27">
        <f>IFERROR(IF(OR(A41="",B41="",F41="",G41="",L41="Canceled"),"",IF(COUNTIFS($B$4:$B$153,B41,$F$4:$F$153,"&lt;"&amp;G41,$G$4:$G$153,"&gt;"&amp;F41,$A$4:$A$153,"&lt;&gt;"&amp;A41,$L$4:$L$153,"&lt;&gt;Canceled")&gt;0,"Possible Overlap","OK")),"")</f>
        <v/>
      </c>
      <c r="AK41" s="27">
        <f>IFERROR(IF(COUNTA(A41:G41)=0,"",IF(A41="","Missing Reservation ID",IF(B41="","Missing Property",IF(AND(AE41&gt;='Assumptions'!$B$115,L41&lt;&gt;"Canceled"),"Review Balance",IF(OR(L41="Inquiry",L41="Tentative"),"Review Status","OK"))))),"")</f>
        <v/>
      </c>
    </row>
    <row r="42">
      <c r="A42" s="25" t="n"/>
      <c r="B42" s="25" t="n"/>
      <c r="C42" s="25" t="n"/>
      <c r="D42" s="25" t="n"/>
      <c r="E42" s="26" t="n"/>
      <c r="F42" s="26" t="n"/>
      <c r="G42" s="26" t="n"/>
      <c r="H42" s="27">
        <f>IFERROR(IF(OR(F42="",G42=""),"",MAX(0,G42-F42)),"")</f>
        <v/>
      </c>
      <c r="I42" s="25" t="n"/>
      <c r="J42" s="25" t="n"/>
      <c r="K42" s="25" t="n"/>
      <c r="L42" s="25" t="n"/>
      <c r="M42" s="49" t="n"/>
      <c r="N42" s="49" t="n"/>
      <c r="O42" s="49" t="n"/>
      <c r="P42" s="49" t="n"/>
      <c r="Q42" s="49" t="n"/>
      <c r="R42" s="49" t="n"/>
      <c r="S42" s="50">
        <f>IFERROR(IF(B42="","",VLOOKUP(B42,'Assumptions'!$B$5:$K$104,7,FALSE)),"")</f>
        <v/>
      </c>
      <c r="T42" s="51">
        <f>IFERROR(IF(A42="","",MAX(0,M42-Q42+(N42+O42+P42)*VLOOKUP(B42,'Assumptions'!$B$5:$K$104,8,FALSE))),"")</f>
        <v/>
      </c>
      <c r="U42" s="51">
        <f>IFERROR(IF(A42="","",T42*S42),"")</f>
        <v/>
      </c>
      <c r="V42" s="51">
        <f>IFERROR(IF(A42="","",MAX(0,M42+N42+O42+P42-Q42)),"")</f>
        <v/>
      </c>
      <c r="W42" s="50">
        <f>IFERROR(IF(D42="","",VLOOKUP(D42,'Assumptions'!$U$5:$V$104,2,FALSE)),"")</f>
        <v/>
      </c>
      <c r="X42" s="51">
        <f>IFERROR(IF(A42="","",V42*W42),"")</f>
        <v/>
      </c>
      <c r="Y42" s="50">
        <f>IFERROR(IF(B42="","",VLOOKUP(B42,'Assumptions'!$B$5:$K$104,9,FALSE)),"")</f>
        <v/>
      </c>
      <c r="Z42" s="51">
        <f>IFERROR(IF(A42="","",(V42+U42)*Y42),"")</f>
        <v/>
      </c>
      <c r="AA42" s="50">
        <f>IFERROR(IF(B42="","",VLOOKUP(B42,'Assumptions'!$B$5:$K$104,10,FALSE)),"")</f>
        <v/>
      </c>
      <c r="AB42" s="51">
        <f>IFERROR(IF(A42="","",MAX(0,V42-R42)*AA42),"")</f>
        <v/>
      </c>
      <c r="AC42" s="51">
        <f>IFERROR(IF(A42="","",V42-R42-X42-Z42-AB42),"")</f>
        <v/>
      </c>
      <c r="AD42" s="49" t="n"/>
      <c r="AE42" s="51">
        <f>IFERROR(IF(A42="","",MAX(0,V42+U42-R42-AD42)),"")</f>
        <v/>
      </c>
      <c r="AF42" s="27">
        <f>IFERROR(IF(A42="","",IF(OR(L42="Inquiry",L42="Tentative",L42="Canceled"),"Not Due",IF(AE42=0,"Paid","Balance Due"))),"")</f>
        <v/>
      </c>
      <c r="AG42" s="25" t="n"/>
      <c r="AH42" s="31" t="n"/>
      <c r="AI42" s="27">
        <f>IFERROR(IF(A42="","",IF(OR(F42="",G42=""),"Missing Date",IF(G42&lt;=F42,"Invalid Date","OK"))),"")</f>
        <v/>
      </c>
      <c r="AJ42" s="27">
        <f>IFERROR(IF(OR(A42="",B42="",F42="",G42="",L42="Canceled"),"",IF(COUNTIFS($B$4:$B$153,B42,$F$4:$F$153,"&lt;"&amp;G42,$G$4:$G$153,"&gt;"&amp;F42,$A$4:$A$153,"&lt;&gt;"&amp;A42,$L$4:$L$153,"&lt;&gt;Canceled")&gt;0,"Possible Overlap","OK")),"")</f>
        <v/>
      </c>
      <c r="AK42" s="27">
        <f>IFERROR(IF(COUNTA(A42:G42)=0,"",IF(A42="","Missing Reservation ID",IF(B42="","Missing Property",IF(AND(AE42&gt;='Assumptions'!$B$115,L42&lt;&gt;"Canceled"),"Review Balance",IF(OR(L42="Inquiry",L42="Tentative"),"Review Status","OK"))))),"")</f>
        <v/>
      </c>
    </row>
    <row r="43">
      <c r="A43" s="25" t="n"/>
      <c r="B43" s="25" t="n"/>
      <c r="C43" s="25" t="n"/>
      <c r="D43" s="25" t="n"/>
      <c r="E43" s="26" t="n"/>
      <c r="F43" s="26" t="n"/>
      <c r="G43" s="26" t="n"/>
      <c r="H43" s="27">
        <f>IFERROR(IF(OR(F43="",G43=""),"",MAX(0,G43-F43)),"")</f>
        <v/>
      </c>
      <c r="I43" s="25" t="n"/>
      <c r="J43" s="25" t="n"/>
      <c r="K43" s="25" t="n"/>
      <c r="L43" s="25" t="n"/>
      <c r="M43" s="49" t="n"/>
      <c r="N43" s="49" t="n"/>
      <c r="O43" s="49" t="n"/>
      <c r="P43" s="49" t="n"/>
      <c r="Q43" s="49" t="n"/>
      <c r="R43" s="49" t="n"/>
      <c r="S43" s="50">
        <f>IFERROR(IF(B43="","",VLOOKUP(B43,'Assumptions'!$B$5:$K$104,7,FALSE)),"")</f>
        <v/>
      </c>
      <c r="T43" s="51">
        <f>IFERROR(IF(A43="","",MAX(0,M43-Q43+(N43+O43+P43)*VLOOKUP(B43,'Assumptions'!$B$5:$K$104,8,FALSE))),"")</f>
        <v/>
      </c>
      <c r="U43" s="51">
        <f>IFERROR(IF(A43="","",T43*S43),"")</f>
        <v/>
      </c>
      <c r="V43" s="51">
        <f>IFERROR(IF(A43="","",MAX(0,M43+N43+O43+P43-Q43)),"")</f>
        <v/>
      </c>
      <c r="W43" s="50">
        <f>IFERROR(IF(D43="","",VLOOKUP(D43,'Assumptions'!$U$5:$V$104,2,FALSE)),"")</f>
        <v/>
      </c>
      <c r="X43" s="51">
        <f>IFERROR(IF(A43="","",V43*W43),"")</f>
        <v/>
      </c>
      <c r="Y43" s="50">
        <f>IFERROR(IF(B43="","",VLOOKUP(B43,'Assumptions'!$B$5:$K$104,9,FALSE)),"")</f>
        <v/>
      </c>
      <c r="Z43" s="51">
        <f>IFERROR(IF(A43="","",(V43+U43)*Y43),"")</f>
        <v/>
      </c>
      <c r="AA43" s="50">
        <f>IFERROR(IF(B43="","",VLOOKUP(B43,'Assumptions'!$B$5:$K$104,10,FALSE)),"")</f>
        <v/>
      </c>
      <c r="AB43" s="51">
        <f>IFERROR(IF(A43="","",MAX(0,V43-R43)*AA43),"")</f>
        <v/>
      </c>
      <c r="AC43" s="51">
        <f>IFERROR(IF(A43="","",V43-R43-X43-Z43-AB43),"")</f>
        <v/>
      </c>
      <c r="AD43" s="49" t="n"/>
      <c r="AE43" s="51">
        <f>IFERROR(IF(A43="","",MAX(0,V43+U43-R43-AD43)),"")</f>
        <v/>
      </c>
      <c r="AF43" s="27">
        <f>IFERROR(IF(A43="","",IF(OR(L43="Inquiry",L43="Tentative",L43="Canceled"),"Not Due",IF(AE43=0,"Paid","Balance Due"))),"")</f>
        <v/>
      </c>
      <c r="AG43" s="25" t="n"/>
      <c r="AH43" s="31" t="n"/>
      <c r="AI43" s="27">
        <f>IFERROR(IF(A43="","",IF(OR(F43="",G43=""),"Missing Date",IF(G43&lt;=F43,"Invalid Date","OK"))),"")</f>
        <v/>
      </c>
      <c r="AJ43" s="27">
        <f>IFERROR(IF(OR(A43="",B43="",F43="",G43="",L43="Canceled"),"",IF(COUNTIFS($B$4:$B$153,B43,$F$4:$F$153,"&lt;"&amp;G43,$G$4:$G$153,"&gt;"&amp;F43,$A$4:$A$153,"&lt;&gt;"&amp;A43,$L$4:$L$153,"&lt;&gt;Canceled")&gt;0,"Possible Overlap","OK")),"")</f>
        <v/>
      </c>
      <c r="AK43" s="27">
        <f>IFERROR(IF(COUNTA(A43:G43)=0,"",IF(A43="","Missing Reservation ID",IF(B43="","Missing Property",IF(AND(AE43&gt;='Assumptions'!$B$115,L43&lt;&gt;"Canceled"),"Review Balance",IF(OR(L43="Inquiry",L43="Tentative"),"Review Status","OK"))))),"")</f>
        <v/>
      </c>
    </row>
    <row r="44">
      <c r="A44" s="25" t="n"/>
      <c r="B44" s="25" t="n"/>
      <c r="C44" s="25" t="n"/>
      <c r="D44" s="25" t="n"/>
      <c r="E44" s="26" t="n"/>
      <c r="F44" s="26" t="n"/>
      <c r="G44" s="26" t="n"/>
      <c r="H44" s="27">
        <f>IFERROR(IF(OR(F44="",G44=""),"",MAX(0,G44-F44)),"")</f>
        <v/>
      </c>
      <c r="I44" s="25" t="n"/>
      <c r="J44" s="25" t="n"/>
      <c r="K44" s="25" t="n"/>
      <c r="L44" s="25" t="n"/>
      <c r="M44" s="49" t="n"/>
      <c r="N44" s="49" t="n"/>
      <c r="O44" s="49" t="n"/>
      <c r="P44" s="49" t="n"/>
      <c r="Q44" s="49" t="n"/>
      <c r="R44" s="49" t="n"/>
      <c r="S44" s="50">
        <f>IFERROR(IF(B44="","",VLOOKUP(B44,'Assumptions'!$B$5:$K$104,7,FALSE)),"")</f>
        <v/>
      </c>
      <c r="T44" s="51">
        <f>IFERROR(IF(A44="","",MAX(0,M44-Q44+(N44+O44+P44)*VLOOKUP(B44,'Assumptions'!$B$5:$K$104,8,FALSE))),"")</f>
        <v/>
      </c>
      <c r="U44" s="51">
        <f>IFERROR(IF(A44="","",T44*S44),"")</f>
        <v/>
      </c>
      <c r="V44" s="51">
        <f>IFERROR(IF(A44="","",MAX(0,M44+N44+O44+P44-Q44)),"")</f>
        <v/>
      </c>
      <c r="W44" s="50">
        <f>IFERROR(IF(D44="","",VLOOKUP(D44,'Assumptions'!$U$5:$V$104,2,FALSE)),"")</f>
        <v/>
      </c>
      <c r="X44" s="51">
        <f>IFERROR(IF(A44="","",V44*W44),"")</f>
        <v/>
      </c>
      <c r="Y44" s="50">
        <f>IFERROR(IF(B44="","",VLOOKUP(B44,'Assumptions'!$B$5:$K$104,9,FALSE)),"")</f>
        <v/>
      </c>
      <c r="Z44" s="51">
        <f>IFERROR(IF(A44="","",(V44+U44)*Y44),"")</f>
        <v/>
      </c>
      <c r="AA44" s="50">
        <f>IFERROR(IF(B44="","",VLOOKUP(B44,'Assumptions'!$B$5:$K$104,10,FALSE)),"")</f>
        <v/>
      </c>
      <c r="AB44" s="51">
        <f>IFERROR(IF(A44="","",MAX(0,V44-R44)*AA44),"")</f>
        <v/>
      </c>
      <c r="AC44" s="51">
        <f>IFERROR(IF(A44="","",V44-R44-X44-Z44-AB44),"")</f>
        <v/>
      </c>
      <c r="AD44" s="49" t="n"/>
      <c r="AE44" s="51">
        <f>IFERROR(IF(A44="","",MAX(0,V44+U44-R44-AD44)),"")</f>
        <v/>
      </c>
      <c r="AF44" s="27">
        <f>IFERROR(IF(A44="","",IF(OR(L44="Inquiry",L44="Tentative",L44="Canceled"),"Not Due",IF(AE44=0,"Paid","Balance Due"))),"")</f>
        <v/>
      </c>
      <c r="AG44" s="25" t="n"/>
      <c r="AH44" s="31" t="n"/>
      <c r="AI44" s="27">
        <f>IFERROR(IF(A44="","",IF(OR(F44="",G44=""),"Missing Date",IF(G44&lt;=F44,"Invalid Date","OK"))),"")</f>
        <v/>
      </c>
      <c r="AJ44" s="27">
        <f>IFERROR(IF(OR(A44="",B44="",F44="",G44="",L44="Canceled"),"",IF(COUNTIFS($B$4:$B$153,B44,$F$4:$F$153,"&lt;"&amp;G44,$G$4:$G$153,"&gt;"&amp;F44,$A$4:$A$153,"&lt;&gt;"&amp;A44,$L$4:$L$153,"&lt;&gt;Canceled")&gt;0,"Possible Overlap","OK")),"")</f>
        <v/>
      </c>
      <c r="AK44" s="27">
        <f>IFERROR(IF(COUNTA(A44:G44)=0,"",IF(A44="","Missing Reservation ID",IF(B44="","Missing Property",IF(AND(AE44&gt;='Assumptions'!$B$115,L44&lt;&gt;"Canceled"),"Review Balance",IF(OR(L44="Inquiry",L44="Tentative"),"Review Status","OK"))))),"")</f>
        <v/>
      </c>
    </row>
    <row r="45">
      <c r="A45" s="25" t="n"/>
      <c r="B45" s="25" t="n"/>
      <c r="C45" s="25" t="n"/>
      <c r="D45" s="25" t="n"/>
      <c r="E45" s="26" t="n"/>
      <c r="F45" s="26" t="n"/>
      <c r="G45" s="26" t="n"/>
      <c r="H45" s="27">
        <f>IFERROR(IF(OR(F45="",G45=""),"",MAX(0,G45-F45)),"")</f>
        <v/>
      </c>
      <c r="I45" s="25" t="n"/>
      <c r="J45" s="25" t="n"/>
      <c r="K45" s="25" t="n"/>
      <c r="L45" s="25" t="n"/>
      <c r="M45" s="49" t="n"/>
      <c r="N45" s="49" t="n"/>
      <c r="O45" s="49" t="n"/>
      <c r="P45" s="49" t="n"/>
      <c r="Q45" s="49" t="n"/>
      <c r="R45" s="49" t="n"/>
      <c r="S45" s="50">
        <f>IFERROR(IF(B45="","",VLOOKUP(B45,'Assumptions'!$B$5:$K$104,7,FALSE)),"")</f>
        <v/>
      </c>
      <c r="T45" s="51">
        <f>IFERROR(IF(A45="","",MAX(0,M45-Q45+(N45+O45+P45)*VLOOKUP(B45,'Assumptions'!$B$5:$K$104,8,FALSE))),"")</f>
        <v/>
      </c>
      <c r="U45" s="51">
        <f>IFERROR(IF(A45="","",T45*S45),"")</f>
        <v/>
      </c>
      <c r="V45" s="51">
        <f>IFERROR(IF(A45="","",MAX(0,M45+N45+O45+P45-Q45)),"")</f>
        <v/>
      </c>
      <c r="W45" s="50">
        <f>IFERROR(IF(D45="","",VLOOKUP(D45,'Assumptions'!$U$5:$V$104,2,FALSE)),"")</f>
        <v/>
      </c>
      <c r="X45" s="51">
        <f>IFERROR(IF(A45="","",V45*W45),"")</f>
        <v/>
      </c>
      <c r="Y45" s="50">
        <f>IFERROR(IF(B45="","",VLOOKUP(B45,'Assumptions'!$B$5:$K$104,9,FALSE)),"")</f>
        <v/>
      </c>
      <c r="Z45" s="51">
        <f>IFERROR(IF(A45="","",(V45+U45)*Y45),"")</f>
        <v/>
      </c>
      <c r="AA45" s="50">
        <f>IFERROR(IF(B45="","",VLOOKUP(B45,'Assumptions'!$B$5:$K$104,10,FALSE)),"")</f>
        <v/>
      </c>
      <c r="AB45" s="51">
        <f>IFERROR(IF(A45="","",MAX(0,V45-R45)*AA45),"")</f>
        <v/>
      </c>
      <c r="AC45" s="51">
        <f>IFERROR(IF(A45="","",V45-R45-X45-Z45-AB45),"")</f>
        <v/>
      </c>
      <c r="AD45" s="49" t="n"/>
      <c r="AE45" s="51">
        <f>IFERROR(IF(A45="","",MAX(0,V45+U45-R45-AD45)),"")</f>
        <v/>
      </c>
      <c r="AF45" s="27">
        <f>IFERROR(IF(A45="","",IF(OR(L45="Inquiry",L45="Tentative",L45="Canceled"),"Not Due",IF(AE45=0,"Paid","Balance Due"))),"")</f>
        <v/>
      </c>
      <c r="AG45" s="25" t="n"/>
      <c r="AH45" s="31" t="n"/>
      <c r="AI45" s="27">
        <f>IFERROR(IF(A45="","",IF(OR(F45="",G45=""),"Missing Date",IF(G45&lt;=F45,"Invalid Date","OK"))),"")</f>
        <v/>
      </c>
      <c r="AJ45" s="27">
        <f>IFERROR(IF(OR(A45="",B45="",F45="",G45="",L45="Canceled"),"",IF(COUNTIFS($B$4:$B$153,B45,$F$4:$F$153,"&lt;"&amp;G45,$G$4:$G$153,"&gt;"&amp;F45,$A$4:$A$153,"&lt;&gt;"&amp;A45,$L$4:$L$153,"&lt;&gt;Canceled")&gt;0,"Possible Overlap","OK")),"")</f>
        <v/>
      </c>
      <c r="AK45" s="27">
        <f>IFERROR(IF(COUNTA(A45:G45)=0,"",IF(A45="","Missing Reservation ID",IF(B45="","Missing Property",IF(AND(AE45&gt;='Assumptions'!$B$115,L45&lt;&gt;"Canceled"),"Review Balance",IF(OR(L45="Inquiry",L45="Tentative"),"Review Status","OK"))))),"")</f>
        <v/>
      </c>
    </row>
    <row r="46">
      <c r="A46" s="25" t="n"/>
      <c r="B46" s="25" t="n"/>
      <c r="C46" s="25" t="n"/>
      <c r="D46" s="25" t="n"/>
      <c r="E46" s="26" t="n"/>
      <c r="F46" s="26" t="n"/>
      <c r="G46" s="26" t="n"/>
      <c r="H46" s="27">
        <f>IFERROR(IF(OR(F46="",G46=""),"",MAX(0,G46-F46)),"")</f>
        <v/>
      </c>
      <c r="I46" s="25" t="n"/>
      <c r="J46" s="25" t="n"/>
      <c r="K46" s="25" t="n"/>
      <c r="L46" s="25" t="n"/>
      <c r="M46" s="49" t="n"/>
      <c r="N46" s="49" t="n"/>
      <c r="O46" s="49" t="n"/>
      <c r="P46" s="49" t="n"/>
      <c r="Q46" s="49" t="n"/>
      <c r="R46" s="49" t="n"/>
      <c r="S46" s="50">
        <f>IFERROR(IF(B46="","",VLOOKUP(B46,'Assumptions'!$B$5:$K$104,7,FALSE)),"")</f>
        <v/>
      </c>
      <c r="T46" s="51">
        <f>IFERROR(IF(A46="","",MAX(0,M46-Q46+(N46+O46+P46)*VLOOKUP(B46,'Assumptions'!$B$5:$K$104,8,FALSE))),"")</f>
        <v/>
      </c>
      <c r="U46" s="51">
        <f>IFERROR(IF(A46="","",T46*S46),"")</f>
        <v/>
      </c>
      <c r="V46" s="51">
        <f>IFERROR(IF(A46="","",MAX(0,M46+N46+O46+P46-Q46)),"")</f>
        <v/>
      </c>
      <c r="W46" s="50">
        <f>IFERROR(IF(D46="","",VLOOKUP(D46,'Assumptions'!$U$5:$V$104,2,FALSE)),"")</f>
        <v/>
      </c>
      <c r="X46" s="51">
        <f>IFERROR(IF(A46="","",V46*W46),"")</f>
        <v/>
      </c>
      <c r="Y46" s="50">
        <f>IFERROR(IF(B46="","",VLOOKUP(B46,'Assumptions'!$B$5:$K$104,9,FALSE)),"")</f>
        <v/>
      </c>
      <c r="Z46" s="51">
        <f>IFERROR(IF(A46="","",(V46+U46)*Y46),"")</f>
        <v/>
      </c>
      <c r="AA46" s="50">
        <f>IFERROR(IF(B46="","",VLOOKUP(B46,'Assumptions'!$B$5:$K$104,10,FALSE)),"")</f>
        <v/>
      </c>
      <c r="AB46" s="51">
        <f>IFERROR(IF(A46="","",MAX(0,V46-R46)*AA46),"")</f>
        <v/>
      </c>
      <c r="AC46" s="51">
        <f>IFERROR(IF(A46="","",V46-R46-X46-Z46-AB46),"")</f>
        <v/>
      </c>
      <c r="AD46" s="49" t="n"/>
      <c r="AE46" s="51">
        <f>IFERROR(IF(A46="","",MAX(0,V46+U46-R46-AD46)),"")</f>
        <v/>
      </c>
      <c r="AF46" s="27">
        <f>IFERROR(IF(A46="","",IF(OR(L46="Inquiry",L46="Tentative",L46="Canceled"),"Not Due",IF(AE46=0,"Paid","Balance Due"))),"")</f>
        <v/>
      </c>
      <c r="AG46" s="25" t="n"/>
      <c r="AH46" s="31" t="n"/>
      <c r="AI46" s="27">
        <f>IFERROR(IF(A46="","",IF(OR(F46="",G46=""),"Missing Date",IF(G46&lt;=F46,"Invalid Date","OK"))),"")</f>
        <v/>
      </c>
      <c r="AJ46" s="27">
        <f>IFERROR(IF(OR(A46="",B46="",F46="",G46="",L46="Canceled"),"",IF(COUNTIFS($B$4:$B$153,B46,$F$4:$F$153,"&lt;"&amp;G46,$G$4:$G$153,"&gt;"&amp;F46,$A$4:$A$153,"&lt;&gt;"&amp;A46,$L$4:$L$153,"&lt;&gt;Canceled")&gt;0,"Possible Overlap","OK")),"")</f>
        <v/>
      </c>
      <c r="AK46" s="27">
        <f>IFERROR(IF(COUNTA(A46:G46)=0,"",IF(A46="","Missing Reservation ID",IF(B46="","Missing Property",IF(AND(AE46&gt;='Assumptions'!$B$115,L46&lt;&gt;"Canceled"),"Review Balance",IF(OR(L46="Inquiry",L46="Tentative"),"Review Status","OK"))))),"")</f>
        <v/>
      </c>
    </row>
    <row r="47">
      <c r="A47" s="25" t="n"/>
      <c r="B47" s="25" t="n"/>
      <c r="C47" s="25" t="n"/>
      <c r="D47" s="25" t="n"/>
      <c r="E47" s="26" t="n"/>
      <c r="F47" s="26" t="n"/>
      <c r="G47" s="26" t="n"/>
      <c r="H47" s="27">
        <f>IFERROR(IF(OR(F47="",G47=""),"",MAX(0,G47-F47)),"")</f>
        <v/>
      </c>
      <c r="I47" s="25" t="n"/>
      <c r="J47" s="25" t="n"/>
      <c r="K47" s="25" t="n"/>
      <c r="L47" s="25" t="n"/>
      <c r="M47" s="49" t="n"/>
      <c r="N47" s="49" t="n"/>
      <c r="O47" s="49" t="n"/>
      <c r="P47" s="49" t="n"/>
      <c r="Q47" s="49" t="n"/>
      <c r="R47" s="49" t="n"/>
      <c r="S47" s="50">
        <f>IFERROR(IF(B47="","",VLOOKUP(B47,'Assumptions'!$B$5:$K$104,7,FALSE)),"")</f>
        <v/>
      </c>
      <c r="T47" s="51">
        <f>IFERROR(IF(A47="","",MAX(0,M47-Q47+(N47+O47+P47)*VLOOKUP(B47,'Assumptions'!$B$5:$K$104,8,FALSE))),"")</f>
        <v/>
      </c>
      <c r="U47" s="51">
        <f>IFERROR(IF(A47="","",T47*S47),"")</f>
        <v/>
      </c>
      <c r="V47" s="51">
        <f>IFERROR(IF(A47="","",MAX(0,M47+N47+O47+P47-Q47)),"")</f>
        <v/>
      </c>
      <c r="W47" s="50">
        <f>IFERROR(IF(D47="","",VLOOKUP(D47,'Assumptions'!$U$5:$V$104,2,FALSE)),"")</f>
        <v/>
      </c>
      <c r="X47" s="51">
        <f>IFERROR(IF(A47="","",V47*W47),"")</f>
        <v/>
      </c>
      <c r="Y47" s="50">
        <f>IFERROR(IF(B47="","",VLOOKUP(B47,'Assumptions'!$B$5:$K$104,9,FALSE)),"")</f>
        <v/>
      </c>
      <c r="Z47" s="51">
        <f>IFERROR(IF(A47="","",(V47+U47)*Y47),"")</f>
        <v/>
      </c>
      <c r="AA47" s="50">
        <f>IFERROR(IF(B47="","",VLOOKUP(B47,'Assumptions'!$B$5:$K$104,10,FALSE)),"")</f>
        <v/>
      </c>
      <c r="AB47" s="51">
        <f>IFERROR(IF(A47="","",MAX(0,V47-R47)*AA47),"")</f>
        <v/>
      </c>
      <c r="AC47" s="51">
        <f>IFERROR(IF(A47="","",V47-R47-X47-Z47-AB47),"")</f>
        <v/>
      </c>
      <c r="AD47" s="49" t="n"/>
      <c r="AE47" s="51">
        <f>IFERROR(IF(A47="","",MAX(0,V47+U47-R47-AD47)),"")</f>
        <v/>
      </c>
      <c r="AF47" s="27">
        <f>IFERROR(IF(A47="","",IF(OR(L47="Inquiry",L47="Tentative",L47="Canceled"),"Not Due",IF(AE47=0,"Paid","Balance Due"))),"")</f>
        <v/>
      </c>
      <c r="AG47" s="25" t="n"/>
      <c r="AH47" s="31" t="n"/>
      <c r="AI47" s="27">
        <f>IFERROR(IF(A47="","",IF(OR(F47="",G47=""),"Missing Date",IF(G47&lt;=F47,"Invalid Date","OK"))),"")</f>
        <v/>
      </c>
      <c r="AJ47" s="27">
        <f>IFERROR(IF(OR(A47="",B47="",F47="",G47="",L47="Canceled"),"",IF(COUNTIFS($B$4:$B$153,B47,$F$4:$F$153,"&lt;"&amp;G47,$G$4:$G$153,"&gt;"&amp;F47,$A$4:$A$153,"&lt;&gt;"&amp;A47,$L$4:$L$153,"&lt;&gt;Canceled")&gt;0,"Possible Overlap","OK")),"")</f>
        <v/>
      </c>
      <c r="AK47" s="27">
        <f>IFERROR(IF(COUNTA(A47:G47)=0,"",IF(A47="","Missing Reservation ID",IF(B47="","Missing Property",IF(AND(AE47&gt;='Assumptions'!$B$115,L47&lt;&gt;"Canceled"),"Review Balance",IF(OR(L47="Inquiry",L47="Tentative"),"Review Status","OK"))))),"")</f>
        <v/>
      </c>
    </row>
    <row r="48">
      <c r="A48" s="25" t="n"/>
      <c r="B48" s="25" t="n"/>
      <c r="C48" s="25" t="n"/>
      <c r="D48" s="25" t="n"/>
      <c r="E48" s="26" t="n"/>
      <c r="F48" s="26" t="n"/>
      <c r="G48" s="26" t="n"/>
      <c r="H48" s="27">
        <f>IFERROR(IF(OR(F48="",G48=""),"",MAX(0,G48-F48)),"")</f>
        <v/>
      </c>
      <c r="I48" s="25" t="n"/>
      <c r="J48" s="25" t="n"/>
      <c r="K48" s="25" t="n"/>
      <c r="L48" s="25" t="n"/>
      <c r="M48" s="49" t="n"/>
      <c r="N48" s="49" t="n"/>
      <c r="O48" s="49" t="n"/>
      <c r="P48" s="49" t="n"/>
      <c r="Q48" s="49" t="n"/>
      <c r="R48" s="49" t="n"/>
      <c r="S48" s="50">
        <f>IFERROR(IF(B48="","",VLOOKUP(B48,'Assumptions'!$B$5:$K$104,7,FALSE)),"")</f>
        <v/>
      </c>
      <c r="T48" s="51">
        <f>IFERROR(IF(A48="","",MAX(0,M48-Q48+(N48+O48+P48)*VLOOKUP(B48,'Assumptions'!$B$5:$K$104,8,FALSE))),"")</f>
        <v/>
      </c>
      <c r="U48" s="51">
        <f>IFERROR(IF(A48="","",T48*S48),"")</f>
        <v/>
      </c>
      <c r="V48" s="51">
        <f>IFERROR(IF(A48="","",MAX(0,M48+N48+O48+P48-Q48)),"")</f>
        <v/>
      </c>
      <c r="W48" s="50">
        <f>IFERROR(IF(D48="","",VLOOKUP(D48,'Assumptions'!$U$5:$V$104,2,FALSE)),"")</f>
        <v/>
      </c>
      <c r="X48" s="51">
        <f>IFERROR(IF(A48="","",V48*W48),"")</f>
        <v/>
      </c>
      <c r="Y48" s="50">
        <f>IFERROR(IF(B48="","",VLOOKUP(B48,'Assumptions'!$B$5:$K$104,9,FALSE)),"")</f>
        <v/>
      </c>
      <c r="Z48" s="51">
        <f>IFERROR(IF(A48="","",(V48+U48)*Y48),"")</f>
        <v/>
      </c>
      <c r="AA48" s="50">
        <f>IFERROR(IF(B48="","",VLOOKUP(B48,'Assumptions'!$B$5:$K$104,10,FALSE)),"")</f>
        <v/>
      </c>
      <c r="AB48" s="51">
        <f>IFERROR(IF(A48="","",MAX(0,V48-R48)*AA48),"")</f>
        <v/>
      </c>
      <c r="AC48" s="51">
        <f>IFERROR(IF(A48="","",V48-R48-X48-Z48-AB48),"")</f>
        <v/>
      </c>
      <c r="AD48" s="49" t="n"/>
      <c r="AE48" s="51">
        <f>IFERROR(IF(A48="","",MAX(0,V48+U48-R48-AD48)),"")</f>
        <v/>
      </c>
      <c r="AF48" s="27">
        <f>IFERROR(IF(A48="","",IF(OR(L48="Inquiry",L48="Tentative",L48="Canceled"),"Not Due",IF(AE48=0,"Paid","Balance Due"))),"")</f>
        <v/>
      </c>
      <c r="AG48" s="25" t="n"/>
      <c r="AH48" s="31" t="n"/>
      <c r="AI48" s="27">
        <f>IFERROR(IF(A48="","",IF(OR(F48="",G48=""),"Missing Date",IF(G48&lt;=F48,"Invalid Date","OK"))),"")</f>
        <v/>
      </c>
      <c r="AJ48" s="27">
        <f>IFERROR(IF(OR(A48="",B48="",F48="",G48="",L48="Canceled"),"",IF(COUNTIFS($B$4:$B$153,B48,$F$4:$F$153,"&lt;"&amp;G48,$G$4:$G$153,"&gt;"&amp;F48,$A$4:$A$153,"&lt;&gt;"&amp;A48,$L$4:$L$153,"&lt;&gt;Canceled")&gt;0,"Possible Overlap","OK")),"")</f>
        <v/>
      </c>
      <c r="AK48" s="27">
        <f>IFERROR(IF(COUNTA(A48:G48)=0,"",IF(A48="","Missing Reservation ID",IF(B48="","Missing Property",IF(AND(AE48&gt;='Assumptions'!$B$115,L48&lt;&gt;"Canceled"),"Review Balance",IF(OR(L48="Inquiry",L48="Tentative"),"Review Status","OK"))))),"")</f>
        <v/>
      </c>
    </row>
    <row r="49">
      <c r="A49" s="25" t="n"/>
      <c r="B49" s="25" t="n"/>
      <c r="C49" s="25" t="n"/>
      <c r="D49" s="25" t="n"/>
      <c r="E49" s="26" t="n"/>
      <c r="F49" s="26" t="n"/>
      <c r="G49" s="26" t="n"/>
      <c r="H49" s="27">
        <f>IFERROR(IF(OR(F49="",G49=""),"",MAX(0,G49-F49)),"")</f>
        <v/>
      </c>
      <c r="I49" s="25" t="n"/>
      <c r="J49" s="25" t="n"/>
      <c r="K49" s="25" t="n"/>
      <c r="L49" s="25" t="n"/>
      <c r="M49" s="49" t="n"/>
      <c r="N49" s="49" t="n"/>
      <c r="O49" s="49" t="n"/>
      <c r="P49" s="49" t="n"/>
      <c r="Q49" s="49" t="n"/>
      <c r="R49" s="49" t="n"/>
      <c r="S49" s="50">
        <f>IFERROR(IF(B49="","",VLOOKUP(B49,'Assumptions'!$B$5:$K$104,7,FALSE)),"")</f>
        <v/>
      </c>
      <c r="T49" s="51">
        <f>IFERROR(IF(A49="","",MAX(0,M49-Q49+(N49+O49+P49)*VLOOKUP(B49,'Assumptions'!$B$5:$K$104,8,FALSE))),"")</f>
        <v/>
      </c>
      <c r="U49" s="51">
        <f>IFERROR(IF(A49="","",T49*S49),"")</f>
        <v/>
      </c>
      <c r="V49" s="51">
        <f>IFERROR(IF(A49="","",MAX(0,M49+N49+O49+P49-Q49)),"")</f>
        <v/>
      </c>
      <c r="W49" s="50">
        <f>IFERROR(IF(D49="","",VLOOKUP(D49,'Assumptions'!$U$5:$V$104,2,FALSE)),"")</f>
        <v/>
      </c>
      <c r="X49" s="51">
        <f>IFERROR(IF(A49="","",V49*W49),"")</f>
        <v/>
      </c>
      <c r="Y49" s="50">
        <f>IFERROR(IF(B49="","",VLOOKUP(B49,'Assumptions'!$B$5:$K$104,9,FALSE)),"")</f>
        <v/>
      </c>
      <c r="Z49" s="51">
        <f>IFERROR(IF(A49="","",(V49+U49)*Y49),"")</f>
        <v/>
      </c>
      <c r="AA49" s="50">
        <f>IFERROR(IF(B49="","",VLOOKUP(B49,'Assumptions'!$B$5:$K$104,10,FALSE)),"")</f>
        <v/>
      </c>
      <c r="AB49" s="51">
        <f>IFERROR(IF(A49="","",MAX(0,V49-R49)*AA49),"")</f>
        <v/>
      </c>
      <c r="AC49" s="51">
        <f>IFERROR(IF(A49="","",V49-R49-X49-Z49-AB49),"")</f>
        <v/>
      </c>
      <c r="AD49" s="49" t="n"/>
      <c r="AE49" s="51">
        <f>IFERROR(IF(A49="","",MAX(0,V49+U49-R49-AD49)),"")</f>
        <v/>
      </c>
      <c r="AF49" s="27">
        <f>IFERROR(IF(A49="","",IF(OR(L49="Inquiry",L49="Tentative",L49="Canceled"),"Not Due",IF(AE49=0,"Paid","Balance Due"))),"")</f>
        <v/>
      </c>
      <c r="AG49" s="25" t="n"/>
      <c r="AH49" s="31" t="n"/>
      <c r="AI49" s="27">
        <f>IFERROR(IF(A49="","",IF(OR(F49="",G49=""),"Missing Date",IF(G49&lt;=F49,"Invalid Date","OK"))),"")</f>
        <v/>
      </c>
      <c r="AJ49" s="27">
        <f>IFERROR(IF(OR(A49="",B49="",F49="",G49="",L49="Canceled"),"",IF(COUNTIFS($B$4:$B$153,B49,$F$4:$F$153,"&lt;"&amp;G49,$G$4:$G$153,"&gt;"&amp;F49,$A$4:$A$153,"&lt;&gt;"&amp;A49,$L$4:$L$153,"&lt;&gt;Canceled")&gt;0,"Possible Overlap","OK")),"")</f>
        <v/>
      </c>
      <c r="AK49" s="27">
        <f>IFERROR(IF(COUNTA(A49:G49)=0,"",IF(A49="","Missing Reservation ID",IF(B49="","Missing Property",IF(AND(AE49&gt;='Assumptions'!$B$115,L49&lt;&gt;"Canceled"),"Review Balance",IF(OR(L49="Inquiry",L49="Tentative"),"Review Status","OK"))))),"")</f>
        <v/>
      </c>
    </row>
    <row r="50">
      <c r="A50" s="25" t="n"/>
      <c r="B50" s="25" t="n"/>
      <c r="C50" s="25" t="n"/>
      <c r="D50" s="25" t="n"/>
      <c r="E50" s="26" t="n"/>
      <c r="F50" s="26" t="n"/>
      <c r="G50" s="26" t="n"/>
      <c r="H50" s="27">
        <f>IFERROR(IF(OR(F50="",G50=""),"",MAX(0,G50-F50)),"")</f>
        <v/>
      </c>
      <c r="I50" s="25" t="n"/>
      <c r="J50" s="25" t="n"/>
      <c r="K50" s="25" t="n"/>
      <c r="L50" s="25" t="n"/>
      <c r="M50" s="49" t="n"/>
      <c r="N50" s="49" t="n"/>
      <c r="O50" s="49" t="n"/>
      <c r="P50" s="49" t="n"/>
      <c r="Q50" s="49" t="n"/>
      <c r="R50" s="49" t="n"/>
      <c r="S50" s="50">
        <f>IFERROR(IF(B50="","",VLOOKUP(B50,'Assumptions'!$B$5:$K$104,7,FALSE)),"")</f>
        <v/>
      </c>
      <c r="T50" s="51">
        <f>IFERROR(IF(A50="","",MAX(0,M50-Q50+(N50+O50+P50)*VLOOKUP(B50,'Assumptions'!$B$5:$K$104,8,FALSE))),"")</f>
        <v/>
      </c>
      <c r="U50" s="51">
        <f>IFERROR(IF(A50="","",T50*S50),"")</f>
        <v/>
      </c>
      <c r="V50" s="51">
        <f>IFERROR(IF(A50="","",MAX(0,M50+N50+O50+P50-Q50)),"")</f>
        <v/>
      </c>
      <c r="W50" s="50">
        <f>IFERROR(IF(D50="","",VLOOKUP(D50,'Assumptions'!$U$5:$V$104,2,FALSE)),"")</f>
        <v/>
      </c>
      <c r="X50" s="51">
        <f>IFERROR(IF(A50="","",V50*W50),"")</f>
        <v/>
      </c>
      <c r="Y50" s="50">
        <f>IFERROR(IF(B50="","",VLOOKUP(B50,'Assumptions'!$B$5:$K$104,9,FALSE)),"")</f>
        <v/>
      </c>
      <c r="Z50" s="51">
        <f>IFERROR(IF(A50="","",(V50+U50)*Y50),"")</f>
        <v/>
      </c>
      <c r="AA50" s="50">
        <f>IFERROR(IF(B50="","",VLOOKUP(B50,'Assumptions'!$B$5:$K$104,10,FALSE)),"")</f>
        <v/>
      </c>
      <c r="AB50" s="51">
        <f>IFERROR(IF(A50="","",MAX(0,V50-R50)*AA50),"")</f>
        <v/>
      </c>
      <c r="AC50" s="51">
        <f>IFERROR(IF(A50="","",V50-R50-X50-Z50-AB50),"")</f>
        <v/>
      </c>
      <c r="AD50" s="49" t="n"/>
      <c r="AE50" s="51">
        <f>IFERROR(IF(A50="","",MAX(0,V50+U50-R50-AD50)),"")</f>
        <v/>
      </c>
      <c r="AF50" s="27">
        <f>IFERROR(IF(A50="","",IF(OR(L50="Inquiry",L50="Tentative",L50="Canceled"),"Not Due",IF(AE50=0,"Paid","Balance Due"))),"")</f>
        <v/>
      </c>
      <c r="AG50" s="25" t="n"/>
      <c r="AH50" s="31" t="n"/>
      <c r="AI50" s="27">
        <f>IFERROR(IF(A50="","",IF(OR(F50="",G50=""),"Missing Date",IF(G50&lt;=F50,"Invalid Date","OK"))),"")</f>
        <v/>
      </c>
      <c r="AJ50" s="27">
        <f>IFERROR(IF(OR(A50="",B50="",F50="",G50="",L50="Canceled"),"",IF(COUNTIFS($B$4:$B$153,B50,$F$4:$F$153,"&lt;"&amp;G50,$G$4:$G$153,"&gt;"&amp;F50,$A$4:$A$153,"&lt;&gt;"&amp;A50,$L$4:$L$153,"&lt;&gt;Canceled")&gt;0,"Possible Overlap","OK")),"")</f>
        <v/>
      </c>
      <c r="AK50" s="27">
        <f>IFERROR(IF(COUNTA(A50:G50)=0,"",IF(A50="","Missing Reservation ID",IF(B50="","Missing Property",IF(AND(AE50&gt;='Assumptions'!$B$115,L50&lt;&gt;"Canceled"),"Review Balance",IF(OR(L50="Inquiry",L50="Tentative"),"Review Status","OK"))))),"")</f>
        <v/>
      </c>
    </row>
    <row r="51">
      <c r="A51" s="25" t="n"/>
      <c r="B51" s="25" t="n"/>
      <c r="C51" s="25" t="n"/>
      <c r="D51" s="25" t="n"/>
      <c r="E51" s="26" t="n"/>
      <c r="F51" s="26" t="n"/>
      <c r="G51" s="26" t="n"/>
      <c r="H51" s="27">
        <f>IFERROR(IF(OR(F51="",G51=""),"",MAX(0,G51-F51)),"")</f>
        <v/>
      </c>
      <c r="I51" s="25" t="n"/>
      <c r="J51" s="25" t="n"/>
      <c r="K51" s="25" t="n"/>
      <c r="L51" s="25" t="n"/>
      <c r="M51" s="49" t="n"/>
      <c r="N51" s="49" t="n"/>
      <c r="O51" s="49" t="n"/>
      <c r="P51" s="49" t="n"/>
      <c r="Q51" s="49" t="n"/>
      <c r="R51" s="49" t="n"/>
      <c r="S51" s="50">
        <f>IFERROR(IF(B51="","",VLOOKUP(B51,'Assumptions'!$B$5:$K$104,7,FALSE)),"")</f>
        <v/>
      </c>
      <c r="T51" s="51">
        <f>IFERROR(IF(A51="","",MAX(0,M51-Q51+(N51+O51+P51)*VLOOKUP(B51,'Assumptions'!$B$5:$K$104,8,FALSE))),"")</f>
        <v/>
      </c>
      <c r="U51" s="51">
        <f>IFERROR(IF(A51="","",T51*S51),"")</f>
        <v/>
      </c>
      <c r="V51" s="51">
        <f>IFERROR(IF(A51="","",MAX(0,M51+N51+O51+P51-Q51)),"")</f>
        <v/>
      </c>
      <c r="W51" s="50">
        <f>IFERROR(IF(D51="","",VLOOKUP(D51,'Assumptions'!$U$5:$V$104,2,FALSE)),"")</f>
        <v/>
      </c>
      <c r="X51" s="51">
        <f>IFERROR(IF(A51="","",V51*W51),"")</f>
        <v/>
      </c>
      <c r="Y51" s="50">
        <f>IFERROR(IF(B51="","",VLOOKUP(B51,'Assumptions'!$B$5:$K$104,9,FALSE)),"")</f>
        <v/>
      </c>
      <c r="Z51" s="51">
        <f>IFERROR(IF(A51="","",(V51+U51)*Y51),"")</f>
        <v/>
      </c>
      <c r="AA51" s="50">
        <f>IFERROR(IF(B51="","",VLOOKUP(B51,'Assumptions'!$B$5:$K$104,10,FALSE)),"")</f>
        <v/>
      </c>
      <c r="AB51" s="51">
        <f>IFERROR(IF(A51="","",MAX(0,V51-R51)*AA51),"")</f>
        <v/>
      </c>
      <c r="AC51" s="51">
        <f>IFERROR(IF(A51="","",V51-R51-X51-Z51-AB51),"")</f>
        <v/>
      </c>
      <c r="AD51" s="49" t="n"/>
      <c r="AE51" s="51">
        <f>IFERROR(IF(A51="","",MAX(0,V51+U51-R51-AD51)),"")</f>
        <v/>
      </c>
      <c r="AF51" s="27">
        <f>IFERROR(IF(A51="","",IF(OR(L51="Inquiry",L51="Tentative",L51="Canceled"),"Not Due",IF(AE51=0,"Paid","Balance Due"))),"")</f>
        <v/>
      </c>
      <c r="AG51" s="25" t="n"/>
      <c r="AH51" s="31" t="n"/>
      <c r="AI51" s="27">
        <f>IFERROR(IF(A51="","",IF(OR(F51="",G51=""),"Missing Date",IF(G51&lt;=F51,"Invalid Date","OK"))),"")</f>
        <v/>
      </c>
      <c r="AJ51" s="27">
        <f>IFERROR(IF(OR(A51="",B51="",F51="",G51="",L51="Canceled"),"",IF(COUNTIFS($B$4:$B$153,B51,$F$4:$F$153,"&lt;"&amp;G51,$G$4:$G$153,"&gt;"&amp;F51,$A$4:$A$153,"&lt;&gt;"&amp;A51,$L$4:$L$153,"&lt;&gt;Canceled")&gt;0,"Possible Overlap","OK")),"")</f>
        <v/>
      </c>
      <c r="AK51" s="27">
        <f>IFERROR(IF(COUNTA(A51:G51)=0,"",IF(A51="","Missing Reservation ID",IF(B51="","Missing Property",IF(AND(AE51&gt;='Assumptions'!$B$115,L51&lt;&gt;"Canceled"),"Review Balance",IF(OR(L51="Inquiry",L51="Tentative"),"Review Status","OK"))))),"")</f>
        <v/>
      </c>
    </row>
    <row r="52">
      <c r="A52" s="25" t="n"/>
      <c r="B52" s="25" t="n"/>
      <c r="C52" s="25" t="n"/>
      <c r="D52" s="25" t="n"/>
      <c r="E52" s="26" t="n"/>
      <c r="F52" s="26" t="n"/>
      <c r="G52" s="26" t="n"/>
      <c r="H52" s="27">
        <f>IFERROR(IF(OR(F52="",G52=""),"",MAX(0,G52-F52)),"")</f>
        <v/>
      </c>
      <c r="I52" s="25" t="n"/>
      <c r="J52" s="25" t="n"/>
      <c r="K52" s="25" t="n"/>
      <c r="L52" s="25" t="n"/>
      <c r="M52" s="49" t="n"/>
      <c r="N52" s="49" t="n"/>
      <c r="O52" s="49" t="n"/>
      <c r="P52" s="49" t="n"/>
      <c r="Q52" s="49" t="n"/>
      <c r="R52" s="49" t="n"/>
      <c r="S52" s="50">
        <f>IFERROR(IF(B52="","",VLOOKUP(B52,'Assumptions'!$B$5:$K$104,7,FALSE)),"")</f>
        <v/>
      </c>
      <c r="T52" s="51">
        <f>IFERROR(IF(A52="","",MAX(0,M52-Q52+(N52+O52+P52)*VLOOKUP(B52,'Assumptions'!$B$5:$K$104,8,FALSE))),"")</f>
        <v/>
      </c>
      <c r="U52" s="51">
        <f>IFERROR(IF(A52="","",T52*S52),"")</f>
        <v/>
      </c>
      <c r="V52" s="51">
        <f>IFERROR(IF(A52="","",MAX(0,M52+N52+O52+P52-Q52)),"")</f>
        <v/>
      </c>
      <c r="W52" s="50">
        <f>IFERROR(IF(D52="","",VLOOKUP(D52,'Assumptions'!$U$5:$V$104,2,FALSE)),"")</f>
        <v/>
      </c>
      <c r="X52" s="51">
        <f>IFERROR(IF(A52="","",V52*W52),"")</f>
        <v/>
      </c>
      <c r="Y52" s="50">
        <f>IFERROR(IF(B52="","",VLOOKUP(B52,'Assumptions'!$B$5:$K$104,9,FALSE)),"")</f>
        <v/>
      </c>
      <c r="Z52" s="51">
        <f>IFERROR(IF(A52="","",(V52+U52)*Y52),"")</f>
        <v/>
      </c>
      <c r="AA52" s="50">
        <f>IFERROR(IF(B52="","",VLOOKUP(B52,'Assumptions'!$B$5:$K$104,10,FALSE)),"")</f>
        <v/>
      </c>
      <c r="AB52" s="51">
        <f>IFERROR(IF(A52="","",MAX(0,V52-R52)*AA52),"")</f>
        <v/>
      </c>
      <c r="AC52" s="51">
        <f>IFERROR(IF(A52="","",V52-R52-X52-Z52-AB52),"")</f>
        <v/>
      </c>
      <c r="AD52" s="49" t="n"/>
      <c r="AE52" s="51">
        <f>IFERROR(IF(A52="","",MAX(0,V52+U52-R52-AD52)),"")</f>
        <v/>
      </c>
      <c r="AF52" s="27">
        <f>IFERROR(IF(A52="","",IF(OR(L52="Inquiry",L52="Tentative",L52="Canceled"),"Not Due",IF(AE52=0,"Paid","Balance Due"))),"")</f>
        <v/>
      </c>
      <c r="AG52" s="25" t="n"/>
      <c r="AH52" s="31" t="n"/>
      <c r="AI52" s="27">
        <f>IFERROR(IF(A52="","",IF(OR(F52="",G52=""),"Missing Date",IF(G52&lt;=F52,"Invalid Date","OK"))),"")</f>
        <v/>
      </c>
      <c r="AJ52" s="27">
        <f>IFERROR(IF(OR(A52="",B52="",F52="",G52="",L52="Canceled"),"",IF(COUNTIFS($B$4:$B$153,B52,$F$4:$F$153,"&lt;"&amp;G52,$G$4:$G$153,"&gt;"&amp;F52,$A$4:$A$153,"&lt;&gt;"&amp;A52,$L$4:$L$153,"&lt;&gt;Canceled")&gt;0,"Possible Overlap","OK")),"")</f>
        <v/>
      </c>
      <c r="AK52" s="27">
        <f>IFERROR(IF(COUNTA(A52:G52)=0,"",IF(A52="","Missing Reservation ID",IF(B52="","Missing Property",IF(AND(AE52&gt;='Assumptions'!$B$115,L52&lt;&gt;"Canceled"),"Review Balance",IF(OR(L52="Inquiry",L52="Tentative"),"Review Status","OK"))))),"")</f>
        <v/>
      </c>
    </row>
    <row r="53">
      <c r="A53" s="25" t="n"/>
      <c r="B53" s="25" t="n"/>
      <c r="C53" s="25" t="n"/>
      <c r="D53" s="25" t="n"/>
      <c r="E53" s="26" t="n"/>
      <c r="F53" s="26" t="n"/>
      <c r="G53" s="26" t="n"/>
      <c r="H53" s="27">
        <f>IFERROR(IF(OR(F53="",G53=""),"",MAX(0,G53-F53)),"")</f>
        <v/>
      </c>
      <c r="I53" s="25" t="n"/>
      <c r="J53" s="25" t="n"/>
      <c r="K53" s="25" t="n"/>
      <c r="L53" s="25" t="n"/>
      <c r="M53" s="49" t="n"/>
      <c r="N53" s="49" t="n"/>
      <c r="O53" s="49" t="n"/>
      <c r="P53" s="49" t="n"/>
      <c r="Q53" s="49" t="n"/>
      <c r="R53" s="49" t="n"/>
      <c r="S53" s="50">
        <f>IFERROR(IF(B53="","",VLOOKUP(B53,'Assumptions'!$B$5:$K$104,7,FALSE)),"")</f>
        <v/>
      </c>
      <c r="T53" s="51">
        <f>IFERROR(IF(A53="","",MAX(0,M53-Q53+(N53+O53+P53)*VLOOKUP(B53,'Assumptions'!$B$5:$K$104,8,FALSE))),"")</f>
        <v/>
      </c>
      <c r="U53" s="51">
        <f>IFERROR(IF(A53="","",T53*S53),"")</f>
        <v/>
      </c>
      <c r="V53" s="51">
        <f>IFERROR(IF(A53="","",MAX(0,M53+N53+O53+P53-Q53)),"")</f>
        <v/>
      </c>
      <c r="W53" s="50">
        <f>IFERROR(IF(D53="","",VLOOKUP(D53,'Assumptions'!$U$5:$V$104,2,FALSE)),"")</f>
        <v/>
      </c>
      <c r="X53" s="51">
        <f>IFERROR(IF(A53="","",V53*W53),"")</f>
        <v/>
      </c>
      <c r="Y53" s="50">
        <f>IFERROR(IF(B53="","",VLOOKUP(B53,'Assumptions'!$B$5:$K$104,9,FALSE)),"")</f>
        <v/>
      </c>
      <c r="Z53" s="51">
        <f>IFERROR(IF(A53="","",(V53+U53)*Y53),"")</f>
        <v/>
      </c>
      <c r="AA53" s="50">
        <f>IFERROR(IF(B53="","",VLOOKUP(B53,'Assumptions'!$B$5:$K$104,10,FALSE)),"")</f>
        <v/>
      </c>
      <c r="AB53" s="51">
        <f>IFERROR(IF(A53="","",MAX(0,V53-R53)*AA53),"")</f>
        <v/>
      </c>
      <c r="AC53" s="51">
        <f>IFERROR(IF(A53="","",V53-R53-X53-Z53-AB53),"")</f>
        <v/>
      </c>
      <c r="AD53" s="49" t="n"/>
      <c r="AE53" s="51">
        <f>IFERROR(IF(A53="","",MAX(0,V53+U53-R53-AD53)),"")</f>
        <v/>
      </c>
      <c r="AF53" s="27">
        <f>IFERROR(IF(A53="","",IF(OR(L53="Inquiry",L53="Tentative",L53="Canceled"),"Not Due",IF(AE53=0,"Paid","Balance Due"))),"")</f>
        <v/>
      </c>
      <c r="AG53" s="25" t="n"/>
      <c r="AH53" s="31" t="n"/>
      <c r="AI53" s="27">
        <f>IFERROR(IF(A53="","",IF(OR(F53="",G53=""),"Missing Date",IF(G53&lt;=F53,"Invalid Date","OK"))),"")</f>
        <v/>
      </c>
      <c r="AJ53" s="27">
        <f>IFERROR(IF(OR(A53="",B53="",F53="",G53="",L53="Canceled"),"",IF(COUNTIFS($B$4:$B$153,B53,$F$4:$F$153,"&lt;"&amp;G53,$G$4:$G$153,"&gt;"&amp;F53,$A$4:$A$153,"&lt;&gt;"&amp;A53,$L$4:$L$153,"&lt;&gt;Canceled")&gt;0,"Possible Overlap","OK")),"")</f>
        <v/>
      </c>
      <c r="AK53" s="27">
        <f>IFERROR(IF(COUNTA(A53:G53)=0,"",IF(A53="","Missing Reservation ID",IF(B53="","Missing Property",IF(AND(AE53&gt;='Assumptions'!$B$115,L53&lt;&gt;"Canceled"),"Review Balance",IF(OR(L53="Inquiry",L53="Tentative"),"Review Status","OK"))))),"")</f>
        <v/>
      </c>
    </row>
    <row r="54">
      <c r="A54" s="25" t="n"/>
      <c r="B54" s="25" t="n"/>
      <c r="C54" s="25" t="n"/>
      <c r="D54" s="25" t="n"/>
      <c r="E54" s="26" t="n"/>
      <c r="F54" s="26" t="n"/>
      <c r="G54" s="26" t="n"/>
      <c r="H54" s="27">
        <f>IFERROR(IF(OR(F54="",G54=""),"",MAX(0,G54-F54)),"")</f>
        <v/>
      </c>
      <c r="I54" s="25" t="n"/>
      <c r="J54" s="25" t="n"/>
      <c r="K54" s="25" t="n"/>
      <c r="L54" s="25" t="n"/>
      <c r="M54" s="49" t="n"/>
      <c r="N54" s="49" t="n"/>
      <c r="O54" s="49" t="n"/>
      <c r="P54" s="49" t="n"/>
      <c r="Q54" s="49" t="n"/>
      <c r="R54" s="49" t="n"/>
      <c r="S54" s="50">
        <f>IFERROR(IF(B54="","",VLOOKUP(B54,'Assumptions'!$B$5:$K$104,7,FALSE)),"")</f>
        <v/>
      </c>
      <c r="T54" s="51">
        <f>IFERROR(IF(A54="","",MAX(0,M54-Q54+(N54+O54+P54)*VLOOKUP(B54,'Assumptions'!$B$5:$K$104,8,FALSE))),"")</f>
        <v/>
      </c>
      <c r="U54" s="51">
        <f>IFERROR(IF(A54="","",T54*S54),"")</f>
        <v/>
      </c>
      <c r="V54" s="51">
        <f>IFERROR(IF(A54="","",MAX(0,M54+N54+O54+P54-Q54)),"")</f>
        <v/>
      </c>
      <c r="W54" s="50">
        <f>IFERROR(IF(D54="","",VLOOKUP(D54,'Assumptions'!$U$5:$V$104,2,FALSE)),"")</f>
        <v/>
      </c>
      <c r="X54" s="51">
        <f>IFERROR(IF(A54="","",V54*W54),"")</f>
        <v/>
      </c>
      <c r="Y54" s="50">
        <f>IFERROR(IF(B54="","",VLOOKUP(B54,'Assumptions'!$B$5:$K$104,9,FALSE)),"")</f>
        <v/>
      </c>
      <c r="Z54" s="51">
        <f>IFERROR(IF(A54="","",(V54+U54)*Y54),"")</f>
        <v/>
      </c>
      <c r="AA54" s="50">
        <f>IFERROR(IF(B54="","",VLOOKUP(B54,'Assumptions'!$B$5:$K$104,10,FALSE)),"")</f>
        <v/>
      </c>
      <c r="AB54" s="51">
        <f>IFERROR(IF(A54="","",MAX(0,V54-R54)*AA54),"")</f>
        <v/>
      </c>
      <c r="AC54" s="51">
        <f>IFERROR(IF(A54="","",V54-R54-X54-Z54-AB54),"")</f>
        <v/>
      </c>
      <c r="AD54" s="49" t="n"/>
      <c r="AE54" s="51">
        <f>IFERROR(IF(A54="","",MAX(0,V54+U54-R54-AD54)),"")</f>
        <v/>
      </c>
      <c r="AF54" s="27">
        <f>IFERROR(IF(A54="","",IF(OR(L54="Inquiry",L54="Tentative",L54="Canceled"),"Not Due",IF(AE54=0,"Paid","Balance Due"))),"")</f>
        <v/>
      </c>
      <c r="AG54" s="25" t="n"/>
      <c r="AH54" s="31" t="n"/>
      <c r="AI54" s="27">
        <f>IFERROR(IF(A54="","",IF(OR(F54="",G54=""),"Missing Date",IF(G54&lt;=F54,"Invalid Date","OK"))),"")</f>
        <v/>
      </c>
      <c r="AJ54" s="27">
        <f>IFERROR(IF(OR(A54="",B54="",F54="",G54="",L54="Canceled"),"",IF(COUNTIFS($B$4:$B$153,B54,$F$4:$F$153,"&lt;"&amp;G54,$G$4:$G$153,"&gt;"&amp;F54,$A$4:$A$153,"&lt;&gt;"&amp;A54,$L$4:$L$153,"&lt;&gt;Canceled")&gt;0,"Possible Overlap","OK")),"")</f>
        <v/>
      </c>
      <c r="AK54" s="27">
        <f>IFERROR(IF(COUNTA(A54:G54)=0,"",IF(A54="","Missing Reservation ID",IF(B54="","Missing Property",IF(AND(AE54&gt;='Assumptions'!$B$115,L54&lt;&gt;"Canceled"),"Review Balance",IF(OR(L54="Inquiry",L54="Tentative"),"Review Status","OK"))))),"")</f>
        <v/>
      </c>
    </row>
    <row r="55">
      <c r="A55" s="25" t="n"/>
      <c r="B55" s="25" t="n"/>
      <c r="C55" s="25" t="n"/>
      <c r="D55" s="25" t="n"/>
      <c r="E55" s="26" t="n"/>
      <c r="F55" s="26" t="n"/>
      <c r="G55" s="26" t="n"/>
      <c r="H55" s="27">
        <f>IFERROR(IF(OR(F55="",G55=""),"",MAX(0,G55-F55)),"")</f>
        <v/>
      </c>
      <c r="I55" s="25" t="n"/>
      <c r="J55" s="25" t="n"/>
      <c r="K55" s="25" t="n"/>
      <c r="L55" s="25" t="n"/>
      <c r="M55" s="49" t="n"/>
      <c r="N55" s="49" t="n"/>
      <c r="O55" s="49" t="n"/>
      <c r="P55" s="49" t="n"/>
      <c r="Q55" s="49" t="n"/>
      <c r="R55" s="49" t="n"/>
      <c r="S55" s="50">
        <f>IFERROR(IF(B55="","",VLOOKUP(B55,'Assumptions'!$B$5:$K$104,7,FALSE)),"")</f>
        <v/>
      </c>
      <c r="T55" s="51">
        <f>IFERROR(IF(A55="","",MAX(0,M55-Q55+(N55+O55+P55)*VLOOKUP(B55,'Assumptions'!$B$5:$K$104,8,FALSE))),"")</f>
        <v/>
      </c>
      <c r="U55" s="51">
        <f>IFERROR(IF(A55="","",T55*S55),"")</f>
        <v/>
      </c>
      <c r="V55" s="51">
        <f>IFERROR(IF(A55="","",MAX(0,M55+N55+O55+P55-Q55)),"")</f>
        <v/>
      </c>
      <c r="W55" s="50">
        <f>IFERROR(IF(D55="","",VLOOKUP(D55,'Assumptions'!$U$5:$V$104,2,FALSE)),"")</f>
        <v/>
      </c>
      <c r="X55" s="51">
        <f>IFERROR(IF(A55="","",V55*W55),"")</f>
        <v/>
      </c>
      <c r="Y55" s="50">
        <f>IFERROR(IF(B55="","",VLOOKUP(B55,'Assumptions'!$B$5:$K$104,9,FALSE)),"")</f>
        <v/>
      </c>
      <c r="Z55" s="51">
        <f>IFERROR(IF(A55="","",(V55+U55)*Y55),"")</f>
        <v/>
      </c>
      <c r="AA55" s="50">
        <f>IFERROR(IF(B55="","",VLOOKUP(B55,'Assumptions'!$B$5:$K$104,10,FALSE)),"")</f>
        <v/>
      </c>
      <c r="AB55" s="51">
        <f>IFERROR(IF(A55="","",MAX(0,V55-R55)*AA55),"")</f>
        <v/>
      </c>
      <c r="AC55" s="51">
        <f>IFERROR(IF(A55="","",V55-R55-X55-Z55-AB55),"")</f>
        <v/>
      </c>
      <c r="AD55" s="49" t="n"/>
      <c r="AE55" s="51">
        <f>IFERROR(IF(A55="","",MAX(0,V55+U55-R55-AD55)),"")</f>
        <v/>
      </c>
      <c r="AF55" s="27">
        <f>IFERROR(IF(A55="","",IF(OR(L55="Inquiry",L55="Tentative",L55="Canceled"),"Not Due",IF(AE55=0,"Paid","Balance Due"))),"")</f>
        <v/>
      </c>
      <c r="AG55" s="25" t="n"/>
      <c r="AH55" s="31" t="n"/>
      <c r="AI55" s="27">
        <f>IFERROR(IF(A55="","",IF(OR(F55="",G55=""),"Missing Date",IF(G55&lt;=F55,"Invalid Date","OK"))),"")</f>
        <v/>
      </c>
      <c r="AJ55" s="27">
        <f>IFERROR(IF(OR(A55="",B55="",F55="",G55="",L55="Canceled"),"",IF(COUNTIFS($B$4:$B$153,B55,$F$4:$F$153,"&lt;"&amp;G55,$G$4:$G$153,"&gt;"&amp;F55,$A$4:$A$153,"&lt;&gt;"&amp;A55,$L$4:$L$153,"&lt;&gt;Canceled")&gt;0,"Possible Overlap","OK")),"")</f>
        <v/>
      </c>
      <c r="AK55" s="27">
        <f>IFERROR(IF(COUNTA(A55:G55)=0,"",IF(A55="","Missing Reservation ID",IF(B55="","Missing Property",IF(AND(AE55&gt;='Assumptions'!$B$115,L55&lt;&gt;"Canceled"),"Review Balance",IF(OR(L55="Inquiry",L55="Tentative"),"Review Status","OK"))))),"")</f>
        <v/>
      </c>
    </row>
    <row r="56">
      <c r="A56" s="25" t="n"/>
      <c r="B56" s="25" t="n"/>
      <c r="C56" s="25" t="n"/>
      <c r="D56" s="25" t="n"/>
      <c r="E56" s="26" t="n"/>
      <c r="F56" s="26" t="n"/>
      <c r="G56" s="26" t="n"/>
      <c r="H56" s="27">
        <f>IFERROR(IF(OR(F56="",G56=""),"",MAX(0,G56-F56)),"")</f>
        <v/>
      </c>
      <c r="I56" s="25" t="n"/>
      <c r="J56" s="25" t="n"/>
      <c r="K56" s="25" t="n"/>
      <c r="L56" s="25" t="n"/>
      <c r="M56" s="49" t="n"/>
      <c r="N56" s="49" t="n"/>
      <c r="O56" s="49" t="n"/>
      <c r="P56" s="49" t="n"/>
      <c r="Q56" s="49" t="n"/>
      <c r="R56" s="49" t="n"/>
      <c r="S56" s="50">
        <f>IFERROR(IF(B56="","",VLOOKUP(B56,'Assumptions'!$B$5:$K$104,7,FALSE)),"")</f>
        <v/>
      </c>
      <c r="T56" s="51">
        <f>IFERROR(IF(A56="","",MAX(0,M56-Q56+(N56+O56+P56)*VLOOKUP(B56,'Assumptions'!$B$5:$K$104,8,FALSE))),"")</f>
        <v/>
      </c>
      <c r="U56" s="51">
        <f>IFERROR(IF(A56="","",T56*S56),"")</f>
        <v/>
      </c>
      <c r="V56" s="51">
        <f>IFERROR(IF(A56="","",MAX(0,M56+N56+O56+P56-Q56)),"")</f>
        <v/>
      </c>
      <c r="W56" s="50">
        <f>IFERROR(IF(D56="","",VLOOKUP(D56,'Assumptions'!$U$5:$V$104,2,FALSE)),"")</f>
        <v/>
      </c>
      <c r="X56" s="51">
        <f>IFERROR(IF(A56="","",V56*W56),"")</f>
        <v/>
      </c>
      <c r="Y56" s="50">
        <f>IFERROR(IF(B56="","",VLOOKUP(B56,'Assumptions'!$B$5:$K$104,9,FALSE)),"")</f>
        <v/>
      </c>
      <c r="Z56" s="51">
        <f>IFERROR(IF(A56="","",(V56+U56)*Y56),"")</f>
        <v/>
      </c>
      <c r="AA56" s="50">
        <f>IFERROR(IF(B56="","",VLOOKUP(B56,'Assumptions'!$B$5:$K$104,10,FALSE)),"")</f>
        <v/>
      </c>
      <c r="AB56" s="51">
        <f>IFERROR(IF(A56="","",MAX(0,V56-R56)*AA56),"")</f>
        <v/>
      </c>
      <c r="AC56" s="51">
        <f>IFERROR(IF(A56="","",V56-R56-X56-Z56-AB56),"")</f>
        <v/>
      </c>
      <c r="AD56" s="49" t="n"/>
      <c r="AE56" s="51">
        <f>IFERROR(IF(A56="","",MAX(0,V56+U56-R56-AD56)),"")</f>
        <v/>
      </c>
      <c r="AF56" s="27">
        <f>IFERROR(IF(A56="","",IF(OR(L56="Inquiry",L56="Tentative",L56="Canceled"),"Not Due",IF(AE56=0,"Paid","Balance Due"))),"")</f>
        <v/>
      </c>
      <c r="AG56" s="25" t="n"/>
      <c r="AH56" s="31" t="n"/>
      <c r="AI56" s="27">
        <f>IFERROR(IF(A56="","",IF(OR(F56="",G56=""),"Missing Date",IF(G56&lt;=F56,"Invalid Date","OK"))),"")</f>
        <v/>
      </c>
      <c r="AJ56" s="27">
        <f>IFERROR(IF(OR(A56="",B56="",F56="",G56="",L56="Canceled"),"",IF(COUNTIFS($B$4:$B$153,B56,$F$4:$F$153,"&lt;"&amp;G56,$G$4:$G$153,"&gt;"&amp;F56,$A$4:$A$153,"&lt;&gt;"&amp;A56,$L$4:$L$153,"&lt;&gt;Canceled")&gt;0,"Possible Overlap","OK")),"")</f>
        <v/>
      </c>
      <c r="AK56" s="27">
        <f>IFERROR(IF(COUNTA(A56:G56)=0,"",IF(A56="","Missing Reservation ID",IF(B56="","Missing Property",IF(AND(AE56&gt;='Assumptions'!$B$115,L56&lt;&gt;"Canceled"),"Review Balance",IF(OR(L56="Inquiry",L56="Tentative"),"Review Status","OK"))))),"")</f>
        <v/>
      </c>
    </row>
    <row r="57">
      <c r="A57" s="25" t="n"/>
      <c r="B57" s="25" t="n"/>
      <c r="C57" s="25" t="n"/>
      <c r="D57" s="25" t="n"/>
      <c r="E57" s="26" t="n"/>
      <c r="F57" s="26" t="n"/>
      <c r="G57" s="26" t="n"/>
      <c r="H57" s="27">
        <f>IFERROR(IF(OR(F57="",G57=""),"",MAX(0,G57-F57)),"")</f>
        <v/>
      </c>
      <c r="I57" s="25" t="n"/>
      <c r="J57" s="25" t="n"/>
      <c r="K57" s="25" t="n"/>
      <c r="L57" s="25" t="n"/>
      <c r="M57" s="49" t="n"/>
      <c r="N57" s="49" t="n"/>
      <c r="O57" s="49" t="n"/>
      <c r="P57" s="49" t="n"/>
      <c r="Q57" s="49" t="n"/>
      <c r="R57" s="49" t="n"/>
      <c r="S57" s="50">
        <f>IFERROR(IF(B57="","",VLOOKUP(B57,'Assumptions'!$B$5:$K$104,7,FALSE)),"")</f>
        <v/>
      </c>
      <c r="T57" s="51">
        <f>IFERROR(IF(A57="","",MAX(0,M57-Q57+(N57+O57+P57)*VLOOKUP(B57,'Assumptions'!$B$5:$K$104,8,FALSE))),"")</f>
        <v/>
      </c>
      <c r="U57" s="51">
        <f>IFERROR(IF(A57="","",T57*S57),"")</f>
        <v/>
      </c>
      <c r="V57" s="51">
        <f>IFERROR(IF(A57="","",MAX(0,M57+N57+O57+P57-Q57)),"")</f>
        <v/>
      </c>
      <c r="W57" s="50">
        <f>IFERROR(IF(D57="","",VLOOKUP(D57,'Assumptions'!$U$5:$V$104,2,FALSE)),"")</f>
        <v/>
      </c>
      <c r="X57" s="51">
        <f>IFERROR(IF(A57="","",V57*W57),"")</f>
        <v/>
      </c>
      <c r="Y57" s="50">
        <f>IFERROR(IF(B57="","",VLOOKUP(B57,'Assumptions'!$B$5:$K$104,9,FALSE)),"")</f>
        <v/>
      </c>
      <c r="Z57" s="51">
        <f>IFERROR(IF(A57="","",(V57+U57)*Y57),"")</f>
        <v/>
      </c>
      <c r="AA57" s="50">
        <f>IFERROR(IF(B57="","",VLOOKUP(B57,'Assumptions'!$B$5:$K$104,10,FALSE)),"")</f>
        <v/>
      </c>
      <c r="AB57" s="51">
        <f>IFERROR(IF(A57="","",MAX(0,V57-R57)*AA57),"")</f>
        <v/>
      </c>
      <c r="AC57" s="51">
        <f>IFERROR(IF(A57="","",V57-R57-X57-Z57-AB57),"")</f>
        <v/>
      </c>
      <c r="AD57" s="49" t="n"/>
      <c r="AE57" s="51">
        <f>IFERROR(IF(A57="","",MAX(0,V57+U57-R57-AD57)),"")</f>
        <v/>
      </c>
      <c r="AF57" s="27">
        <f>IFERROR(IF(A57="","",IF(OR(L57="Inquiry",L57="Tentative",L57="Canceled"),"Not Due",IF(AE57=0,"Paid","Balance Due"))),"")</f>
        <v/>
      </c>
      <c r="AG57" s="25" t="n"/>
      <c r="AH57" s="31" t="n"/>
      <c r="AI57" s="27">
        <f>IFERROR(IF(A57="","",IF(OR(F57="",G57=""),"Missing Date",IF(G57&lt;=F57,"Invalid Date","OK"))),"")</f>
        <v/>
      </c>
      <c r="AJ57" s="27">
        <f>IFERROR(IF(OR(A57="",B57="",F57="",G57="",L57="Canceled"),"",IF(COUNTIFS($B$4:$B$153,B57,$F$4:$F$153,"&lt;"&amp;G57,$G$4:$G$153,"&gt;"&amp;F57,$A$4:$A$153,"&lt;&gt;"&amp;A57,$L$4:$L$153,"&lt;&gt;Canceled")&gt;0,"Possible Overlap","OK")),"")</f>
        <v/>
      </c>
      <c r="AK57" s="27">
        <f>IFERROR(IF(COUNTA(A57:G57)=0,"",IF(A57="","Missing Reservation ID",IF(B57="","Missing Property",IF(AND(AE57&gt;='Assumptions'!$B$115,L57&lt;&gt;"Canceled"),"Review Balance",IF(OR(L57="Inquiry",L57="Tentative"),"Review Status","OK"))))),"")</f>
        <v/>
      </c>
    </row>
    <row r="58">
      <c r="A58" s="25" t="n"/>
      <c r="B58" s="25" t="n"/>
      <c r="C58" s="25" t="n"/>
      <c r="D58" s="25" t="n"/>
      <c r="E58" s="26" t="n"/>
      <c r="F58" s="26" t="n"/>
      <c r="G58" s="26" t="n"/>
      <c r="H58" s="27">
        <f>IFERROR(IF(OR(F58="",G58=""),"",MAX(0,G58-F58)),"")</f>
        <v/>
      </c>
      <c r="I58" s="25" t="n"/>
      <c r="J58" s="25" t="n"/>
      <c r="K58" s="25" t="n"/>
      <c r="L58" s="25" t="n"/>
      <c r="M58" s="49" t="n"/>
      <c r="N58" s="49" t="n"/>
      <c r="O58" s="49" t="n"/>
      <c r="P58" s="49" t="n"/>
      <c r="Q58" s="49" t="n"/>
      <c r="R58" s="49" t="n"/>
      <c r="S58" s="50">
        <f>IFERROR(IF(B58="","",VLOOKUP(B58,'Assumptions'!$B$5:$K$104,7,FALSE)),"")</f>
        <v/>
      </c>
      <c r="T58" s="51">
        <f>IFERROR(IF(A58="","",MAX(0,M58-Q58+(N58+O58+P58)*VLOOKUP(B58,'Assumptions'!$B$5:$K$104,8,FALSE))),"")</f>
        <v/>
      </c>
      <c r="U58" s="51">
        <f>IFERROR(IF(A58="","",T58*S58),"")</f>
        <v/>
      </c>
      <c r="V58" s="51">
        <f>IFERROR(IF(A58="","",MAX(0,M58+N58+O58+P58-Q58)),"")</f>
        <v/>
      </c>
      <c r="W58" s="50">
        <f>IFERROR(IF(D58="","",VLOOKUP(D58,'Assumptions'!$U$5:$V$104,2,FALSE)),"")</f>
        <v/>
      </c>
      <c r="X58" s="51">
        <f>IFERROR(IF(A58="","",V58*W58),"")</f>
        <v/>
      </c>
      <c r="Y58" s="50">
        <f>IFERROR(IF(B58="","",VLOOKUP(B58,'Assumptions'!$B$5:$K$104,9,FALSE)),"")</f>
        <v/>
      </c>
      <c r="Z58" s="51">
        <f>IFERROR(IF(A58="","",(V58+U58)*Y58),"")</f>
        <v/>
      </c>
      <c r="AA58" s="50">
        <f>IFERROR(IF(B58="","",VLOOKUP(B58,'Assumptions'!$B$5:$K$104,10,FALSE)),"")</f>
        <v/>
      </c>
      <c r="AB58" s="51">
        <f>IFERROR(IF(A58="","",MAX(0,V58-R58)*AA58),"")</f>
        <v/>
      </c>
      <c r="AC58" s="51">
        <f>IFERROR(IF(A58="","",V58-R58-X58-Z58-AB58),"")</f>
        <v/>
      </c>
      <c r="AD58" s="49" t="n"/>
      <c r="AE58" s="51">
        <f>IFERROR(IF(A58="","",MAX(0,V58+U58-R58-AD58)),"")</f>
        <v/>
      </c>
      <c r="AF58" s="27">
        <f>IFERROR(IF(A58="","",IF(OR(L58="Inquiry",L58="Tentative",L58="Canceled"),"Not Due",IF(AE58=0,"Paid","Balance Due"))),"")</f>
        <v/>
      </c>
      <c r="AG58" s="25" t="n"/>
      <c r="AH58" s="31" t="n"/>
      <c r="AI58" s="27">
        <f>IFERROR(IF(A58="","",IF(OR(F58="",G58=""),"Missing Date",IF(G58&lt;=F58,"Invalid Date","OK"))),"")</f>
        <v/>
      </c>
      <c r="AJ58" s="27">
        <f>IFERROR(IF(OR(A58="",B58="",F58="",G58="",L58="Canceled"),"",IF(COUNTIFS($B$4:$B$153,B58,$F$4:$F$153,"&lt;"&amp;G58,$G$4:$G$153,"&gt;"&amp;F58,$A$4:$A$153,"&lt;&gt;"&amp;A58,$L$4:$L$153,"&lt;&gt;Canceled")&gt;0,"Possible Overlap","OK")),"")</f>
        <v/>
      </c>
      <c r="AK58" s="27">
        <f>IFERROR(IF(COUNTA(A58:G58)=0,"",IF(A58="","Missing Reservation ID",IF(B58="","Missing Property",IF(AND(AE58&gt;='Assumptions'!$B$115,L58&lt;&gt;"Canceled"),"Review Balance",IF(OR(L58="Inquiry",L58="Tentative"),"Review Status","OK"))))),"")</f>
        <v/>
      </c>
    </row>
    <row r="59">
      <c r="A59" s="25" t="n"/>
      <c r="B59" s="25" t="n"/>
      <c r="C59" s="25" t="n"/>
      <c r="D59" s="25" t="n"/>
      <c r="E59" s="26" t="n"/>
      <c r="F59" s="26" t="n"/>
      <c r="G59" s="26" t="n"/>
      <c r="H59" s="27">
        <f>IFERROR(IF(OR(F59="",G59=""),"",MAX(0,G59-F59)),"")</f>
        <v/>
      </c>
      <c r="I59" s="25" t="n"/>
      <c r="J59" s="25" t="n"/>
      <c r="K59" s="25" t="n"/>
      <c r="L59" s="25" t="n"/>
      <c r="M59" s="49" t="n"/>
      <c r="N59" s="49" t="n"/>
      <c r="O59" s="49" t="n"/>
      <c r="P59" s="49" t="n"/>
      <c r="Q59" s="49" t="n"/>
      <c r="R59" s="49" t="n"/>
      <c r="S59" s="50">
        <f>IFERROR(IF(B59="","",VLOOKUP(B59,'Assumptions'!$B$5:$K$104,7,FALSE)),"")</f>
        <v/>
      </c>
      <c r="T59" s="51">
        <f>IFERROR(IF(A59="","",MAX(0,M59-Q59+(N59+O59+P59)*VLOOKUP(B59,'Assumptions'!$B$5:$K$104,8,FALSE))),"")</f>
        <v/>
      </c>
      <c r="U59" s="51">
        <f>IFERROR(IF(A59="","",T59*S59),"")</f>
        <v/>
      </c>
      <c r="V59" s="51">
        <f>IFERROR(IF(A59="","",MAX(0,M59+N59+O59+P59-Q59)),"")</f>
        <v/>
      </c>
      <c r="W59" s="50">
        <f>IFERROR(IF(D59="","",VLOOKUP(D59,'Assumptions'!$U$5:$V$104,2,FALSE)),"")</f>
        <v/>
      </c>
      <c r="X59" s="51">
        <f>IFERROR(IF(A59="","",V59*W59),"")</f>
        <v/>
      </c>
      <c r="Y59" s="50">
        <f>IFERROR(IF(B59="","",VLOOKUP(B59,'Assumptions'!$B$5:$K$104,9,FALSE)),"")</f>
        <v/>
      </c>
      <c r="Z59" s="51">
        <f>IFERROR(IF(A59="","",(V59+U59)*Y59),"")</f>
        <v/>
      </c>
      <c r="AA59" s="50">
        <f>IFERROR(IF(B59="","",VLOOKUP(B59,'Assumptions'!$B$5:$K$104,10,FALSE)),"")</f>
        <v/>
      </c>
      <c r="AB59" s="51">
        <f>IFERROR(IF(A59="","",MAX(0,V59-R59)*AA59),"")</f>
        <v/>
      </c>
      <c r="AC59" s="51">
        <f>IFERROR(IF(A59="","",V59-R59-X59-Z59-AB59),"")</f>
        <v/>
      </c>
      <c r="AD59" s="49" t="n"/>
      <c r="AE59" s="51">
        <f>IFERROR(IF(A59="","",MAX(0,V59+U59-R59-AD59)),"")</f>
        <v/>
      </c>
      <c r="AF59" s="27">
        <f>IFERROR(IF(A59="","",IF(OR(L59="Inquiry",L59="Tentative",L59="Canceled"),"Not Due",IF(AE59=0,"Paid","Balance Due"))),"")</f>
        <v/>
      </c>
      <c r="AG59" s="25" t="n"/>
      <c r="AH59" s="31" t="n"/>
      <c r="AI59" s="27">
        <f>IFERROR(IF(A59="","",IF(OR(F59="",G59=""),"Missing Date",IF(G59&lt;=F59,"Invalid Date","OK"))),"")</f>
        <v/>
      </c>
      <c r="AJ59" s="27">
        <f>IFERROR(IF(OR(A59="",B59="",F59="",G59="",L59="Canceled"),"",IF(COUNTIFS($B$4:$B$153,B59,$F$4:$F$153,"&lt;"&amp;G59,$G$4:$G$153,"&gt;"&amp;F59,$A$4:$A$153,"&lt;&gt;"&amp;A59,$L$4:$L$153,"&lt;&gt;Canceled")&gt;0,"Possible Overlap","OK")),"")</f>
        <v/>
      </c>
      <c r="AK59" s="27">
        <f>IFERROR(IF(COUNTA(A59:G59)=0,"",IF(A59="","Missing Reservation ID",IF(B59="","Missing Property",IF(AND(AE59&gt;='Assumptions'!$B$115,L59&lt;&gt;"Canceled"),"Review Balance",IF(OR(L59="Inquiry",L59="Tentative"),"Review Status","OK"))))),"")</f>
        <v/>
      </c>
    </row>
    <row r="60">
      <c r="A60" s="25" t="n"/>
      <c r="B60" s="25" t="n"/>
      <c r="C60" s="25" t="n"/>
      <c r="D60" s="25" t="n"/>
      <c r="E60" s="26" t="n"/>
      <c r="F60" s="26" t="n"/>
      <c r="G60" s="26" t="n"/>
      <c r="H60" s="27">
        <f>IFERROR(IF(OR(F60="",G60=""),"",MAX(0,G60-F60)),"")</f>
        <v/>
      </c>
      <c r="I60" s="25" t="n"/>
      <c r="J60" s="25" t="n"/>
      <c r="K60" s="25" t="n"/>
      <c r="L60" s="25" t="n"/>
      <c r="M60" s="49" t="n"/>
      <c r="N60" s="49" t="n"/>
      <c r="O60" s="49" t="n"/>
      <c r="P60" s="49" t="n"/>
      <c r="Q60" s="49" t="n"/>
      <c r="R60" s="49" t="n"/>
      <c r="S60" s="50">
        <f>IFERROR(IF(B60="","",VLOOKUP(B60,'Assumptions'!$B$5:$K$104,7,FALSE)),"")</f>
        <v/>
      </c>
      <c r="T60" s="51">
        <f>IFERROR(IF(A60="","",MAX(0,M60-Q60+(N60+O60+P60)*VLOOKUP(B60,'Assumptions'!$B$5:$K$104,8,FALSE))),"")</f>
        <v/>
      </c>
      <c r="U60" s="51">
        <f>IFERROR(IF(A60="","",T60*S60),"")</f>
        <v/>
      </c>
      <c r="V60" s="51">
        <f>IFERROR(IF(A60="","",MAX(0,M60+N60+O60+P60-Q60)),"")</f>
        <v/>
      </c>
      <c r="W60" s="50">
        <f>IFERROR(IF(D60="","",VLOOKUP(D60,'Assumptions'!$U$5:$V$104,2,FALSE)),"")</f>
        <v/>
      </c>
      <c r="X60" s="51">
        <f>IFERROR(IF(A60="","",V60*W60),"")</f>
        <v/>
      </c>
      <c r="Y60" s="50">
        <f>IFERROR(IF(B60="","",VLOOKUP(B60,'Assumptions'!$B$5:$K$104,9,FALSE)),"")</f>
        <v/>
      </c>
      <c r="Z60" s="51">
        <f>IFERROR(IF(A60="","",(V60+U60)*Y60),"")</f>
        <v/>
      </c>
      <c r="AA60" s="50">
        <f>IFERROR(IF(B60="","",VLOOKUP(B60,'Assumptions'!$B$5:$K$104,10,FALSE)),"")</f>
        <v/>
      </c>
      <c r="AB60" s="51">
        <f>IFERROR(IF(A60="","",MAX(0,V60-R60)*AA60),"")</f>
        <v/>
      </c>
      <c r="AC60" s="51">
        <f>IFERROR(IF(A60="","",V60-R60-X60-Z60-AB60),"")</f>
        <v/>
      </c>
      <c r="AD60" s="49" t="n"/>
      <c r="AE60" s="51">
        <f>IFERROR(IF(A60="","",MAX(0,V60+U60-R60-AD60)),"")</f>
        <v/>
      </c>
      <c r="AF60" s="27">
        <f>IFERROR(IF(A60="","",IF(OR(L60="Inquiry",L60="Tentative",L60="Canceled"),"Not Due",IF(AE60=0,"Paid","Balance Due"))),"")</f>
        <v/>
      </c>
      <c r="AG60" s="25" t="n"/>
      <c r="AH60" s="31" t="n"/>
      <c r="AI60" s="27">
        <f>IFERROR(IF(A60="","",IF(OR(F60="",G60=""),"Missing Date",IF(G60&lt;=F60,"Invalid Date","OK"))),"")</f>
        <v/>
      </c>
      <c r="AJ60" s="27">
        <f>IFERROR(IF(OR(A60="",B60="",F60="",G60="",L60="Canceled"),"",IF(COUNTIFS($B$4:$B$153,B60,$F$4:$F$153,"&lt;"&amp;G60,$G$4:$G$153,"&gt;"&amp;F60,$A$4:$A$153,"&lt;&gt;"&amp;A60,$L$4:$L$153,"&lt;&gt;Canceled")&gt;0,"Possible Overlap","OK")),"")</f>
        <v/>
      </c>
      <c r="AK60" s="27">
        <f>IFERROR(IF(COUNTA(A60:G60)=0,"",IF(A60="","Missing Reservation ID",IF(B60="","Missing Property",IF(AND(AE60&gt;='Assumptions'!$B$115,L60&lt;&gt;"Canceled"),"Review Balance",IF(OR(L60="Inquiry",L60="Tentative"),"Review Status","OK"))))),"")</f>
        <v/>
      </c>
    </row>
    <row r="61">
      <c r="A61" s="25" t="n"/>
      <c r="B61" s="25" t="n"/>
      <c r="C61" s="25" t="n"/>
      <c r="D61" s="25" t="n"/>
      <c r="E61" s="26" t="n"/>
      <c r="F61" s="26" t="n"/>
      <c r="G61" s="26" t="n"/>
      <c r="H61" s="27">
        <f>IFERROR(IF(OR(F61="",G61=""),"",MAX(0,G61-F61)),"")</f>
        <v/>
      </c>
      <c r="I61" s="25" t="n"/>
      <c r="J61" s="25" t="n"/>
      <c r="K61" s="25" t="n"/>
      <c r="L61" s="25" t="n"/>
      <c r="M61" s="49" t="n"/>
      <c r="N61" s="49" t="n"/>
      <c r="O61" s="49" t="n"/>
      <c r="P61" s="49" t="n"/>
      <c r="Q61" s="49" t="n"/>
      <c r="R61" s="49" t="n"/>
      <c r="S61" s="50">
        <f>IFERROR(IF(B61="","",VLOOKUP(B61,'Assumptions'!$B$5:$K$104,7,FALSE)),"")</f>
        <v/>
      </c>
      <c r="T61" s="51">
        <f>IFERROR(IF(A61="","",MAX(0,M61-Q61+(N61+O61+P61)*VLOOKUP(B61,'Assumptions'!$B$5:$K$104,8,FALSE))),"")</f>
        <v/>
      </c>
      <c r="U61" s="51">
        <f>IFERROR(IF(A61="","",T61*S61),"")</f>
        <v/>
      </c>
      <c r="V61" s="51">
        <f>IFERROR(IF(A61="","",MAX(0,M61+N61+O61+P61-Q61)),"")</f>
        <v/>
      </c>
      <c r="W61" s="50">
        <f>IFERROR(IF(D61="","",VLOOKUP(D61,'Assumptions'!$U$5:$V$104,2,FALSE)),"")</f>
        <v/>
      </c>
      <c r="X61" s="51">
        <f>IFERROR(IF(A61="","",V61*W61),"")</f>
        <v/>
      </c>
      <c r="Y61" s="50">
        <f>IFERROR(IF(B61="","",VLOOKUP(B61,'Assumptions'!$B$5:$K$104,9,FALSE)),"")</f>
        <v/>
      </c>
      <c r="Z61" s="51">
        <f>IFERROR(IF(A61="","",(V61+U61)*Y61),"")</f>
        <v/>
      </c>
      <c r="AA61" s="50">
        <f>IFERROR(IF(B61="","",VLOOKUP(B61,'Assumptions'!$B$5:$K$104,10,FALSE)),"")</f>
        <v/>
      </c>
      <c r="AB61" s="51">
        <f>IFERROR(IF(A61="","",MAX(0,V61-R61)*AA61),"")</f>
        <v/>
      </c>
      <c r="AC61" s="51">
        <f>IFERROR(IF(A61="","",V61-R61-X61-Z61-AB61),"")</f>
        <v/>
      </c>
      <c r="AD61" s="49" t="n"/>
      <c r="AE61" s="51">
        <f>IFERROR(IF(A61="","",MAX(0,V61+U61-R61-AD61)),"")</f>
        <v/>
      </c>
      <c r="AF61" s="27">
        <f>IFERROR(IF(A61="","",IF(OR(L61="Inquiry",L61="Tentative",L61="Canceled"),"Not Due",IF(AE61=0,"Paid","Balance Due"))),"")</f>
        <v/>
      </c>
      <c r="AG61" s="25" t="n"/>
      <c r="AH61" s="31" t="n"/>
      <c r="AI61" s="27">
        <f>IFERROR(IF(A61="","",IF(OR(F61="",G61=""),"Missing Date",IF(G61&lt;=F61,"Invalid Date","OK"))),"")</f>
        <v/>
      </c>
      <c r="AJ61" s="27">
        <f>IFERROR(IF(OR(A61="",B61="",F61="",G61="",L61="Canceled"),"",IF(COUNTIFS($B$4:$B$153,B61,$F$4:$F$153,"&lt;"&amp;G61,$G$4:$G$153,"&gt;"&amp;F61,$A$4:$A$153,"&lt;&gt;"&amp;A61,$L$4:$L$153,"&lt;&gt;Canceled")&gt;0,"Possible Overlap","OK")),"")</f>
        <v/>
      </c>
      <c r="AK61" s="27">
        <f>IFERROR(IF(COUNTA(A61:G61)=0,"",IF(A61="","Missing Reservation ID",IF(B61="","Missing Property",IF(AND(AE61&gt;='Assumptions'!$B$115,L61&lt;&gt;"Canceled"),"Review Balance",IF(OR(L61="Inquiry",L61="Tentative"),"Review Status","OK"))))),"")</f>
        <v/>
      </c>
    </row>
    <row r="62">
      <c r="A62" s="25" t="n"/>
      <c r="B62" s="25" t="n"/>
      <c r="C62" s="25" t="n"/>
      <c r="D62" s="25" t="n"/>
      <c r="E62" s="26" t="n"/>
      <c r="F62" s="26" t="n"/>
      <c r="G62" s="26" t="n"/>
      <c r="H62" s="27">
        <f>IFERROR(IF(OR(F62="",G62=""),"",MAX(0,G62-F62)),"")</f>
        <v/>
      </c>
      <c r="I62" s="25" t="n"/>
      <c r="J62" s="25" t="n"/>
      <c r="K62" s="25" t="n"/>
      <c r="L62" s="25" t="n"/>
      <c r="M62" s="49" t="n"/>
      <c r="N62" s="49" t="n"/>
      <c r="O62" s="49" t="n"/>
      <c r="P62" s="49" t="n"/>
      <c r="Q62" s="49" t="n"/>
      <c r="R62" s="49" t="n"/>
      <c r="S62" s="50">
        <f>IFERROR(IF(B62="","",VLOOKUP(B62,'Assumptions'!$B$5:$K$104,7,FALSE)),"")</f>
        <v/>
      </c>
      <c r="T62" s="51">
        <f>IFERROR(IF(A62="","",MAX(0,M62-Q62+(N62+O62+P62)*VLOOKUP(B62,'Assumptions'!$B$5:$K$104,8,FALSE))),"")</f>
        <v/>
      </c>
      <c r="U62" s="51">
        <f>IFERROR(IF(A62="","",T62*S62),"")</f>
        <v/>
      </c>
      <c r="V62" s="51">
        <f>IFERROR(IF(A62="","",MAX(0,M62+N62+O62+P62-Q62)),"")</f>
        <v/>
      </c>
      <c r="W62" s="50">
        <f>IFERROR(IF(D62="","",VLOOKUP(D62,'Assumptions'!$U$5:$V$104,2,FALSE)),"")</f>
        <v/>
      </c>
      <c r="X62" s="51">
        <f>IFERROR(IF(A62="","",V62*W62),"")</f>
        <v/>
      </c>
      <c r="Y62" s="50">
        <f>IFERROR(IF(B62="","",VLOOKUP(B62,'Assumptions'!$B$5:$K$104,9,FALSE)),"")</f>
        <v/>
      </c>
      <c r="Z62" s="51">
        <f>IFERROR(IF(A62="","",(V62+U62)*Y62),"")</f>
        <v/>
      </c>
      <c r="AA62" s="50">
        <f>IFERROR(IF(B62="","",VLOOKUP(B62,'Assumptions'!$B$5:$K$104,10,FALSE)),"")</f>
        <v/>
      </c>
      <c r="AB62" s="51">
        <f>IFERROR(IF(A62="","",MAX(0,V62-R62)*AA62),"")</f>
        <v/>
      </c>
      <c r="AC62" s="51">
        <f>IFERROR(IF(A62="","",V62-R62-X62-Z62-AB62),"")</f>
        <v/>
      </c>
      <c r="AD62" s="49" t="n"/>
      <c r="AE62" s="51">
        <f>IFERROR(IF(A62="","",MAX(0,V62+U62-R62-AD62)),"")</f>
        <v/>
      </c>
      <c r="AF62" s="27">
        <f>IFERROR(IF(A62="","",IF(OR(L62="Inquiry",L62="Tentative",L62="Canceled"),"Not Due",IF(AE62=0,"Paid","Balance Due"))),"")</f>
        <v/>
      </c>
      <c r="AG62" s="25" t="n"/>
      <c r="AH62" s="31" t="n"/>
      <c r="AI62" s="27">
        <f>IFERROR(IF(A62="","",IF(OR(F62="",G62=""),"Missing Date",IF(G62&lt;=F62,"Invalid Date","OK"))),"")</f>
        <v/>
      </c>
      <c r="AJ62" s="27">
        <f>IFERROR(IF(OR(A62="",B62="",F62="",G62="",L62="Canceled"),"",IF(COUNTIFS($B$4:$B$153,B62,$F$4:$F$153,"&lt;"&amp;G62,$G$4:$G$153,"&gt;"&amp;F62,$A$4:$A$153,"&lt;&gt;"&amp;A62,$L$4:$L$153,"&lt;&gt;Canceled")&gt;0,"Possible Overlap","OK")),"")</f>
        <v/>
      </c>
      <c r="AK62" s="27">
        <f>IFERROR(IF(COUNTA(A62:G62)=0,"",IF(A62="","Missing Reservation ID",IF(B62="","Missing Property",IF(AND(AE62&gt;='Assumptions'!$B$115,L62&lt;&gt;"Canceled"),"Review Balance",IF(OR(L62="Inquiry",L62="Tentative"),"Review Status","OK"))))),"")</f>
        <v/>
      </c>
    </row>
    <row r="63">
      <c r="A63" s="25" t="n"/>
      <c r="B63" s="25" t="n"/>
      <c r="C63" s="25" t="n"/>
      <c r="D63" s="25" t="n"/>
      <c r="E63" s="26" t="n"/>
      <c r="F63" s="26" t="n"/>
      <c r="G63" s="26" t="n"/>
      <c r="H63" s="27">
        <f>IFERROR(IF(OR(F63="",G63=""),"",MAX(0,G63-F63)),"")</f>
        <v/>
      </c>
      <c r="I63" s="25" t="n"/>
      <c r="J63" s="25" t="n"/>
      <c r="K63" s="25" t="n"/>
      <c r="L63" s="25" t="n"/>
      <c r="M63" s="49" t="n"/>
      <c r="N63" s="49" t="n"/>
      <c r="O63" s="49" t="n"/>
      <c r="P63" s="49" t="n"/>
      <c r="Q63" s="49" t="n"/>
      <c r="R63" s="49" t="n"/>
      <c r="S63" s="50">
        <f>IFERROR(IF(B63="","",VLOOKUP(B63,'Assumptions'!$B$5:$K$104,7,FALSE)),"")</f>
        <v/>
      </c>
      <c r="T63" s="51">
        <f>IFERROR(IF(A63="","",MAX(0,M63-Q63+(N63+O63+P63)*VLOOKUP(B63,'Assumptions'!$B$5:$K$104,8,FALSE))),"")</f>
        <v/>
      </c>
      <c r="U63" s="51">
        <f>IFERROR(IF(A63="","",T63*S63),"")</f>
        <v/>
      </c>
      <c r="V63" s="51">
        <f>IFERROR(IF(A63="","",MAX(0,M63+N63+O63+P63-Q63)),"")</f>
        <v/>
      </c>
      <c r="W63" s="50">
        <f>IFERROR(IF(D63="","",VLOOKUP(D63,'Assumptions'!$U$5:$V$104,2,FALSE)),"")</f>
        <v/>
      </c>
      <c r="X63" s="51">
        <f>IFERROR(IF(A63="","",V63*W63),"")</f>
        <v/>
      </c>
      <c r="Y63" s="50">
        <f>IFERROR(IF(B63="","",VLOOKUP(B63,'Assumptions'!$B$5:$K$104,9,FALSE)),"")</f>
        <v/>
      </c>
      <c r="Z63" s="51">
        <f>IFERROR(IF(A63="","",(V63+U63)*Y63),"")</f>
        <v/>
      </c>
      <c r="AA63" s="50">
        <f>IFERROR(IF(B63="","",VLOOKUP(B63,'Assumptions'!$B$5:$K$104,10,FALSE)),"")</f>
        <v/>
      </c>
      <c r="AB63" s="51">
        <f>IFERROR(IF(A63="","",MAX(0,V63-R63)*AA63),"")</f>
        <v/>
      </c>
      <c r="AC63" s="51">
        <f>IFERROR(IF(A63="","",V63-R63-X63-Z63-AB63),"")</f>
        <v/>
      </c>
      <c r="AD63" s="49" t="n"/>
      <c r="AE63" s="51">
        <f>IFERROR(IF(A63="","",MAX(0,V63+U63-R63-AD63)),"")</f>
        <v/>
      </c>
      <c r="AF63" s="27">
        <f>IFERROR(IF(A63="","",IF(OR(L63="Inquiry",L63="Tentative",L63="Canceled"),"Not Due",IF(AE63=0,"Paid","Balance Due"))),"")</f>
        <v/>
      </c>
      <c r="AG63" s="25" t="n"/>
      <c r="AH63" s="31" t="n"/>
      <c r="AI63" s="27">
        <f>IFERROR(IF(A63="","",IF(OR(F63="",G63=""),"Missing Date",IF(G63&lt;=F63,"Invalid Date","OK"))),"")</f>
        <v/>
      </c>
      <c r="AJ63" s="27">
        <f>IFERROR(IF(OR(A63="",B63="",F63="",G63="",L63="Canceled"),"",IF(COUNTIFS($B$4:$B$153,B63,$F$4:$F$153,"&lt;"&amp;G63,$G$4:$G$153,"&gt;"&amp;F63,$A$4:$A$153,"&lt;&gt;"&amp;A63,$L$4:$L$153,"&lt;&gt;Canceled")&gt;0,"Possible Overlap","OK")),"")</f>
        <v/>
      </c>
      <c r="AK63" s="27">
        <f>IFERROR(IF(COUNTA(A63:G63)=0,"",IF(A63="","Missing Reservation ID",IF(B63="","Missing Property",IF(AND(AE63&gt;='Assumptions'!$B$115,L63&lt;&gt;"Canceled"),"Review Balance",IF(OR(L63="Inquiry",L63="Tentative"),"Review Status","OK"))))),"")</f>
        <v/>
      </c>
    </row>
    <row r="64">
      <c r="A64" s="25" t="n"/>
      <c r="B64" s="25" t="n"/>
      <c r="C64" s="25" t="n"/>
      <c r="D64" s="25" t="n"/>
      <c r="E64" s="26" t="n"/>
      <c r="F64" s="26" t="n"/>
      <c r="G64" s="26" t="n"/>
      <c r="H64" s="27">
        <f>IFERROR(IF(OR(F64="",G64=""),"",MAX(0,G64-F64)),"")</f>
        <v/>
      </c>
      <c r="I64" s="25" t="n"/>
      <c r="J64" s="25" t="n"/>
      <c r="K64" s="25" t="n"/>
      <c r="L64" s="25" t="n"/>
      <c r="M64" s="49" t="n"/>
      <c r="N64" s="49" t="n"/>
      <c r="O64" s="49" t="n"/>
      <c r="P64" s="49" t="n"/>
      <c r="Q64" s="49" t="n"/>
      <c r="R64" s="49" t="n"/>
      <c r="S64" s="50">
        <f>IFERROR(IF(B64="","",VLOOKUP(B64,'Assumptions'!$B$5:$K$104,7,FALSE)),"")</f>
        <v/>
      </c>
      <c r="T64" s="51">
        <f>IFERROR(IF(A64="","",MAX(0,M64-Q64+(N64+O64+P64)*VLOOKUP(B64,'Assumptions'!$B$5:$K$104,8,FALSE))),"")</f>
        <v/>
      </c>
      <c r="U64" s="51">
        <f>IFERROR(IF(A64="","",T64*S64),"")</f>
        <v/>
      </c>
      <c r="V64" s="51">
        <f>IFERROR(IF(A64="","",MAX(0,M64+N64+O64+P64-Q64)),"")</f>
        <v/>
      </c>
      <c r="W64" s="50">
        <f>IFERROR(IF(D64="","",VLOOKUP(D64,'Assumptions'!$U$5:$V$104,2,FALSE)),"")</f>
        <v/>
      </c>
      <c r="X64" s="51">
        <f>IFERROR(IF(A64="","",V64*W64),"")</f>
        <v/>
      </c>
      <c r="Y64" s="50">
        <f>IFERROR(IF(B64="","",VLOOKUP(B64,'Assumptions'!$B$5:$K$104,9,FALSE)),"")</f>
        <v/>
      </c>
      <c r="Z64" s="51">
        <f>IFERROR(IF(A64="","",(V64+U64)*Y64),"")</f>
        <v/>
      </c>
      <c r="AA64" s="50">
        <f>IFERROR(IF(B64="","",VLOOKUP(B64,'Assumptions'!$B$5:$K$104,10,FALSE)),"")</f>
        <v/>
      </c>
      <c r="AB64" s="51">
        <f>IFERROR(IF(A64="","",MAX(0,V64-R64)*AA64),"")</f>
        <v/>
      </c>
      <c r="AC64" s="51">
        <f>IFERROR(IF(A64="","",V64-R64-X64-Z64-AB64),"")</f>
        <v/>
      </c>
      <c r="AD64" s="49" t="n"/>
      <c r="AE64" s="51">
        <f>IFERROR(IF(A64="","",MAX(0,V64+U64-R64-AD64)),"")</f>
        <v/>
      </c>
      <c r="AF64" s="27">
        <f>IFERROR(IF(A64="","",IF(OR(L64="Inquiry",L64="Tentative",L64="Canceled"),"Not Due",IF(AE64=0,"Paid","Balance Due"))),"")</f>
        <v/>
      </c>
      <c r="AG64" s="25" t="n"/>
      <c r="AH64" s="31" t="n"/>
      <c r="AI64" s="27">
        <f>IFERROR(IF(A64="","",IF(OR(F64="",G64=""),"Missing Date",IF(G64&lt;=F64,"Invalid Date","OK"))),"")</f>
        <v/>
      </c>
      <c r="AJ64" s="27">
        <f>IFERROR(IF(OR(A64="",B64="",F64="",G64="",L64="Canceled"),"",IF(COUNTIFS($B$4:$B$153,B64,$F$4:$F$153,"&lt;"&amp;G64,$G$4:$G$153,"&gt;"&amp;F64,$A$4:$A$153,"&lt;&gt;"&amp;A64,$L$4:$L$153,"&lt;&gt;Canceled")&gt;0,"Possible Overlap","OK")),"")</f>
        <v/>
      </c>
      <c r="AK64" s="27">
        <f>IFERROR(IF(COUNTA(A64:G64)=0,"",IF(A64="","Missing Reservation ID",IF(B64="","Missing Property",IF(AND(AE64&gt;='Assumptions'!$B$115,L64&lt;&gt;"Canceled"),"Review Balance",IF(OR(L64="Inquiry",L64="Tentative"),"Review Status","OK"))))),"")</f>
        <v/>
      </c>
    </row>
    <row r="65">
      <c r="A65" s="25" t="n"/>
      <c r="B65" s="25" t="n"/>
      <c r="C65" s="25" t="n"/>
      <c r="D65" s="25" t="n"/>
      <c r="E65" s="26" t="n"/>
      <c r="F65" s="26" t="n"/>
      <c r="G65" s="26" t="n"/>
      <c r="H65" s="27">
        <f>IFERROR(IF(OR(F65="",G65=""),"",MAX(0,G65-F65)),"")</f>
        <v/>
      </c>
      <c r="I65" s="25" t="n"/>
      <c r="J65" s="25" t="n"/>
      <c r="K65" s="25" t="n"/>
      <c r="L65" s="25" t="n"/>
      <c r="M65" s="49" t="n"/>
      <c r="N65" s="49" t="n"/>
      <c r="O65" s="49" t="n"/>
      <c r="P65" s="49" t="n"/>
      <c r="Q65" s="49" t="n"/>
      <c r="R65" s="49" t="n"/>
      <c r="S65" s="50">
        <f>IFERROR(IF(B65="","",VLOOKUP(B65,'Assumptions'!$B$5:$K$104,7,FALSE)),"")</f>
        <v/>
      </c>
      <c r="T65" s="51">
        <f>IFERROR(IF(A65="","",MAX(0,M65-Q65+(N65+O65+P65)*VLOOKUP(B65,'Assumptions'!$B$5:$K$104,8,FALSE))),"")</f>
        <v/>
      </c>
      <c r="U65" s="51">
        <f>IFERROR(IF(A65="","",T65*S65),"")</f>
        <v/>
      </c>
      <c r="V65" s="51">
        <f>IFERROR(IF(A65="","",MAX(0,M65+N65+O65+P65-Q65)),"")</f>
        <v/>
      </c>
      <c r="W65" s="50">
        <f>IFERROR(IF(D65="","",VLOOKUP(D65,'Assumptions'!$U$5:$V$104,2,FALSE)),"")</f>
        <v/>
      </c>
      <c r="X65" s="51">
        <f>IFERROR(IF(A65="","",V65*W65),"")</f>
        <v/>
      </c>
      <c r="Y65" s="50">
        <f>IFERROR(IF(B65="","",VLOOKUP(B65,'Assumptions'!$B$5:$K$104,9,FALSE)),"")</f>
        <v/>
      </c>
      <c r="Z65" s="51">
        <f>IFERROR(IF(A65="","",(V65+U65)*Y65),"")</f>
        <v/>
      </c>
      <c r="AA65" s="50">
        <f>IFERROR(IF(B65="","",VLOOKUP(B65,'Assumptions'!$B$5:$K$104,10,FALSE)),"")</f>
        <v/>
      </c>
      <c r="AB65" s="51">
        <f>IFERROR(IF(A65="","",MAX(0,V65-R65)*AA65),"")</f>
        <v/>
      </c>
      <c r="AC65" s="51">
        <f>IFERROR(IF(A65="","",V65-R65-X65-Z65-AB65),"")</f>
        <v/>
      </c>
      <c r="AD65" s="49" t="n"/>
      <c r="AE65" s="51">
        <f>IFERROR(IF(A65="","",MAX(0,V65+U65-R65-AD65)),"")</f>
        <v/>
      </c>
      <c r="AF65" s="27">
        <f>IFERROR(IF(A65="","",IF(OR(L65="Inquiry",L65="Tentative",L65="Canceled"),"Not Due",IF(AE65=0,"Paid","Balance Due"))),"")</f>
        <v/>
      </c>
      <c r="AG65" s="25" t="n"/>
      <c r="AH65" s="31" t="n"/>
      <c r="AI65" s="27">
        <f>IFERROR(IF(A65="","",IF(OR(F65="",G65=""),"Missing Date",IF(G65&lt;=F65,"Invalid Date","OK"))),"")</f>
        <v/>
      </c>
      <c r="AJ65" s="27">
        <f>IFERROR(IF(OR(A65="",B65="",F65="",G65="",L65="Canceled"),"",IF(COUNTIFS($B$4:$B$153,B65,$F$4:$F$153,"&lt;"&amp;G65,$G$4:$G$153,"&gt;"&amp;F65,$A$4:$A$153,"&lt;&gt;"&amp;A65,$L$4:$L$153,"&lt;&gt;Canceled")&gt;0,"Possible Overlap","OK")),"")</f>
        <v/>
      </c>
      <c r="AK65" s="27">
        <f>IFERROR(IF(COUNTA(A65:G65)=0,"",IF(A65="","Missing Reservation ID",IF(B65="","Missing Property",IF(AND(AE65&gt;='Assumptions'!$B$115,L65&lt;&gt;"Canceled"),"Review Balance",IF(OR(L65="Inquiry",L65="Tentative"),"Review Status","OK"))))),"")</f>
        <v/>
      </c>
    </row>
    <row r="66">
      <c r="A66" s="25" t="n"/>
      <c r="B66" s="25" t="n"/>
      <c r="C66" s="25" t="n"/>
      <c r="D66" s="25" t="n"/>
      <c r="E66" s="26" t="n"/>
      <c r="F66" s="26" t="n"/>
      <c r="G66" s="26" t="n"/>
      <c r="H66" s="27">
        <f>IFERROR(IF(OR(F66="",G66=""),"",MAX(0,G66-F66)),"")</f>
        <v/>
      </c>
      <c r="I66" s="25" t="n"/>
      <c r="J66" s="25" t="n"/>
      <c r="K66" s="25" t="n"/>
      <c r="L66" s="25" t="n"/>
      <c r="M66" s="49" t="n"/>
      <c r="N66" s="49" t="n"/>
      <c r="O66" s="49" t="n"/>
      <c r="P66" s="49" t="n"/>
      <c r="Q66" s="49" t="n"/>
      <c r="R66" s="49" t="n"/>
      <c r="S66" s="50">
        <f>IFERROR(IF(B66="","",VLOOKUP(B66,'Assumptions'!$B$5:$K$104,7,FALSE)),"")</f>
        <v/>
      </c>
      <c r="T66" s="51">
        <f>IFERROR(IF(A66="","",MAX(0,M66-Q66+(N66+O66+P66)*VLOOKUP(B66,'Assumptions'!$B$5:$K$104,8,FALSE))),"")</f>
        <v/>
      </c>
      <c r="U66" s="51">
        <f>IFERROR(IF(A66="","",T66*S66),"")</f>
        <v/>
      </c>
      <c r="V66" s="51">
        <f>IFERROR(IF(A66="","",MAX(0,M66+N66+O66+P66-Q66)),"")</f>
        <v/>
      </c>
      <c r="W66" s="50">
        <f>IFERROR(IF(D66="","",VLOOKUP(D66,'Assumptions'!$U$5:$V$104,2,FALSE)),"")</f>
        <v/>
      </c>
      <c r="X66" s="51">
        <f>IFERROR(IF(A66="","",V66*W66),"")</f>
        <v/>
      </c>
      <c r="Y66" s="50">
        <f>IFERROR(IF(B66="","",VLOOKUP(B66,'Assumptions'!$B$5:$K$104,9,FALSE)),"")</f>
        <v/>
      </c>
      <c r="Z66" s="51">
        <f>IFERROR(IF(A66="","",(V66+U66)*Y66),"")</f>
        <v/>
      </c>
      <c r="AA66" s="50">
        <f>IFERROR(IF(B66="","",VLOOKUP(B66,'Assumptions'!$B$5:$K$104,10,FALSE)),"")</f>
        <v/>
      </c>
      <c r="AB66" s="51">
        <f>IFERROR(IF(A66="","",MAX(0,V66-R66)*AA66),"")</f>
        <v/>
      </c>
      <c r="AC66" s="51">
        <f>IFERROR(IF(A66="","",V66-R66-X66-Z66-AB66),"")</f>
        <v/>
      </c>
      <c r="AD66" s="49" t="n"/>
      <c r="AE66" s="51">
        <f>IFERROR(IF(A66="","",MAX(0,V66+U66-R66-AD66)),"")</f>
        <v/>
      </c>
      <c r="AF66" s="27">
        <f>IFERROR(IF(A66="","",IF(OR(L66="Inquiry",L66="Tentative",L66="Canceled"),"Not Due",IF(AE66=0,"Paid","Balance Due"))),"")</f>
        <v/>
      </c>
      <c r="AG66" s="25" t="n"/>
      <c r="AH66" s="31" t="n"/>
      <c r="AI66" s="27">
        <f>IFERROR(IF(A66="","",IF(OR(F66="",G66=""),"Missing Date",IF(G66&lt;=F66,"Invalid Date","OK"))),"")</f>
        <v/>
      </c>
      <c r="AJ66" s="27">
        <f>IFERROR(IF(OR(A66="",B66="",F66="",G66="",L66="Canceled"),"",IF(COUNTIFS($B$4:$B$153,B66,$F$4:$F$153,"&lt;"&amp;G66,$G$4:$G$153,"&gt;"&amp;F66,$A$4:$A$153,"&lt;&gt;"&amp;A66,$L$4:$L$153,"&lt;&gt;Canceled")&gt;0,"Possible Overlap","OK")),"")</f>
        <v/>
      </c>
      <c r="AK66" s="27">
        <f>IFERROR(IF(COUNTA(A66:G66)=0,"",IF(A66="","Missing Reservation ID",IF(B66="","Missing Property",IF(AND(AE66&gt;='Assumptions'!$B$115,L66&lt;&gt;"Canceled"),"Review Balance",IF(OR(L66="Inquiry",L66="Tentative"),"Review Status","OK"))))),"")</f>
        <v/>
      </c>
    </row>
    <row r="67">
      <c r="A67" s="25" t="n"/>
      <c r="B67" s="25" t="n"/>
      <c r="C67" s="25" t="n"/>
      <c r="D67" s="25" t="n"/>
      <c r="E67" s="26" t="n"/>
      <c r="F67" s="26" t="n"/>
      <c r="G67" s="26" t="n"/>
      <c r="H67" s="27">
        <f>IFERROR(IF(OR(F67="",G67=""),"",MAX(0,G67-F67)),"")</f>
        <v/>
      </c>
      <c r="I67" s="25" t="n"/>
      <c r="J67" s="25" t="n"/>
      <c r="K67" s="25" t="n"/>
      <c r="L67" s="25" t="n"/>
      <c r="M67" s="49" t="n"/>
      <c r="N67" s="49" t="n"/>
      <c r="O67" s="49" t="n"/>
      <c r="P67" s="49" t="n"/>
      <c r="Q67" s="49" t="n"/>
      <c r="R67" s="49" t="n"/>
      <c r="S67" s="50">
        <f>IFERROR(IF(B67="","",VLOOKUP(B67,'Assumptions'!$B$5:$K$104,7,FALSE)),"")</f>
        <v/>
      </c>
      <c r="T67" s="51">
        <f>IFERROR(IF(A67="","",MAX(0,M67-Q67+(N67+O67+P67)*VLOOKUP(B67,'Assumptions'!$B$5:$K$104,8,FALSE))),"")</f>
        <v/>
      </c>
      <c r="U67" s="51">
        <f>IFERROR(IF(A67="","",T67*S67),"")</f>
        <v/>
      </c>
      <c r="V67" s="51">
        <f>IFERROR(IF(A67="","",MAX(0,M67+N67+O67+P67-Q67)),"")</f>
        <v/>
      </c>
      <c r="W67" s="50">
        <f>IFERROR(IF(D67="","",VLOOKUP(D67,'Assumptions'!$U$5:$V$104,2,FALSE)),"")</f>
        <v/>
      </c>
      <c r="X67" s="51">
        <f>IFERROR(IF(A67="","",V67*W67),"")</f>
        <v/>
      </c>
      <c r="Y67" s="50">
        <f>IFERROR(IF(B67="","",VLOOKUP(B67,'Assumptions'!$B$5:$K$104,9,FALSE)),"")</f>
        <v/>
      </c>
      <c r="Z67" s="51">
        <f>IFERROR(IF(A67="","",(V67+U67)*Y67),"")</f>
        <v/>
      </c>
      <c r="AA67" s="50">
        <f>IFERROR(IF(B67="","",VLOOKUP(B67,'Assumptions'!$B$5:$K$104,10,FALSE)),"")</f>
        <v/>
      </c>
      <c r="AB67" s="51">
        <f>IFERROR(IF(A67="","",MAX(0,V67-R67)*AA67),"")</f>
        <v/>
      </c>
      <c r="AC67" s="51">
        <f>IFERROR(IF(A67="","",V67-R67-X67-Z67-AB67),"")</f>
        <v/>
      </c>
      <c r="AD67" s="49" t="n"/>
      <c r="AE67" s="51">
        <f>IFERROR(IF(A67="","",MAX(0,V67+U67-R67-AD67)),"")</f>
        <v/>
      </c>
      <c r="AF67" s="27">
        <f>IFERROR(IF(A67="","",IF(OR(L67="Inquiry",L67="Tentative",L67="Canceled"),"Not Due",IF(AE67=0,"Paid","Balance Due"))),"")</f>
        <v/>
      </c>
      <c r="AG67" s="25" t="n"/>
      <c r="AH67" s="31" t="n"/>
      <c r="AI67" s="27">
        <f>IFERROR(IF(A67="","",IF(OR(F67="",G67=""),"Missing Date",IF(G67&lt;=F67,"Invalid Date","OK"))),"")</f>
        <v/>
      </c>
      <c r="AJ67" s="27">
        <f>IFERROR(IF(OR(A67="",B67="",F67="",G67="",L67="Canceled"),"",IF(COUNTIFS($B$4:$B$153,B67,$F$4:$F$153,"&lt;"&amp;G67,$G$4:$G$153,"&gt;"&amp;F67,$A$4:$A$153,"&lt;&gt;"&amp;A67,$L$4:$L$153,"&lt;&gt;Canceled")&gt;0,"Possible Overlap","OK")),"")</f>
        <v/>
      </c>
      <c r="AK67" s="27">
        <f>IFERROR(IF(COUNTA(A67:G67)=0,"",IF(A67="","Missing Reservation ID",IF(B67="","Missing Property",IF(AND(AE67&gt;='Assumptions'!$B$115,L67&lt;&gt;"Canceled"),"Review Balance",IF(OR(L67="Inquiry",L67="Tentative"),"Review Status","OK"))))),"")</f>
        <v/>
      </c>
    </row>
    <row r="68">
      <c r="A68" s="25" t="n"/>
      <c r="B68" s="25" t="n"/>
      <c r="C68" s="25" t="n"/>
      <c r="D68" s="25" t="n"/>
      <c r="E68" s="26" t="n"/>
      <c r="F68" s="26" t="n"/>
      <c r="G68" s="26" t="n"/>
      <c r="H68" s="27">
        <f>IFERROR(IF(OR(F68="",G68=""),"",MAX(0,G68-F68)),"")</f>
        <v/>
      </c>
      <c r="I68" s="25" t="n"/>
      <c r="J68" s="25" t="n"/>
      <c r="K68" s="25" t="n"/>
      <c r="L68" s="25" t="n"/>
      <c r="M68" s="49" t="n"/>
      <c r="N68" s="49" t="n"/>
      <c r="O68" s="49" t="n"/>
      <c r="P68" s="49" t="n"/>
      <c r="Q68" s="49" t="n"/>
      <c r="R68" s="49" t="n"/>
      <c r="S68" s="50">
        <f>IFERROR(IF(B68="","",VLOOKUP(B68,'Assumptions'!$B$5:$K$104,7,FALSE)),"")</f>
        <v/>
      </c>
      <c r="T68" s="51">
        <f>IFERROR(IF(A68="","",MAX(0,M68-Q68+(N68+O68+P68)*VLOOKUP(B68,'Assumptions'!$B$5:$K$104,8,FALSE))),"")</f>
        <v/>
      </c>
      <c r="U68" s="51">
        <f>IFERROR(IF(A68="","",T68*S68),"")</f>
        <v/>
      </c>
      <c r="V68" s="51">
        <f>IFERROR(IF(A68="","",MAX(0,M68+N68+O68+P68-Q68)),"")</f>
        <v/>
      </c>
      <c r="W68" s="50">
        <f>IFERROR(IF(D68="","",VLOOKUP(D68,'Assumptions'!$U$5:$V$104,2,FALSE)),"")</f>
        <v/>
      </c>
      <c r="X68" s="51">
        <f>IFERROR(IF(A68="","",V68*W68),"")</f>
        <v/>
      </c>
      <c r="Y68" s="50">
        <f>IFERROR(IF(B68="","",VLOOKUP(B68,'Assumptions'!$B$5:$K$104,9,FALSE)),"")</f>
        <v/>
      </c>
      <c r="Z68" s="51">
        <f>IFERROR(IF(A68="","",(V68+U68)*Y68),"")</f>
        <v/>
      </c>
      <c r="AA68" s="50">
        <f>IFERROR(IF(B68="","",VLOOKUP(B68,'Assumptions'!$B$5:$K$104,10,FALSE)),"")</f>
        <v/>
      </c>
      <c r="AB68" s="51">
        <f>IFERROR(IF(A68="","",MAX(0,V68-R68)*AA68),"")</f>
        <v/>
      </c>
      <c r="AC68" s="51">
        <f>IFERROR(IF(A68="","",V68-R68-X68-Z68-AB68),"")</f>
        <v/>
      </c>
      <c r="AD68" s="49" t="n"/>
      <c r="AE68" s="51">
        <f>IFERROR(IF(A68="","",MAX(0,V68+U68-R68-AD68)),"")</f>
        <v/>
      </c>
      <c r="AF68" s="27">
        <f>IFERROR(IF(A68="","",IF(OR(L68="Inquiry",L68="Tentative",L68="Canceled"),"Not Due",IF(AE68=0,"Paid","Balance Due"))),"")</f>
        <v/>
      </c>
      <c r="AG68" s="25" t="n"/>
      <c r="AH68" s="31" t="n"/>
      <c r="AI68" s="27">
        <f>IFERROR(IF(A68="","",IF(OR(F68="",G68=""),"Missing Date",IF(G68&lt;=F68,"Invalid Date","OK"))),"")</f>
        <v/>
      </c>
      <c r="AJ68" s="27">
        <f>IFERROR(IF(OR(A68="",B68="",F68="",G68="",L68="Canceled"),"",IF(COUNTIFS($B$4:$B$153,B68,$F$4:$F$153,"&lt;"&amp;G68,$G$4:$G$153,"&gt;"&amp;F68,$A$4:$A$153,"&lt;&gt;"&amp;A68,$L$4:$L$153,"&lt;&gt;Canceled")&gt;0,"Possible Overlap","OK")),"")</f>
        <v/>
      </c>
      <c r="AK68" s="27">
        <f>IFERROR(IF(COUNTA(A68:G68)=0,"",IF(A68="","Missing Reservation ID",IF(B68="","Missing Property",IF(AND(AE68&gt;='Assumptions'!$B$115,L68&lt;&gt;"Canceled"),"Review Balance",IF(OR(L68="Inquiry",L68="Tentative"),"Review Status","OK"))))),"")</f>
        <v/>
      </c>
    </row>
    <row r="69">
      <c r="A69" s="25" t="n"/>
      <c r="B69" s="25" t="n"/>
      <c r="C69" s="25" t="n"/>
      <c r="D69" s="25" t="n"/>
      <c r="E69" s="26" t="n"/>
      <c r="F69" s="26" t="n"/>
      <c r="G69" s="26" t="n"/>
      <c r="H69" s="27">
        <f>IFERROR(IF(OR(F69="",G69=""),"",MAX(0,G69-F69)),"")</f>
        <v/>
      </c>
      <c r="I69" s="25" t="n"/>
      <c r="J69" s="25" t="n"/>
      <c r="K69" s="25" t="n"/>
      <c r="L69" s="25" t="n"/>
      <c r="M69" s="49" t="n"/>
      <c r="N69" s="49" t="n"/>
      <c r="O69" s="49" t="n"/>
      <c r="P69" s="49" t="n"/>
      <c r="Q69" s="49" t="n"/>
      <c r="R69" s="49" t="n"/>
      <c r="S69" s="50">
        <f>IFERROR(IF(B69="","",VLOOKUP(B69,'Assumptions'!$B$5:$K$104,7,FALSE)),"")</f>
        <v/>
      </c>
      <c r="T69" s="51">
        <f>IFERROR(IF(A69="","",MAX(0,M69-Q69+(N69+O69+P69)*VLOOKUP(B69,'Assumptions'!$B$5:$K$104,8,FALSE))),"")</f>
        <v/>
      </c>
      <c r="U69" s="51">
        <f>IFERROR(IF(A69="","",T69*S69),"")</f>
        <v/>
      </c>
      <c r="V69" s="51">
        <f>IFERROR(IF(A69="","",MAX(0,M69+N69+O69+P69-Q69)),"")</f>
        <v/>
      </c>
      <c r="W69" s="50">
        <f>IFERROR(IF(D69="","",VLOOKUP(D69,'Assumptions'!$U$5:$V$104,2,FALSE)),"")</f>
        <v/>
      </c>
      <c r="X69" s="51">
        <f>IFERROR(IF(A69="","",V69*W69),"")</f>
        <v/>
      </c>
      <c r="Y69" s="50">
        <f>IFERROR(IF(B69="","",VLOOKUP(B69,'Assumptions'!$B$5:$K$104,9,FALSE)),"")</f>
        <v/>
      </c>
      <c r="Z69" s="51">
        <f>IFERROR(IF(A69="","",(V69+U69)*Y69),"")</f>
        <v/>
      </c>
      <c r="AA69" s="50">
        <f>IFERROR(IF(B69="","",VLOOKUP(B69,'Assumptions'!$B$5:$K$104,10,FALSE)),"")</f>
        <v/>
      </c>
      <c r="AB69" s="51">
        <f>IFERROR(IF(A69="","",MAX(0,V69-R69)*AA69),"")</f>
        <v/>
      </c>
      <c r="AC69" s="51">
        <f>IFERROR(IF(A69="","",V69-R69-X69-Z69-AB69),"")</f>
        <v/>
      </c>
      <c r="AD69" s="49" t="n"/>
      <c r="AE69" s="51">
        <f>IFERROR(IF(A69="","",MAX(0,V69+U69-R69-AD69)),"")</f>
        <v/>
      </c>
      <c r="AF69" s="27">
        <f>IFERROR(IF(A69="","",IF(OR(L69="Inquiry",L69="Tentative",L69="Canceled"),"Not Due",IF(AE69=0,"Paid","Balance Due"))),"")</f>
        <v/>
      </c>
      <c r="AG69" s="25" t="n"/>
      <c r="AH69" s="31" t="n"/>
      <c r="AI69" s="27">
        <f>IFERROR(IF(A69="","",IF(OR(F69="",G69=""),"Missing Date",IF(G69&lt;=F69,"Invalid Date","OK"))),"")</f>
        <v/>
      </c>
      <c r="AJ69" s="27">
        <f>IFERROR(IF(OR(A69="",B69="",F69="",G69="",L69="Canceled"),"",IF(COUNTIFS($B$4:$B$153,B69,$F$4:$F$153,"&lt;"&amp;G69,$G$4:$G$153,"&gt;"&amp;F69,$A$4:$A$153,"&lt;&gt;"&amp;A69,$L$4:$L$153,"&lt;&gt;Canceled")&gt;0,"Possible Overlap","OK")),"")</f>
        <v/>
      </c>
      <c r="AK69" s="27">
        <f>IFERROR(IF(COUNTA(A69:G69)=0,"",IF(A69="","Missing Reservation ID",IF(B69="","Missing Property",IF(AND(AE69&gt;='Assumptions'!$B$115,L69&lt;&gt;"Canceled"),"Review Balance",IF(OR(L69="Inquiry",L69="Tentative"),"Review Status","OK"))))),"")</f>
        <v/>
      </c>
    </row>
    <row r="70">
      <c r="A70" s="25" t="n"/>
      <c r="B70" s="25" t="n"/>
      <c r="C70" s="25" t="n"/>
      <c r="D70" s="25" t="n"/>
      <c r="E70" s="26" t="n"/>
      <c r="F70" s="26" t="n"/>
      <c r="G70" s="26" t="n"/>
      <c r="H70" s="27">
        <f>IFERROR(IF(OR(F70="",G70=""),"",MAX(0,G70-F70)),"")</f>
        <v/>
      </c>
      <c r="I70" s="25" t="n"/>
      <c r="J70" s="25" t="n"/>
      <c r="K70" s="25" t="n"/>
      <c r="L70" s="25" t="n"/>
      <c r="M70" s="49" t="n"/>
      <c r="N70" s="49" t="n"/>
      <c r="O70" s="49" t="n"/>
      <c r="P70" s="49" t="n"/>
      <c r="Q70" s="49" t="n"/>
      <c r="R70" s="49" t="n"/>
      <c r="S70" s="50">
        <f>IFERROR(IF(B70="","",VLOOKUP(B70,'Assumptions'!$B$5:$K$104,7,FALSE)),"")</f>
        <v/>
      </c>
      <c r="T70" s="51">
        <f>IFERROR(IF(A70="","",MAX(0,M70-Q70+(N70+O70+P70)*VLOOKUP(B70,'Assumptions'!$B$5:$K$104,8,FALSE))),"")</f>
        <v/>
      </c>
      <c r="U70" s="51">
        <f>IFERROR(IF(A70="","",T70*S70),"")</f>
        <v/>
      </c>
      <c r="V70" s="51">
        <f>IFERROR(IF(A70="","",MAX(0,M70+N70+O70+P70-Q70)),"")</f>
        <v/>
      </c>
      <c r="W70" s="50">
        <f>IFERROR(IF(D70="","",VLOOKUP(D70,'Assumptions'!$U$5:$V$104,2,FALSE)),"")</f>
        <v/>
      </c>
      <c r="X70" s="51">
        <f>IFERROR(IF(A70="","",V70*W70),"")</f>
        <v/>
      </c>
      <c r="Y70" s="50">
        <f>IFERROR(IF(B70="","",VLOOKUP(B70,'Assumptions'!$B$5:$K$104,9,FALSE)),"")</f>
        <v/>
      </c>
      <c r="Z70" s="51">
        <f>IFERROR(IF(A70="","",(V70+U70)*Y70),"")</f>
        <v/>
      </c>
      <c r="AA70" s="50">
        <f>IFERROR(IF(B70="","",VLOOKUP(B70,'Assumptions'!$B$5:$K$104,10,FALSE)),"")</f>
        <v/>
      </c>
      <c r="AB70" s="51">
        <f>IFERROR(IF(A70="","",MAX(0,V70-R70)*AA70),"")</f>
        <v/>
      </c>
      <c r="AC70" s="51">
        <f>IFERROR(IF(A70="","",V70-R70-X70-Z70-AB70),"")</f>
        <v/>
      </c>
      <c r="AD70" s="49" t="n"/>
      <c r="AE70" s="51">
        <f>IFERROR(IF(A70="","",MAX(0,V70+U70-R70-AD70)),"")</f>
        <v/>
      </c>
      <c r="AF70" s="27">
        <f>IFERROR(IF(A70="","",IF(OR(L70="Inquiry",L70="Tentative",L70="Canceled"),"Not Due",IF(AE70=0,"Paid","Balance Due"))),"")</f>
        <v/>
      </c>
      <c r="AG70" s="25" t="n"/>
      <c r="AH70" s="31" t="n"/>
      <c r="AI70" s="27">
        <f>IFERROR(IF(A70="","",IF(OR(F70="",G70=""),"Missing Date",IF(G70&lt;=F70,"Invalid Date","OK"))),"")</f>
        <v/>
      </c>
      <c r="AJ70" s="27">
        <f>IFERROR(IF(OR(A70="",B70="",F70="",G70="",L70="Canceled"),"",IF(COUNTIFS($B$4:$B$153,B70,$F$4:$F$153,"&lt;"&amp;G70,$G$4:$G$153,"&gt;"&amp;F70,$A$4:$A$153,"&lt;&gt;"&amp;A70,$L$4:$L$153,"&lt;&gt;Canceled")&gt;0,"Possible Overlap","OK")),"")</f>
        <v/>
      </c>
      <c r="AK70" s="27">
        <f>IFERROR(IF(COUNTA(A70:G70)=0,"",IF(A70="","Missing Reservation ID",IF(B70="","Missing Property",IF(AND(AE70&gt;='Assumptions'!$B$115,L70&lt;&gt;"Canceled"),"Review Balance",IF(OR(L70="Inquiry",L70="Tentative"),"Review Status","OK"))))),"")</f>
        <v/>
      </c>
    </row>
    <row r="71">
      <c r="A71" s="25" t="n"/>
      <c r="B71" s="25" t="n"/>
      <c r="C71" s="25" t="n"/>
      <c r="D71" s="25" t="n"/>
      <c r="E71" s="26" t="n"/>
      <c r="F71" s="26" t="n"/>
      <c r="G71" s="26" t="n"/>
      <c r="H71" s="27">
        <f>IFERROR(IF(OR(F71="",G71=""),"",MAX(0,G71-F71)),"")</f>
        <v/>
      </c>
      <c r="I71" s="25" t="n"/>
      <c r="J71" s="25" t="n"/>
      <c r="K71" s="25" t="n"/>
      <c r="L71" s="25" t="n"/>
      <c r="M71" s="49" t="n"/>
      <c r="N71" s="49" t="n"/>
      <c r="O71" s="49" t="n"/>
      <c r="P71" s="49" t="n"/>
      <c r="Q71" s="49" t="n"/>
      <c r="R71" s="49" t="n"/>
      <c r="S71" s="50">
        <f>IFERROR(IF(B71="","",VLOOKUP(B71,'Assumptions'!$B$5:$K$104,7,FALSE)),"")</f>
        <v/>
      </c>
      <c r="T71" s="51">
        <f>IFERROR(IF(A71="","",MAX(0,M71-Q71+(N71+O71+P71)*VLOOKUP(B71,'Assumptions'!$B$5:$K$104,8,FALSE))),"")</f>
        <v/>
      </c>
      <c r="U71" s="51">
        <f>IFERROR(IF(A71="","",T71*S71),"")</f>
        <v/>
      </c>
      <c r="V71" s="51">
        <f>IFERROR(IF(A71="","",MAX(0,M71+N71+O71+P71-Q71)),"")</f>
        <v/>
      </c>
      <c r="W71" s="50">
        <f>IFERROR(IF(D71="","",VLOOKUP(D71,'Assumptions'!$U$5:$V$104,2,FALSE)),"")</f>
        <v/>
      </c>
      <c r="X71" s="51">
        <f>IFERROR(IF(A71="","",V71*W71),"")</f>
        <v/>
      </c>
      <c r="Y71" s="50">
        <f>IFERROR(IF(B71="","",VLOOKUP(B71,'Assumptions'!$B$5:$K$104,9,FALSE)),"")</f>
        <v/>
      </c>
      <c r="Z71" s="51">
        <f>IFERROR(IF(A71="","",(V71+U71)*Y71),"")</f>
        <v/>
      </c>
      <c r="AA71" s="50">
        <f>IFERROR(IF(B71="","",VLOOKUP(B71,'Assumptions'!$B$5:$K$104,10,FALSE)),"")</f>
        <v/>
      </c>
      <c r="AB71" s="51">
        <f>IFERROR(IF(A71="","",MAX(0,V71-R71)*AA71),"")</f>
        <v/>
      </c>
      <c r="AC71" s="51">
        <f>IFERROR(IF(A71="","",V71-R71-X71-Z71-AB71),"")</f>
        <v/>
      </c>
      <c r="AD71" s="49" t="n"/>
      <c r="AE71" s="51">
        <f>IFERROR(IF(A71="","",MAX(0,V71+U71-R71-AD71)),"")</f>
        <v/>
      </c>
      <c r="AF71" s="27">
        <f>IFERROR(IF(A71="","",IF(OR(L71="Inquiry",L71="Tentative",L71="Canceled"),"Not Due",IF(AE71=0,"Paid","Balance Due"))),"")</f>
        <v/>
      </c>
      <c r="AG71" s="25" t="n"/>
      <c r="AH71" s="31" t="n"/>
      <c r="AI71" s="27">
        <f>IFERROR(IF(A71="","",IF(OR(F71="",G71=""),"Missing Date",IF(G71&lt;=F71,"Invalid Date","OK"))),"")</f>
        <v/>
      </c>
      <c r="AJ71" s="27">
        <f>IFERROR(IF(OR(A71="",B71="",F71="",G71="",L71="Canceled"),"",IF(COUNTIFS($B$4:$B$153,B71,$F$4:$F$153,"&lt;"&amp;G71,$G$4:$G$153,"&gt;"&amp;F71,$A$4:$A$153,"&lt;&gt;"&amp;A71,$L$4:$L$153,"&lt;&gt;Canceled")&gt;0,"Possible Overlap","OK")),"")</f>
        <v/>
      </c>
      <c r="AK71" s="27">
        <f>IFERROR(IF(COUNTA(A71:G71)=0,"",IF(A71="","Missing Reservation ID",IF(B71="","Missing Property",IF(AND(AE71&gt;='Assumptions'!$B$115,L71&lt;&gt;"Canceled"),"Review Balance",IF(OR(L71="Inquiry",L71="Tentative"),"Review Status","OK"))))),"")</f>
        <v/>
      </c>
    </row>
    <row r="72">
      <c r="A72" s="25" t="n"/>
      <c r="B72" s="25" t="n"/>
      <c r="C72" s="25" t="n"/>
      <c r="D72" s="25" t="n"/>
      <c r="E72" s="26" t="n"/>
      <c r="F72" s="26" t="n"/>
      <c r="G72" s="26" t="n"/>
      <c r="H72" s="27">
        <f>IFERROR(IF(OR(F72="",G72=""),"",MAX(0,G72-F72)),"")</f>
        <v/>
      </c>
      <c r="I72" s="25" t="n"/>
      <c r="J72" s="25" t="n"/>
      <c r="K72" s="25" t="n"/>
      <c r="L72" s="25" t="n"/>
      <c r="M72" s="49" t="n"/>
      <c r="N72" s="49" t="n"/>
      <c r="O72" s="49" t="n"/>
      <c r="P72" s="49" t="n"/>
      <c r="Q72" s="49" t="n"/>
      <c r="R72" s="49" t="n"/>
      <c r="S72" s="50">
        <f>IFERROR(IF(B72="","",VLOOKUP(B72,'Assumptions'!$B$5:$K$104,7,FALSE)),"")</f>
        <v/>
      </c>
      <c r="T72" s="51">
        <f>IFERROR(IF(A72="","",MAX(0,M72-Q72+(N72+O72+P72)*VLOOKUP(B72,'Assumptions'!$B$5:$K$104,8,FALSE))),"")</f>
        <v/>
      </c>
      <c r="U72" s="51">
        <f>IFERROR(IF(A72="","",T72*S72),"")</f>
        <v/>
      </c>
      <c r="V72" s="51">
        <f>IFERROR(IF(A72="","",MAX(0,M72+N72+O72+P72-Q72)),"")</f>
        <v/>
      </c>
      <c r="W72" s="50">
        <f>IFERROR(IF(D72="","",VLOOKUP(D72,'Assumptions'!$U$5:$V$104,2,FALSE)),"")</f>
        <v/>
      </c>
      <c r="X72" s="51">
        <f>IFERROR(IF(A72="","",V72*W72),"")</f>
        <v/>
      </c>
      <c r="Y72" s="50">
        <f>IFERROR(IF(B72="","",VLOOKUP(B72,'Assumptions'!$B$5:$K$104,9,FALSE)),"")</f>
        <v/>
      </c>
      <c r="Z72" s="51">
        <f>IFERROR(IF(A72="","",(V72+U72)*Y72),"")</f>
        <v/>
      </c>
      <c r="AA72" s="50">
        <f>IFERROR(IF(B72="","",VLOOKUP(B72,'Assumptions'!$B$5:$K$104,10,FALSE)),"")</f>
        <v/>
      </c>
      <c r="AB72" s="51">
        <f>IFERROR(IF(A72="","",MAX(0,V72-R72)*AA72),"")</f>
        <v/>
      </c>
      <c r="AC72" s="51">
        <f>IFERROR(IF(A72="","",V72-R72-X72-Z72-AB72),"")</f>
        <v/>
      </c>
      <c r="AD72" s="49" t="n"/>
      <c r="AE72" s="51">
        <f>IFERROR(IF(A72="","",MAX(0,V72+U72-R72-AD72)),"")</f>
        <v/>
      </c>
      <c r="AF72" s="27">
        <f>IFERROR(IF(A72="","",IF(OR(L72="Inquiry",L72="Tentative",L72="Canceled"),"Not Due",IF(AE72=0,"Paid","Balance Due"))),"")</f>
        <v/>
      </c>
      <c r="AG72" s="25" t="n"/>
      <c r="AH72" s="31" t="n"/>
      <c r="AI72" s="27">
        <f>IFERROR(IF(A72="","",IF(OR(F72="",G72=""),"Missing Date",IF(G72&lt;=F72,"Invalid Date","OK"))),"")</f>
        <v/>
      </c>
      <c r="AJ72" s="27">
        <f>IFERROR(IF(OR(A72="",B72="",F72="",G72="",L72="Canceled"),"",IF(COUNTIFS($B$4:$B$153,B72,$F$4:$F$153,"&lt;"&amp;G72,$G$4:$G$153,"&gt;"&amp;F72,$A$4:$A$153,"&lt;&gt;"&amp;A72,$L$4:$L$153,"&lt;&gt;Canceled")&gt;0,"Possible Overlap","OK")),"")</f>
        <v/>
      </c>
      <c r="AK72" s="27">
        <f>IFERROR(IF(COUNTA(A72:G72)=0,"",IF(A72="","Missing Reservation ID",IF(B72="","Missing Property",IF(AND(AE72&gt;='Assumptions'!$B$115,L72&lt;&gt;"Canceled"),"Review Balance",IF(OR(L72="Inquiry",L72="Tentative"),"Review Status","OK"))))),"")</f>
        <v/>
      </c>
    </row>
    <row r="73">
      <c r="A73" s="25" t="n"/>
      <c r="B73" s="25" t="n"/>
      <c r="C73" s="25" t="n"/>
      <c r="D73" s="25" t="n"/>
      <c r="E73" s="26" t="n"/>
      <c r="F73" s="26" t="n"/>
      <c r="G73" s="26" t="n"/>
      <c r="H73" s="27">
        <f>IFERROR(IF(OR(F73="",G73=""),"",MAX(0,G73-F73)),"")</f>
        <v/>
      </c>
      <c r="I73" s="25" t="n"/>
      <c r="J73" s="25" t="n"/>
      <c r="K73" s="25" t="n"/>
      <c r="L73" s="25" t="n"/>
      <c r="M73" s="49" t="n"/>
      <c r="N73" s="49" t="n"/>
      <c r="O73" s="49" t="n"/>
      <c r="P73" s="49" t="n"/>
      <c r="Q73" s="49" t="n"/>
      <c r="R73" s="49" t="n"/>
      <c r="S73" s="50">
        <f>IFERROR(IF(B73="","",VLOOKUP(B73,'Assumptions'!$B$5:$K$104,7,FALSE)),"")</f>
        <v/>
      </c>
      <c r="T73" s="51">
        <f>IFERROR(IF(A73="","",MAX(0,M73-Q73+(N73+O73+P73)*VLOOKUP(B73,'Assumptions'!$B$5:$K$104,8,FALSE))),"")</f>
        <v/>
      </c>
      <c r="U73" s="51">
        <f>IFERROR(IF(A73="","",T73*S73),"")</f>
        <v/>
      </c>
      <c r="V73" s="51">
        <f>IFERROR(IF(A73="","",MAX(0,M73+N73+O73+P73-Q73)),"")</f>
        <v/>
      </c>
      <c r="W73" s="50">
        <f>IFERROR(IF(D73="","",VLOOKUP(D73,'Assumptions'!$U$5:$V$104,2,FALSE)),"")</f>
        <v/>
      </c>
      <c r="X73" s="51">
        <f>IFERROR(IF(A73="","",V73*W73),"")</f>
        <v/>
      </c>
      <c r="Y73" s="50">
        <f>IFERROR(IF(B73="","",VLOOKUP(B73,'Assumptions'!$B$5:$K$104,9,FALSE)),"")</f>
        <v/>
      </c>
      <c r="Z73" s="51">
        <f>IFERROR(IF(A73="","",(V73+U73)*Y73),"")</f>
        <v/>
      </c>
      <c r="AA73" s="50">
        <f>IFERROR(IF(B73="","",VLOOKUP(B73,'Assumptions'!$B$5:$K$104,10,FALSE)),"")</f>
        <v/>
      </c>
      <c r="AB73" s="51">
        <f>IFERROR(IF(A73="","",MAX(0,V73-R73)*AA73),"")</f>
        <v/>
      </c>
      <c r="AC73" s="51">
        <f>IFERROR(IF(A73="","",V73-R73-X73-Z73-AB73),"")</f>
        <v/>
      </c>
      <c r="AD73" s="49" t="n"/>
      <c r="AE73" s="51">
        <f>IFERROR(IF(A73="","",MAX(0,V73+U73-R73-AD73)),"")</f>
        <v/>
      </c>
      <c r="AF73" s="27">
        <f>IFERROR(IF(A73="","",IF(OR(L73="Inquiry",L73="Tentative",L73="Canceled"),"Not Due",IF(AE73=0,"Paid","Balance Due"))),"")</f>
        <v/>
      </c>
      <c r="AG73" s="25" t="n"/>
      <c r="AH73" s="31" t="n"/>
      <c r="AI73" s="27">
        <f>IFERROR(IF(A73="","",IF(OR(F73="",G73=""),"Missing Date",IF(G73&lt;=F73,"Invalid Date","OK"))),"")</f>
        <v/>
      </c>
      <c r="AJ73" s="27">
        <f>IFERROR(IF(OR(A73="",B73="",F73="",G73="",L73="Canceled"),"",IF(COUNTIFS($B$4:$B$153,B73,$F$4:$F$153,"&lt;"&amp;G73,$G$4:$G$153,"&gt;"&amp;F73,$A$4:$A$153,"&lt;&gt;"&amp;A73,$L$4:$L$153,"&lt;&gt;Canceled")&gt;0,"Possible Overlap","OK")),"")</f>
        <v/>
      </c>
      <c r="AK73" s="27">
        <f>IFERROR(IF(COUNTA(A73:G73)=0,"",IF(A73="","Missing Reservation ID",IF(B73="","Missing Property",IF(AND(AE73&gt;='Assumptions'!$B$115,L73&lt;&gt;"Canceled"),"Review Balance",IF(OR(L73="Inquiry",L73="Tentative"),"Review Status","OK"))))),"")</f>
        <v/>
      </c>
    </row>
    <row r="74">
      <c r="A74" s="25" t="n"/>
      <c r="B74" s="25" t="n"/>
      <c r="C74" s="25" t="n"/>
      <c r="D74" s="25" t="n"/>
      <c r="E74" s="26" t="n"/>
      <c r="F74" s="26" t="n"/>
      <c r="G74" s="26" t="n"/>
      <c r="H74" s="27">
        <f>IFERROR(IF(OR(F74="",G74=""),"",MAX(0,G74-F74)),"")</f>
        <v/>
      </c>
      <c r="I74" s="25" t="n"/>
      <c r="J74" s="25" t="n"/>
      <c r="K74" s="25" t="n"/>
      <c r="L74" s="25" t="n"/>
      <c r="M74" s="49" t="n"/>
      <c r="N74" s="49" t="n"/>
      <c r="O74" s="49" t="n"/>
      <c r="P74" s="49" t="n"/>
      <c r="Q74" s="49" t="n"/>
      <c r="R74" s="49" t="n"/>
      <c r="S74" s="50">
        <f>IFERROR(IF(B74="","",VLOOKUP(B74,'Assumptions'!$B$5:$K$104,7,FALSE)),"")</f>
        <v/>
      </c>
      <c r="T74" s="51">
        <f>IFERROR(IF(A74="","",MAX(0,M74-Q74+(N74+O74+P74)*VLOOKUP(B74,'Assumptions'!$B$5:$K$104,8,FALSE))),"")</f>
        <v/>
      </c>
      <c r="U74" s="51">
        <f>IFERROR(IF(A74="","",T74*S74),"")</f>
        <v/>
      </c>
      <c r="V74" s="51">
        <f>IFERROR(IF(A74="","",MAX(0,M74+N74+O74+P74-Q74)),"")</f>
        <v/>
      </c>
      <c r="W74" s="50">
        <f>IFERROR(IF(D74="","",VLOOKUP(D74,'Assumptions'!$U$5:$V$104,2,FALSE)),"")</f>
        <v/>
      </c>
      <c r="X74" s="51">
        <f>IFERROR(IF(A74="","",V74*W74),"")</f>
        <v/>
      </c>
      <c r="Y74" s="50">
        <f>IFERROR(IF(B74="","",VLOOKUP(B74,'Assumptions'!$B$5:$K$104,9,FALSE)),"")</f>
        <v/>
      </c>
      <c r="Z74" s="51">
        <f>IFERROR(IF(A74="","",(V74+U74)*Y74),"")</f>
        <v/>
      </c>
      <c r="AA74" s="50">
        <f>IFERROR(IF(B74="","",VLOOKUP(B74,'Assumptions'!$B$5:$K$104,10,FALSE)),"")</f>
        <v/>
      </c>
      <c r="AB74" s="51">
        <f>IFERROR(IF(A74="","",MAX(0,V74-R74)*AA74),"")</f>
        <v/>
      </c>
      <c r="AC74" s="51">
        <f>IFERROR(IF(A74="","",V74-R74-X74-Z74-AB74),"")</f>
        <v/>
      </c>
      <c r="AD74" s="49" t="n"/>
      <c r="AE74" s="51">
        <f>IFERROR(IF(A74="","",MAX(0,V74+U74-R74-AD74)),"")</f>
        <v/>
      </c>
      <c r="AF74" s="27">
        <f>IFERROR(IF(A74="","",IF(OR(L74="Inquiry",L74="Tentative",L74="Canceled"),"Not Due",IF(AE74=0,"Paid","Balance Due"))),"")</f>
        <v/>
      </c>
      <c r="AG74" s="25" t="n"/>
      <c r="AH74" s="31" t="n"/>
      <c r="AI74" s="27">
        <f>IFERROR(IF(A74="","",IF(OR(F74="",G74=""),"Missing Date",IF(G74&lt;=F74,"Invalid Date","OK"))),"")</f>
        <v/>
      </c>
      <c r="AJ74" s="27">
        <f>IFERROR(IF(OR(A74="",B74="",F74="",G74="",L74="Canceled"),"",IF(COUNTIFS($B$4:$B$153,B74,$F$4:$F$153,"&lt;"&amp;G74,$G$4:$G$153,"&gt;"&amp;F74,$A$4:$A$153,"&lt;&gt;"&amp;A74,$L$4:$L$153,"&lt;&gt;Canceled")&gt;0,"Possible Overlap","OK")),"")</f>
        <v/>
      </c>
      <c r="AK74" s="27">
        <f>IFERROR(IF(COUNTA(A74:G74)=0,"",IF(A74="","Missing Reservation ID",IF(B74="","Missing Property",IF(AND(AE74&gt;='Assumptions'!$B$115,L74&lt;&gt;"Canceled"),"Review Balance",IF(OR(L74="Inquiry",L74="Tentative"),"Review Status","OK"))))),"")</f>
        <v/>
      </c>
    </row>
    <row r="75">
      <c r="A75" s="25" t="n"/>
      <c r="B75" s="25" t="n"/>
      <c r="C75" s="25" t="n"/>
      <c r="D75" s="25" t="n"/>
      <c r="E75" s="26" t="n"/>
      <c r="F75" s="26" t="n"/>
      <c r="G75" s="26" t="n"/>
      <c r="H75" s="27">
        <f>IFERROR(IF(OR(F75="",G75=""),"",MAX(0,G75-F75)),"")</f>
        <v/>
      </c>
      <c r="I75" s="25" t="n"/>
      <c r="J75" s="25" t="n"/>
      <c r="K75" s="25" t="n"/>
      <c r="L75" s="25" t="n"/>
      <c r="M75" s="49" t="n"/>
      <c r="N75" s="49" t="n"/>
      <c r="O75" s="49" t="n"/>
      <c r="P75" s="49" t="n"/>
      <c r="Q75" s="49" t="n"/>
      <c r="R75" s="49" t="n"/>
      <c r="S75" s="50">
        <f>IFERROR(IF(B75="","",VLOOKUP(B75,'Assumptions'!$B$5:$K$104,7,FALSE)),"")</f>
        <v/>
      </c>
      <c r="T75" s="51">
        <f>IFERROR(IF(A75="","",MAX(0,M75-Q75+(N75+O75+P75)*VLOOKUP(B75,'Assumptions'!$B$5:$K$104,8,FALSE))),"")</f>
        <v/>
      </c>
      <c r="U75" s="51">
        <f>IFERROR(IF(A75="","",T75*S75),"")</f>
        <v/>
      </c>
      <c r="V75" s="51">
        <f>IFERROR(IF(A75="","",MAX(0,M75+N75+O75+P75-Q75)),"")</f>
        <v/>
      </c>
      <c r="W75" s="50">
        <f>IFERROR(IF(D75="","",VLOOKUP(D75,'Assumptions'!$U$5:$V$104,2,FALSE)),"")</f>
        <v/>
      </c>
      <c r="X75" s="51">
        <f>IFERROR(IF(A75="","",V75*W75),"")</f>
        <v/>
      </c>
      <c r="Y75" s="50">
        <f>IFERROR(IF(B75="","",VLOOKUP(B75,'Assumptions'!$B$5:$K$104,9,FALSE)),"")</f>
        <v/>
      </c>
      <c r="Z75" s="51">
        <f>IFERROR(IF(A75="","",(V75+U75)*Y75),"")</f>
        <v/>
      </c>
      <c r="AA75" s="50">
        <f>IFERROR(IF(B75="","",VLOOKUP(B75,'Assumptions'!$B$5:$K$104,10,FALSE)),"")</f>
        <v/>
      </c>
      <c r="AB75" s="51">
        <f>IFERROR(IF(A75="","",MAX(0,V75-R75)*AA75),"")</f>
        <v/>
      </c>
      <c r="AC75" s="51">
        <f>IFERROR(IF(A75="","",V75-R75-X75-Z75-AB75),"")</f>
        <v/>
      </c>
      <c r="AD75" s="49" t="n"/>
      <c r="AE75" s="51">
        <f>IFERROR(IF(A75="","",MAX(0,V75+U75-R75-AD75)),"")</f>
        <v/>
      </c>
      <c r="AF75" s="27">
        <f>IFERROR(IF(A75="","",IF(OR(L75="Inquiry",L75="Tentative",L75="Canceled"),"Not Due",IF(AE75=0,"Paid","Balance Due"))),"")</f>
        <v/>
      </c>
      <c r="AG75" s="25" t="n"/>
      <c r="AH75" s="31" t="n"/>
      <c r="AI75" s="27">
        <f>IFERROR(IF(A75="","",IF(OR(F75="",G75=""),"Missing Date",IF(G75&lt;=F75,"Invalid Date","OK"))),"")</f>
        <v/>
      </c>
      <c r="AJ75" s="27">
        <f>IFERROR(IF(OR(A75="",B75="",F75="",G75="",L75="Canceled"),"",IF(COUNTIFS($B$4:$B$153,B75,$F$4:$F$153,"&lt;"&amp;G75,$G$4:$G$153,"&gt;"&amp;F75,$A$4:$A$153,"&lt;&gt;"&amp;A75,$L$4:$L$153,"&lt;&gt;Canceled")&gt;0,"Possible Overlap","OK")),"")</f>
        <v/>
      </c>
      <c r="AK75" s="27">
        <f>IFERROR(IF(COUNTA(A75:G75)=0,"",IF(A75="","Missing Reservation ID",IF(B75="","Missing Property",IF(AND(AE75&gt;='Assumptions'!$B$115,L75&lt;&gt;"Canceled"),"Review Balance",IF(OR(L75="Inquiry",L75="Tentative"),"Review Status","OK"))))),"")</f>
        <v/>
      </c>
    </row>
    <row r="76">
      <c r="A76" s="25" t="n"/>
      <c r="B76" s="25" t="n"/>
      <c r="C76" s="25" t="n"/>
      <c r="D76" s="25" t="n"/>
      <c r="E76" s="26" t="n"/>
      <c r="F76" s="26" t="n"/>
      <c r="G76" s="26" t="n"/>
      <c r="H76" s="27">
        <f>IFERROR(IF(OR(F76="",G76=""),"",MAX(0,G76-F76)),"")</f>
        <v/>
      </c>
      <c r="I76" s="25" t="n"/>
      <c r="J76" s="25" t="n"/>
      <c r="K76" s="25" t="n"/>
      <c r="L76" s="25" t="n"/>
      <c r="M76" s="49" t="n"/>
      <c r="N76" s="49" t="n"/>
      <c r="O76" s="49" t="n"/>
      <c r="P76" s="49" t="n"/>
      <c r="Q76" s="49" t="n"/>
      <c r="R76" s="49" t="n"/>
      <c r="S76" s="50">
        <f>IFERROR(IF(B76="","",VLOOKUP(B76,'Assumptions'!$B$5:$K$104,7,FALSE)),"")</f>
        <v/>
      </c>
      <c r="T76" s="51">
        <f>IFERROR(IF(A76="","",MAX(0,M76-Q76+(N76+O76+P76)*VLOOKUP(B76,'Assumptions'!$B$5:$K$104,8,FALSE))),"")</f>
        <v/>
      </c>
      <c r="U76" s="51">
        <f>IFERROR(IF(A76="","",T76*S76),"")</f>
        <v/>
      </c>
      <c r="V76" s="51">
        <f>IFERROR(IF(A76="","",MAX(0,M76+N76+O76+P76-Q76)),"")</f>
        <v/>
      </c>
      <c r="W76" s="50">
        <f>IFERROR(IF(D76="","",VLOOKUP(D76,'Assumptions'!$U$5:$V$104,2,FALSE)),"")</f>
        <v/>
      </c>
      <c r="X76" s="51">
        <f>IFERROR(IF(A76="","",V76*W76),"")</f>
        <v/>
      </c>
      <c r="Y76" s="50">
        <f>IFERROR(IF(B76="","",VLOOKUP(B76,'Assumptions'!$B$5:$K$104,9,FALSE)),"")</f>
        <v/>
      </c>
      <c r="Z76" s="51">
        <f>IFERROR(IF(A76="","",(V76+U76)*Y76),"")</f>
        <v/>
      </c>
      <c r="AA76" s="50">
        <f>IFERROR(IF(B76="","",VLOOKUP(B76,'Assumptions'!$B$5:$K$104,10,FALSE)),"")</f>
        <v/>
      </c>
      <c r="AB76" s="51">
        <f>IFERROR(IF(A76="","",MAX(0,V76-R76)*AA76),"")</f>
        <v/>
      </c>
      <c r="AC76" s="51">
        <f>IFERROR(IF(A76="","",V76-R76-X76-Z76-AB76),"")</f>
        <v/>
      </c>
      <c r="AD76" s="49" t="n"/>
      <c r="AE76" s="51">
        <f>IFERROR(IF(A76="","",MAX(0,V76+U76-R76-AD76)),"")</f>
        <v/>
      </c>
      <c r="AF76" s="27">
        <f>IFERROR(IF(A76="","",IF(OR(L76="Inquiry",L76="Tentative",L76="Canceled"),"Not Due",IF(AE76=0,"Paid","Balance Due"))),"")</f>
        <v/>
      </c>
      <c r="AG76" s="25" t="n"/>
      <c r="AH76" s="31" t="n"/>
      <c r="AI76" s="27">
        <f>IFERROR(IF(A76="","",IF(OR(F76="",G76=""),"Missing Date",IF(G76&lt;=F76,"Invalid Date","OK"))),"")</f>
        <v/>
      </c>
      <c r="AJ76" s="27">
        <f>IFERROR(IF(OR(A76="",B76="",F76="",G76="",L76="Canceled"),"",IF(COUNTIFS($B$4:$B$153,B76,$F$4:$F$153,"&lt;"&amp;G76,$G$4:$G$153,"&gt;"&amp;F76,$A$4:$A$153,"&lt;&gt;"&amp;A76,$L$4:$L$153,"&lt;&gt;Canceled")&gt;0,"Possible Overlap","OK")),"")</f>
        <v/>
      </c>
      <c r="AK76" s="27">
        <f>IFERROR(IF(COUNTA(A76:G76)=0,"",IF(A76="","Missing Reservation ID",IF(B76="","Missing Property",IF(AND(AE76&gt;='Assumptions'!$B$115,L76&lt;&gt;"Canceled"),"Review Balance",IF(OR(L76="Inquiry",L76="Tentative"),"Review Status","OK"))))),"")</f>
        <v/>
      </c>
    </row>
    <row r="77">
      <c r="A77" s="25" t="n"/>
      <c r="B77" s="25" t="n"/>
      <c r="C77" s="25" t="n"/>
      <c r="D77" s="25" t="n"/>
      <c r="E77" s="26" t="n"/>
      <c r="F77" s="26" t="n"/>
      <c r="G77" s="26" t="n"/>
      <c r="H77" s="27">
        <f>IFERROR(IF(OR(F77="",G77=""),"",MAX(0,G77-F77)),"")</f>
        <v/>
      </c>
      <c r="I77" s="25" t="n"/>
      <c r="J77" s="25" t="n"/>
      <c r="K77" s="25" t="n"/>
      <c r="L77" s="25" t="n"/>
      <c r="M77" s="49" t="n"/>
      <c r="N77" s="49" t="n"/>
      <c r="O77" s="49" t="n"/>
      <c r="P77" s="49" t="n"/>
      <c r="Q77" s="49" t="n"/>
      <c r="R77" s="49" t="n"/>
      <c r="S77" s="50">
        <f>IFERROR(IF(B77="","",VLOOKUP(B77,'Assumptions'!$B$5:$K$104,7,FALSE)),"")</f>
        <v/>
      </c>
      <c r="T77" s="51">
        <f>IFERROR(IF(A77="","",MAX(0,M77-Q77+(N77+O77+P77)*VLOOKUP(B77,'Assumptions'!$B$5:$K$104,8,FALSE))),"")</f>
        <v/>
      </c>
      <c r="U77" s="51">
        <f>IFERROR(IF(A77="","",T77*S77),"")</f>
        <v/>
      </c>
      <c r="V77" s="51">
        <f>IFERROR(IF(A77="","",MAX(0,M77+N77+O77+P77-Q77)),"")</f>
        <v/>
      </c>
      <c r="W77" s="50">
        <f>IFERROR(IF(D77="","",VLOOKUP(D77,'Assumptions'!$U$5:$V$104,2,FALSE)),"")</f>
        <v/>
      </c>
      <c r="X77" s="51">
        <f>IFERROR(IF(A77="","",V77*W77),"")</f>
        <v/>
      </c>
      <c r="Y77" s="50">
        <f>IFERROR(IF(B77="","",VLOOKUP(B77,'Assumptions'!$B$5:$K$104,9,FALSE)),"")</f>
        <v/>
      </c>
      <c r="Z77" s="51">
        <f>IFERROR(IF(A77="","",(V77+U77)*Y77),"")</f>
        <v/>
      </c>
      <c r="AA77" s="50">
        <f>IFERROR(IF(B77="","",VLOOKUP(B77,'Assumptions'!$B$5:$K$104,10,FALSE)),"")</f>
        <v/>
      </c>
      <c r="AB77" s="51">
        <f>IFERROR(IF(A77="","",MAX(0,V77-R77)*AA77),"")</f>
        <v/>
      </c>
      <c r="AC77" s="51">
        <f>IFERROR(IF(A77="","",V77-R77-X77-Z77-AB77),"")</f>
        <v/>
      </c>
      <c r="AD77" s="49" t="n"/>
      <c r="AE77" s="51">
        <f>IFERROR(IF(A77="","",MAX(0,V77+U77-R77-AD77)),"")</f>
        <v/>
      </c>
      <c r="AF77" s="27">
        <f>IFERROR(IF(A77="","",IF(OR(L77="Inquiry",L77="Tentative",L77="Canceled"),"Not Due",IF(AE77=0,"Paid","Balance Due"))),"")</f>
        <v/>
      </c>
      <c r="AG77" s="25" t="n"/>
      <c r="AH77" s="31" t="n"/>
      <c r="AI77" s="27">
        <f>IFERROR(IF(A77="","",IF(OR(F77="",G77=""),"Missing Date",IF(G77&lt;=F77,"Invalid Date","OK"))),"")</f>
        <v/>
      </c>
      <c r="AJ77" s="27">
        <f>IFERROR(IF(OR(A77="",B77="",F77="",G77="",L77="Canceled"),"",IF(COUNTIFS($B$4:$B$153,B77,$F$4:$F$153,"&lt;"&amp;G77,$G$4:$G$153,"&gt;"&amp;F77,$A$4:$A$153,"&lt;&gt;"&amp;A77,$L$4:$L$153,"&lt;&gt;Canceled")&gt;0,"Possible Overlap","OK")),"")</f>
        <v/>
      </c>
      <c r="AK77" s="27">
        <f>IFERROR(IF(COUNTA(A77:G77)=0,"",IF(A77="","Missing Reservation ID",IF(B77="","Missing Property",IF(AND(AE77&gt;='Assumptions'!$B$115,L77&lt;&gt;"Canceled"),"Review Balance",IF(OR(L77="Inquiry",L77="Tentative"),"Review Status","OK"))))),"")</f>
        <v/>
      </c>
    </row>
    <row r="78">
      <c r="A78" s="25" t="n"/>
      <c r="B78" s="25" t="n"/>
      <c r="C78" s="25" t="n"/>
      <c r="D78" s="25" t="n"/>
      <c r="E78" s="26" t="n"/>
      <c r="F78" s="26" t="n"/>
      <c r="G78" s="26" t="n"/>
      <c r="H78" s="27">
        <f>IFERROR(IF(OR(F78="",G78=""),"",MAX(0,G78-F78)),"")</f>
        <v/>
      </c>
      <c r="I78" s="25" t="n"/>
      <c r="J78" s="25" t="n"/>
      <c r="K78" s="25" t="n"/>
      <c r="L78" s="25" t="n"/>
      <c r="M78" s="49" t="n"/>
      <c r="N78" s="49" t="n"/>
      <c r="O78" s="49" t="n"/>
      <c r="P78" s="49" t="n"/>
      <c r="Q78" s="49" t="n"/>
      <c r="R78" s="49" t="n"/>
      <c r="S78" s="50">
        <f>IFERROR(IF(B78="","",VLOOKUP(B78,'Assumptions'!$B$5:$K$104,7,FALSE)),"")</f>
        <v/>
      </c>
      <c r="T78" s="51">
        <f>IFERROR(IF(A78="","",MAX(0,M78-Q78+(N78+O78+P78)*VLOOKUP(B78,'Assumptions'!$B$5:$K$104,8,FALSE))),"")</f>
        <v/>
      </c>
      <c r="U78" s="51">
        <f>IFERROR(IF(A78="","",T78*S78),"")</f>
        <v/>
      </c>
      <c r="V78" s="51">
        <f>IFERROR(IF(A78="","",MAX(0,M78+N78+O78+P78-Q78)),"")</f>
        <v/>
      </c>
      <c r="W78" s="50">
        <f>IFERROR(IF(D78="","",VLOOKUP(D78,'Assumptions'!$U$5:$V$104,2,FALSE)),"")</f>
        <v/>
      </c>
      <c r="X78" s="51">
        <f>IFERROR(IF(A78="","",V78*W78),"")</f>
        <v/>
      </c>
      <c r="Y78" s="50">
        <f>IFERROR(IF(B78="","",VLOOKUP(B78,'Assumptions'!$B$5:$K$104,9,FALSE)),"")</f>
        <v/>
      </c>
      <c r="Z78" s="51">
        <f>IFERROR(IF(A78="","",(V78+U78)*Y78),"")</f>
        <v/>
      </c>
      <c r="AA78" s="50">
        <f>IFERROR(IF(B78="","",VLOOKUP(B78,'Assumptions'!$B$5:$K$104,10,FALSE)),"")</f>
        <v/>
      </c>
      <c r="AB78" s="51">
        <f>IFERROR(IF(A78="","",MAX(0,V78-R78)*AA78),"")</f>
        <v/>
      </c>
      <c r="AC78" s="51">
        <f>IFERROR(IF(A78="","",V78-R78-X78-Z78-AB78),"")</f>
        <v/>
      </c>
      <c r="AD78" s="49" t="n"/>
      <c r="AE78" s="51">
        <f>IFERROR(IF(A78="","",MAX(0,V78+U78-R78-AD78)),"")</f>
        <v/>
      </c>
      <c r="AF78" s="27">
        <f>IFERROR(IF(A78="","",IF(OR(L78="Inquiry",L78="Tentative",L78="Canceled"),"Not Due",IF(AE78=0,"Paid","Balance Due"))),"")</f>
        <v/>
      </c>
      <c r="AG78" s="25" t="n"/>
      <c r="AH78" s="31" t="n"/>
      <c r="AI78" s="27">
        <f>IFERROR(IF(A78="","",IF(OR(F78="",G78=""),"Missing Date",IF(G78&lt;=F78,"Invalid Date","OK"))),"")</f>
        <v/>
      </c>
      <c r="AJ78" s="27">
        <f>IFERROR(IF(OR(A78="",B78="",F78="",G78="",L78="Canceled"),"",IF(COUNTIFS($B$4:$B$153,B78,$F$4:$F$153,"&lt;"&amp;G78,$G$4:$G$153,"&gt;"&amp;F78,$A$4:$A$153,"&lt;&gt;"&amp;A78,$L$4:$L$153,"&lt;&gt;Canceled")&gt;0,"Possible Overlap","OK")),"")</f>
        <v/>
      </c>
      <c r="AK78" s="27">
        <f>IFERROR(IF(COUNTA(A78:G78)=0,"",IF(A78="","Missing Reservation ID",IF(B78="","Missing Property",IF(AND(AE78&gt;='Assumptions'!$B$115,L78&lt;&gt;"Canceled"),"Review Balance",IF(OR(L78="Inquiry",L78="Tentative"),"Review Status","OK"))))),"")</f>
        <v/>
      </c>
    </row>
    <row r="79">
      <c r="A79" s="25" t="n"/>
      <c r="B79" s="25" t="n"/>
      <c r="C79" s="25" t="n"/>
      <c r="D79" s="25" t="n"/>
      <c r="E79" s="26" t="n"/>
      <c r="F79" s="26" t="n"/>
      <c r="G79" s="26" t="n"/>
      <c r="H79" s="27">
        <f>IFERROR(IF(OR(F79="",G79=""),"",MAX(0,G79-F79)),"")</f>
        <v/>
      </c>
      <c r="I79" s="25" t="n"/>
      <c r="J79" s="25" t="n"/>
      <c r="K79" s="25" t="n"/>
      <c r="L79" s="25" t="n"/>
      <c r="M79" s="49" t="n"/>
      <c r="N79" s="49" t="n"/>
      <c r="O79" s="49" t="n"/>
      <c r="P79" s="49" t="n"/>
      <c r="Q79" s="49" t="n"/>
      <c r="R79" s="49" t="n"/>
      <c r="S79" s="50">
        <f>IFERROR(IF(B79="","",VLOOKUP(B79,'Assumptions'!$B$5:$K$104,7,FALSE)),"")</f>
        <v/>
      </c>
      <c r="T79" s="51">
        <f>IFERROR(IF(A79="","",MAX(0,M79-Q79+(N79+O79+P79)*VLOOKUP(B79,'Assumptions'!$B$5:$K$104,8,FALSE))),"")</f>
        <v/>
      </c>
      <c r="U79" s="51">
        <f>IFERROR(IF(A79="","",T79*S79),"")</f>
        <v/>
      </c>
      <c r="V79" s="51">
        <f>IFERROR(IF(A79="","",MAX(0,M79+N79+O79+P79-Q79)),"")</f>
        <v/>
      </c>
      <c r="W79" s="50">
        <f>IFERROR(IF(D79="","",VLOOKUP(D79,'Assumptions'!$U$5:$V$104,2,FALSE)),"")</f>
        <v/>
      </c>
      <c r="X79" s="51">
        <f>IFERROR(IF(A79="","",V79*W79),"")</f>
        <v/>
      </c>
      <c r="Y79" s="50">
        <f>IFERROR(IF(B79="","",VLOOKUP(B79,'Assumptions'!$B$5:$K$104,9,FALSE)),"")</f>
        <v/>
      </c>
      <c r="Z79" s="51">
        <f>IFERROR(IF(A79="","",(V79+U79)*Y79),"")</f>
        <v/>
      </c>
      <c r="AA79" s="50">
        <f>IFERROR(IF(B79="","",VLOOKUP(B79,'Assumptions'!$B$5:$K$104,10,FALSE)),"")</f>
        <v/>
      </c>
      <c r="AB79" s="51">
        <f>IFERROR(IF(A79="","",MAX(0,V79-R79)*AA79),"")</f>
        <v/>
      </c>
      <c r="AC79" s="51">
        <f>IFERROR(IF(A79="","",V79-R79-X79-Z79-AB79),"")</f>
        <v/>
      </c>
      <c r="AD79" s="49" t="n"/>
      <c r="AE79" s="51">
        <f>IFERROR(IF(A79="","",MAX(0,V79+U79-R79-AD79)),"")</f>
        <v/>
      </c>
      <c r="AF79" s="27">
        <f>IFERROR(IF(A79="","",IF(OR(L79="Inquiry",L79="Tentative",L79="Canceled"),"Not Due",IF(AE79=0,"Paid","Balance Due"))),"")</f>
        <v/>
      </c>
      <c r="AG79" s="25" t="n"/>
      <c r="AH79" s="31" t="n"/>
      <c r="AI79" s="27">
        <f>IFERROR(IF(A79="","",IF(OR(F79="",G79=""),"Missing Date",IF(G79&lt;=F79,"Invalid Date","OK"))),"")</f>
        <v/>
      </c>
      <c r="AJ79" s="27">
        <f>IFERROR(IF(OR(A79="",B79="",F79="",G79="",L79="Canceled"),"",IF(COUNTIFS($B$4:$B$153,B79,$F$4:$F$153,"&lt;"&amp;G79,$G$4:$G$153,"&gt;"&amp;F79,$A$4:$A$153,"&lt;&gt;"&amp;A79,$L$4:$L$153,"&lt;&gt;Canceled")&gt;0,"Possible Overlap","OK")),"")</f>
        <v/>
      </c>
      <c r="AK79" s="27">
        <f>IFERROR(IF(COUNTA(A79:G79)=0,"",IF(A79="","Missing Reservation ID",IF(B79="","Missing Property",IF(AND(AE79&gt;='Assumptions'!$B$115,L79&lt;&gt;"Canceled"),"Review Balance",IF(OR(L79="Inquiry",L79="Tentative"),"Review Status","OK"))))),"")</f>
        <v/>
      </c>
    </row>
    <row r="80">
      <c r="A80" s="25" t="n"/>
      <c r="B80" s="25" t="n"/>
      <c r="C80" s="25" t="n"/>
      <c r="D80" s="25" t="n"/>
      <c r="E80" s="26" t="n"/>
      <c r="F80" s="26" t="n"/>
      <c r="G80" s="26" t="n"/>
      <c r="H80" s="27">
        <f>IFERROR(IF(OR(F80="",G80=""),"",MAX(0,G80-F80)),"")</f>
        <v/>
      </c>
      <c r="I80" s="25" t="n"/>
      <c r="J80" s="25" t="n"/>
      <c r="K80" s="25" t="n"/>
      <c r="L80" s="25" t="n"/>
      <c r="M80" s="49" t="n"/>
      <c r="N80" s="49" t="n"/>
      <c r="O80" s="49" t="n"/>
      <c r="P80" s="49" t="n"/>
      <c r="Q80" s="49" t="n"/>
      <c r="R80" s="49" t="n"/>
      <c r="S80" s="50">
        <f>IFERROR(IF(B80="","",VLOOKUP(B80,'Assumptions'!$B$5:$K$104,7,FALSE)),"")</f>
        <v/>
      </c>
      <c r="T80" s="51">
        <f>IFERROR(IF(A80="","",MAX(0,M80-Q80+(N80+O80+P80)*VLOOKUP(B80,'Assumptions'!$B$5:$K$104,8,FALSE))),"")</f>
        <v/>
      </c>
      <c r="U80" s="51">
        <f>IFERROR(IF(A80="","",T80*S80),"")</f>
        <v/>
      </c>
      <c r="V80" s="51">
        <f>IFERROR(IF(A80="","",MAX(0,M80+N80+O80+P80-Q80)),"")</f>
        <v/>
      </c>
      <c r="W80" s="50">
        <f>IFERROR(IF(D80="","",VLOOKUP(D80,'Assumptions'!$U$5:$V$104,2,FALSE)),"")</f>
        <v/>
      </c>
      <c r="X80" s="51">
        <f>IFERROR(IF(A80="","",V80*W80),"")</f>
        <v/>
      </c>
      <c r="Y80" s="50">
        <f>IFERROR(IF(B80="","",VLOOKUP(B80,'Assumptions'!$B$5:$K$104,9,FALSE)),"")</f>
        <v/>
      </c>
      <c r="Z80" s="51">
        <f>IFERROR(IF(A80="","",(V80+U80)*Y80),"")</f>
        <v/>
      </c>
      <c r="AA80" s="50">
        <f>IFERROR(IF(B80="","",VLOOKUP(B80,'Assumptions'!$B$5:$K$104,10,FALSE)),"")</f>
        <v/>
      </c>
      <c r="AB80" s="51">
        <f>IFERROR(IF(A80="","",MAX(0,V80-R80)*AA80),"")</f>
        <v/>
      </c>
      <c r="AC80" s="51">
        <f>IFERROR(IF(A80="","",V80-R80-X80-Z80-AB80),"")</f>
        <v/>
      </c>
      <c r="AD80" s="49" t="n"/>
      <c r="AE80" s="51">
        <f>IFERROR(IF(A80="","",MAX(0,V80+U80-R80-AD80)),"")</f>
        <v/>
      </c>
      <c r="AF80" s="27">
        <f>IFERROR(IF(A80="","",IF(OR(L80="Inquiry",L80="Tentative",L80="Canceled"),"Not Due",IF(AE80=0,"Paid","Balance Due"))),"")</f>
        <v/>
      </c>
      <c r="AG80" s="25" t="n"/>
      <c r="AH80" s="31" t="n"/>
      <c r="AI80" s="27">
        <f>IFERROR(IF(A80="","",IF(OR(F80="",G80=""),"Missing Date",IF(G80&lt;=F80,"Invalid Date","OK"))),"")</f>
        <v/>
      </c>
      <c r="AJ80" s="27">
        <f>IFERROR(IF(OR(A80="",B80="",F80="",G80="",L80="Canceled"),"",IF(COUNTIFS($B$4:$B$153,B80,$F$4:$F$153,"&lt;"&amp;G80,$G$4:$G$153,"&gt;"&amp;F80,$A$4:$A$153,"&lt;&gt;"&amp;A80,$L$4:$L$153,"&lt;&gt;Canceled")&gt;0,"Possible Overlap","OK")),"")</f>
        <v/>
      </c>
      <c r="AK80" s="27">
        <f>IFERROR(IF(COUNTA(A80:G80)=0,"",IF(A80="","Missing Reservation ID",IF(B80="","Missing Property",IF(AND(AE80&gt;='Assumptions'!$B$115,L80&lt;&gt;"Canceled"),"Review Balance",IF(OR(L80="Inquiry",L80="Tentative"),"Review Status","OK"))))),"")</f>
        <v/>
      </c>
    </row>
    <row r="81">
      <c r="A81" s="25" t="n"/>
      <c r="B81" s="25" t="n"/>
      <c r="C81" s="25" t="n"/>
      <c r="D81" s="25" t="n"/>
      <c r="E81" s="26" t="n"/>
      <c r="F81" s="26" t="n"/>
      <c r="G81" s="26" t="n"/>
      <c r="H81" s="27">
        <f>IFERROR(IF(OR(F81="",G81=""),"",MAX(0,G81-F81)),"")</f>
        <v/>
      </c>
      <c r="I81" s="25" t="n"/>
      <c r="J81" s="25" t="n"/>
      <c r="K81" s="25" t="n"/>
      <c r="L81" s="25" t="n"/>
      <c r="M81" s="49" t="n"/>
      <c r="N81" s="49" t="n"/>
      <c r="O81" s="49" t="n"/>
      <c r="P81" s="49" t="n"/>
      <c r="Q81" s="49" t="n"/>
      <c r="R81" s="49" t="n"/>
      <c r="S81" s="50">
        <f>IFERROR(IF(B81="","",VLOOKUP(B81,'Assumptions'!$B$5:$K$104,7,FALSE)),"")</f>
        <v/>
      </c>
      <c r="T81" s="51">
        <f>IFERROR(IF(A81="","",MAX(0,M81-Q81+(N81+O81+P81)*VLOOKUP(B81,'Assumptions'!$B$5:$K$104,8,FALSE))),"")</f>
        <v/>
      </c>
      <c r="U81" s="51">
        <f>IFERROR(IF(A81="","",T81*S81),"")</f>
        <v/>
      </c>
      <c r="V81" s="51">
        <f>IFERROR(IF(A81="","",MAX(0,M81+N81+O81+P81-Q81)),"")</f>
        <v/>
      </c>
      <c r="W81" s="50">
        <f>IFERROR(IF(D81="","",VLOOKUP(D81,'Assumptions'!$U$5:$V$104,2,FALSE)),"")</f>
        <v/>
      </c>
      <c r="X81" s="51">
        <f>IFERROR(IF(A81="","",V81*W81),"")</f>
        <v/>
      </c>
      <c r="Y81" s="50">
        <f>IFERROR(IF(B81="","",VLOOKUP(B81,'Assumptions'!$B$5:$K$104,9,FALSE)),"")</f>
        <v/>
      </c>
      <c r="Z81" s="51">
        <f>IFERROR(IF(A81="","",(V81+U81)*Y81),"")</f>
        <v/>
      </c>
      <c r="AA81" s="50">
        <f>IFERROR(IF(B81="","",VLOOKUP(B81,'Assumptions'!$B$5:$K$104,10,FALSE)),"")</f>
        <v/>
      </c>
      <c r="AB81" s="51">
        <f>IFERROR(IF(A81="","",MAX(0,V81-R81)*AA81),"")</f>
        <v/>
      </c>
      <c r="AC81" s="51">
        <f>IFERROR(IF(A81="","",V81-R81-X81-Z81-AB81),"")</f>
        <v/>
      </c>
      <c r="AD81" s="49" t="n"/>
      <c r="AE81" s="51">
        <f>IFERROR(IF(A81="","",MAX(0,V81+U81-R81-AD81)),"")</f>
        <v/>
      </c>
      <c r="AF81" s="27">
        <f>IFERROR(IF(A81="","",IF(OR(L81="Inquiry",L81="Tentative",L81="Canceled"),"Not Due",IF(AE81=0,"Paid","Balance Due"))),"")</f>
        <v/>
      </c>
      <c r="AG81" s="25" t="n"/>
      <c r="AH81" s="31" t="n"/>
      <c r="AI81" s="27">
        <f>IFERROR(IF(A81="","",IF(OR(F81="",G81=""),"Missing Date",IF(G81&lt;=F81,"Invalid Date","OK"))),"")</f>
        <v/>
      </c>
      <c r="AJ81" s="27">
        <f>IFERROR(IF(OR(A81="",B81="",F81="",G81="",L81="Canceled"),"",IF(COUNTIFS($B$4:$B$153,B81,$F$4:$F$153,"&lt;"&amp;G81,$G$4:$G$153,"&gt;"&amp;F81,$A$4:$A$153,"&lt;&gt;"&amp;A81,$L$4:$L$153,"&lt;&gt;Canceled")&gt;0,"Possible Overlap","OK")),"")</f>
        <v/>
      </c>
      <c r="AK81" s="27">
        <f>IFERROR(IF(COUNTA(A81:G81)=0,"",IF(A81="","Missing Reservation ID",IF(B81="","Missing Property",IF(AND(AE81&gt;='Assumptions'!$B$115,L81&lt;&gt;"Canceled"),"Review Balance",IF(OR(L81="Inquiry",L81="Tentative"),"Review Status","OK"))))),"")</f>
        <v/>
      </c>
    </row>
    <row r="82">
      <c r="A82" s="25" t="n"/>
      <c r="B82" s="25" t="n"/>
      <c r="C82" s="25" t="n"/>
      <c r="D82" s="25" t="n"/>
      <c r="E82" s="26" t="n"/>
      <c r="F82" s="26" t="n"/>
      <c r="G82" s="26" t="n"/>
      <c r="H82" s="27">
        <f>IFERROR(IF(OR(F82="",G82=""),"",MAX(0,G82-F82)),"")</f>
        <v/>
      </c>
      <c r="I82" s="25" t="n"/>
      <c r="J82" s="25" t="n"/>
      <c r="K82" s="25" t="n"/>
      <c r="L82" s="25" t="n"/>
      <c r="M82" s="49" t="n"/>
      <c r="N82" s="49" t="n"/>
      <c r="O82" s="49" t="n"/>
      <c r="P82" s="49" t="n"/>
      <c r="Q82" s="49" t="n"/>
      <c r="R82" s="49" t="n"/>
      <c r="S82" s="50">
        <f>IFERROR(IF(B82="","",VLOOKUP(B82,'Assumptions'!$B$5:$K$104,7,FALSE)),"")</f>
        <v/>
      </c>
      <c r="T82" s="51">
        <f>IFERROR(IF(A82="","",MAX(0,M82-Q82+(N82+O82+P82)*VLOOKUP(B82,'Assumptions'!$B$5:$K$104,8,FALSE))),"")</f>
        <v/>
      </c>
      <c r="U82" s="51">
        <f>IFERROR(IF(A82="","",T82*S82),"")</f>
        <v/>
      </c>
      <c r="V82" s="51">
        <f>IFERROR(IF(A82="","",MAX(0,M82+N82+O82+P82-Q82)),"")</f>
        <v/>
      </c>
      <c r="W82" s="50">
        <f>IFERROR(IF(D82="","",VLOOKUP(D82,'Assumptions'!$U$5:$V$104,2,FALSE)),"")</f>
        <v/>
      </c>
      <c r="X82" s="51">
        <f>IFERROR(IF(A82="","",V82*W82),"")</f>
        <v/>
      </c>
      <c r="Y82" s="50">
        <f>IFERROR(IF(B82="","",VLOOKUP(B82,'Assumptions'!$B$5:$K$104,9,FALSE)),"")</f>
        <v/>
      </c>
      <c r="Z82" s="51">
        <f>IFERROR(IF(A82="","",(V82+U82)*Y82),"")</f>
        <v/>
      </c>
      <c r="AA82" s="50">
        <f>IFERROR(IF(B82="","",VLOOKUP(B82,'Assumptions'!$B$5:$K$104,10,FALSE)),"")</f>
        <v/>
      </c>
      <c r="AB82" s="51">
        <f>IFERROR(IF(A82="","",MAX(0,V82-R82)*AA82),"")</f>
        <v/>
      </c>
      <c r="AC82" s="51">
        <f>IFERROR(IF(A82="","",V82-R82-X82-Z82-AB82),"")</f>
        <v/>
      </c>
      <c r="AD82" s="49" t="n"/>
      <c r="AE82" s="51">
        <f>IFERROR(IF(A82="","",MAX(0,V82+U82-R82-AD82)),"")</f>
        <v/>
      </c>
      <c r="AF82" s="27">
        <f>IFERROR(IF(A82="","",IF(OR(L82="Inquiry",L82="Tentative",L82="Canceled"),"Not Due",IF(AE82=0,"Paid","Balance Due"))),"")</f>
        <v/>
      </c>
      <c r="AG82" s="25" t="n"/>
      <c r="AH82" s="31" t="n"/>
      <c r="AI82" s="27">
        <f>IFERROR(IF(A82="","",IF(OR(F82="",G82=""),"Missing Date",IF(G82&lt;=F82,"Invalid Date","OK"))),"")</f>
        <v/>
      </c>
      <c r="AJ82" s="27">
        <f>IFERROR(IF(OR(A82="",B82="",F82="",G82="",L82="Canceled"),"",IF(COUNTIFS($B$4:$B$153,B82,$F$4:$F$153,"&lt;"&amp;G82,$G$4:$G$153,"&gt;"&amp;F82,$A$4:$A$153,"&lt;&gt;"&amp;A82,$L$4:$L$153,"&lt;&gt;Canceled")&gt;0,"Possible Overlap","OK")),"")</f>
        <v/>
      </c>
      <c r="AK82" s="27">
        <f>IFERROR(IF(COUNTA(A82:G82)=0,"",IF(A82="","Missing Reservation ID",IF(B82="","Missing Property",IF(AND(AE82&gt;='Assumptions'!$B$115,L82&lt;&gt;"Canceled"),"Review Balance",IF(OR(L82="Inquiry",L82="Tentative"),"Review Status","OK"))))),"")</f>
        <v/>
      </c>
    </row>
    <row r="83">
      <c r="A83" s="25" t="n"/>
      <c r="B83" s="25" t="n"/>
      <c r="C83" s="25" t="n"/>
      <c r="D83" s="25" t="n"/>
      <c r="E83" s="26" t="n"/>
      <c r="F83" s="26" t="n"/>
      <c r="G83" s="26" t="n"/>
      <c r="H83" s="27">
        <f>IFERROR(IF(OR(F83="",G83=""),"",MAX(0,G83-F83)),"")</f>
        <v/>
      </c>
      <c r="I83" s="25" t="n"/>
      <c r="J83" s="25" t="n"/>
      <c r="K83" s="25" t="n"/>
      <c r="L83" s="25" t="n"/>
      <c r="M83" s="49" t="n"/>
      <c r="N83" s="49" t="n"/>
      <c r="O83" s="49" t="n"/>
      <c r="P83" s="49" t="n"/>
      <c r="Q83" s="49" t="n"/>
      <c r="R83" s="49" t="n"/>
      <c r="S83" s="50">
        <f>IFERROR(IF(B83="","",VLOOKUP(B83,'Assumptions'!$B$5:$K$104,7,FALSE)),"")</f>
        <v/>
      </c>
      <c r="T83" s="51">
        <f>IFERROR(IF(A83="","",MAX(0,M83-Q83+(N83+O83+P83)*VLOOKUP(B83,'Assumptions'!$B$5:$K$104,8,FALSE))),"")</f>
        <v/>
      </c>
      <c r="U83" s="51">
        <f>IFERROR(IF(A83="","",T83*S83),"")</f>
        <v/>
      </c>
      <c r="V83" s="51">
        <f>IFERROR(IF(A83="","",MAX(0,M83+N83+O83+P83-Q83)),"")</f>
        <v/>
      </c>
      <c r="W83" s="50">
        <f>IFERROR(IF(D83="","",VLOOKUP(D83,'Assumptions'!$U$5:$V$104,2,FALSE)),"")</f>
        <v/>
      </c>
      <c r="X83" s="51">
        <f>IFERROR(IF(A83="","",V83*W83),"")</f>
        <v/>
      </c>
      <c r="Y83" s="50">
        <f>IFERROR(IF(B83="","",VLOOKUP(B83,'Assumptions'!$B$5:$K$104,9,FALSE)),"")</f>
        <v/>
      </c>
      <c r="Z83" s="51">
        <f>IFERROR(IF(A83="","",(V83+U83)*Y83),"")</f>
        <v/>
      </c>
      <c r="AA83" s="50">
        <f>IFERROR(IF(B83="","",VLOOKUP(B83,'Assumptions'!$B$5:$K$104,10,FALSE)),"")</f>
        <v/>
      </c>
      <c r="AB83" s="51">
        <f>IFERROR(IF(A83="","",MAX(0,V83-R83)*AA83),"")</f>
        <v/>
      </c>
      <c r="AC83" s="51">
        <f>IFERROR(IF(A83="","",V83-R83-X83-Z83-AB83),"")</f>
        <v/>
      </c>
      <c r="AD83" s="49" t="n"/>
      <c r="AE83" s="51">
        <f>IFERROR(IF(A83="","",MAX(0,V83+U83-R83-AD83)),"")</f>
        <v/>
      </c>
      <c r="AF83" s="27">
        <f>IFERROR(IF(A83="","",IF(OR(L83="Inquiry",L83="Tentative",L83="Canceled"),"Not Due",IF(AE83=0,"Paid","Balance Due"))),"")</f>
        <v/>
      </c>
      <c r="AG83" s="25" t="n"/>
      <c r="AH83" s="31" t="n"/>
      <c r="AI83" s="27">
        <f>IFERROR(IF(A83="","",IF(OR(F83="",G83=""),"Missing Date",IF(G83&lt;=F83,"Invalid Date","OK"))),"")</f>
        <v/>
      </c>
      <c r="AJ83" s="27">
        <f>IFERROR(IF(OR(A83="",B83="",F83="",G83="",L83="Canceled"),"",IF(COUNTIFS($B$4:$B$153,B83,$F$4:$F$153,"&lt;"&amp;G83,$G$4:$G$153,"&gt;"&amp;F83,$A$4:$A$153,"&lt;&gt;"&amp;A83,$L$4:$L$153,"&lt;&gt;Canceled")&gt;0,"Possible Overlap","OK")),"")</f>
        <v/>
      </c>
      <c r="AK83" s="27">
        <f>IFERROR(IF(COUNTA(A83:G83)=0,"",IF(A83="","Missing Reservation ID",IF(B83="","Missing Property",IF(AND(AE83&gt;='Assumptions'!$B$115,L83&lt;&gt;"Canceled"),"Review Balance",IF(OR(L83="Inquiry",L83="Tentative"),"Review Status","OK"))))),"")</f>
        <v/>
      </c>
    </row>
    <row r="84">
      <c r="A84" s="25" t="n"/>
      <c r="B84" s="25" t="n"/>
      <c r="C84" s="25" t="n"/>
      <c r="D84" s="25" t="n"/>
      <c r="E84" s="26" t="n"/>
      <c r="F84" s="26" t="n"/>
      <c r="G84" s="26" t="n"/>
      <c r="H84" s="27">
        <f>IFERROR(IF(OR(F84="",G84=""),"",MAX(0,G84-F84)),"")</f>
        <v/>
      </c>
      <c r="I84" s="25" t="n"/>
      <c r="J84" s="25" t="n"/>
      <c r="K84" s="25" t="n"/>
      <c r="L84" s="25" t="n"/>
      <c r="M84" s="49" t="n"/>
      <c r="N84" s="49" t="n"/>
      <c r="O84" s="49" t="n"/>
      <c r="P84" s="49" t="n"/>
      <c r="Q84" s="49" t="n"/>
      <c r="R84" s="49" t="n"/>
      <c r="S84" s="50">
        <f>IFERROR(IF(B84="","",VLOOKUP(B84,'Assumptions'!$B$5:$K$104,7,FALSE)),"")</f>
        <v/>
      </c>
      <c r="T84" s="51">
        <f>IFERROR(IF(A84="","",MAX(0,M84-Q84+(N84+O84+P84)*VLOOKUP(B84,'Assumptions'!$B$5:$K$104,8,FALSE))),"")</f>
        <v/>
      </c>
      <c r="U84" s="51">
        <f>IFERROR(IF(A84="","",T84*S84),"")</f>
        <v/>
      </c>
      <c r="V84" s="51">
        <f>IFERROR(IF(A84="","",MAX(0,M84+N84+O84+P84-Q84)),"")</f>
        <v/>
      </c>
      <c r="W84" s="50">
        <f>IFERROR(IF(D84="","",VLOOKUP(D84,'Assumptions'!$U$5:$V$104,2,FALSE)),"")</f>
        <v/>
      </c>
      <c r="X84" s="51">
        <f>IFERROR(IF(A84="","",V84*W84),"")</f>
        <v/>
      </c>
      <c r="Y84" s="50">
        <f>IFERROR(IF(B84="","",VLOOKUP(B84,'Assumptions'!$B$5:$K$104,9,FALSE)),"")</f>
        <v/>
      </c>
      <c r="Z84" s="51">
        <f>IFERROR(IF(A84="","",(V84+U84)*Y84),"")</f>
        <v/>
      </c>
      <c r="AA84" s="50">
        <f>IFERROR(IF(B84="","",VLOOKUP(B84,'Assumptions'!$B$5:$K$104,10,FALSE)),"")</f>
        <v/>
      </c>
      <c r="AB84" s="51">
        <f>IFERROR(IF(A84="","",MAX(0,V84-R84)*AA84),"")</f>
        <v/>
      </c>
      <c r="AC84" s="51">
        <f>IFERROR(IF(A84="","",V84-R84-X84-Z84-AB84),"")</f>
        <v/>
      </c>
      <c r="AD84" s="49" t="n"/>
      <c r="AE84" s="51">
        <f>IFERROR(IF(A84="","",MAX(0,V84+U84-R84-AD84)),"")</f>
        <v/>
      </c>
      <c r="AF84" s="27">
        <f>IFERROR(IF(A84="","",IF(OR(L84="Inquiry",L84="Tentative",L84="Canceled"),"Not Due",IF(AE84=0,"Paid","Balance Due"))),"")</f>
        <v/>
      </c>
      <c r="AG84" s="25" t="n"/>
      <c r="AH84" s="31" t="n"/>
      <c r="AI84" s="27">
        <f>IFERROR(IF(A84="","",IF(OR(F84="",G84=""),"Missing Date",IF(G84&lt;=F84,"Invalid Date","OK"))),"")</f>
        <v/>
      </c>
      <c r="AJ84" s="27">
        <f>IFERROR(IF(OR(A84="",B84="",F84="",G84="",L84="Canceled"),"",IF(COUNTIFS($B$4:$B$153,B84,$F$4:$F$153,"&lt;"&amp;G84,$G$4:$G$153,"&gt;"&amp;F84,$A$4:$A$153,"&lt;&gt;"&amp;A84,$L$4:$L$153,"&lt;&gt;Canceled")&gt;0,"Possible Overlap","OK")),"")</f>
        <v/>
      </c>
      <c r="AK84" s="27">
        <f>IFERROR(IF(COUNTA(A84:G84)=0,"",IF(A84="","Missing Reservation ID",IF(B84="","Missing Property",IF(AND(AE84&gt;='Assumptions'!$B$115,L84&lt;&gt;"Canceled"),"Review Balance",IF(OR(L84="Inquiry",L84="Tentative"),"Review Status","OK"))))),"")</f>
        <v/>
      </c>
    </row>
    <row r="85">
      <c r="A85" s="25" t="n"/>
      <c r="B85" s="25" t="n"/>
      <c r="C85" s="25" t="n"/>
      <c r="D85" s="25" t="n"/>
      <c r="E85" s="26" t="n"/>
      <c r="F85" s="26" t="n"/>
      <c r="G85" s="26" t="n"/>
      <c r="H85" s="27">
        <f>IFERROR(IF(OR(F85="",G85=""),"",MAX(0,G85-F85)),"")</f>
        <v/>
      </c>
      <c r="I85" s="25" t="n"/>
      <c r="J85" s="25" t="n"/>
      <c r="K85" s="25" t="n"/>
      <c r="L85" s="25" t="n"/>
      <c r="M85" s="49" t="n"/>
      <c r="N85" s="49" t="n"/>
      <c r="O85" s="49" t="n"/>
      <c r="P85" s="49" t="n"/>
      <c r="Q85" s="49" t="n"/>
      <c r="R85" s="49" t="n"/>
      <c r="S85" s="50">
        <f>IFERROR(IF(B85="","",VLOOKUP(B85,'Assumptions'!$B$5:$K$104,7,FALSE)),"")</f>
        <v/>
      </c>
      <c r="T85" s="51">
        <f>IFERROR(IF(A85="","",MAX(0,M85-Q85+(N85+O85+P85)*VLOOKUP(B85,'Assumptions'!$B$5:$K$104,8,FALSE))),"")</f>
        <v/>
      </c>
      <c r="U85" s="51">
        <f>IFERROR(IF(A85="","",T85*S85),"")</f>
        <v/>
      </c>
      <c r="V85" s="51">
        <f>IFERROR(IF(A85="","",MAX(0,M85+N85+O85+P85-Q85)),"")</f>
        <v/>
      </c>
      <c r="W85" s="50">
        <f>IFERROR(IF(D85="","",VLOOKUP(D85,'Assumptions'!$U$5:$V$104,2,FALSE)),"")</f>
        <v/>
      </c>
      <c r="X85" s="51">
        <f>IFERROR(IF(A85="","",V85*W85),"")</f>
        <v/>
      </c>
      <c r="Y85" s="50">
        <f>IFERROR(IF(B85="","",VLOOKUP(B85,'Assumptions'!$B$5:$K$104,9,FALSE)),"")</f>
        <v/>
      </c>
      <c r="Z85" s="51">
        <f>IFERROR(IF(A85="","",(V85+U85)*Y85),"")</f>
        <v/>
      </c>
      <c r="AA85" s="50">
        <f>IFERROR(IF(B85="","",VLOOKUP(B85,'Assumptions'!$B$5:$K$104,10,FALSE)),"")</f>
        <v/>
      </c>
      <c r="AB85" s="51">
        <f>IFERROR(IF(A85="","",MAX(0,V85-R85)*AA85),"")</f>
        <v/>
      </c>
      <c r="AC85" s="51">
        <f>IFERROR(IF(A85="","",V85-R85-X85-Z85-AB85),"")</f>
        <v/>
      </c>
      <c r="AD85" s="49" t="n"/>
      <c r="AE85" s="51">
        <f>IFERROR(IF(A85="","",MAX(0,V85+U85-R85-AD85)),"")</f>
        <v/>
      </c>
      <c r="AF85" s="27">
        <f>IFERROR(IF(A85="","",IF(OR(L85="Inquiry",L85="Tentative",L85="Canceled"),"Not Due",IF(AE85=0,"Paid","Balance Due"))),"")</f>
        <v/>
      </c>
      <c r="AG85" s="25" t="n"/>
      <c r="AH85" s="31" t="n"/>
      <c r="AI85" s="27">
        <f>IFERROR(IF(A85="","",IF(OR(F85="",G85=""),"Missing Date",IF(G85&lt;=F85,"Invalid Date","OK"))),"")</f>
        <v/>
      </c>
      <c r="AJ85" s="27">
        <f>IFERROR(IF(OR(A85="",B85="",F85="",G85="",L85="Canceled"),"",IF(COUNTIFS($B$4:$B$153,B85,$F$4:$F$153,"&lt;"&amp;G85,$G$4:$G$153,"&gt;"&amp;F85,$A$4:$A$153,"&lt;&gt;"&amp;A85,$L$4:$L$153,"&lt;&gt;Canceled")&gt;0,"Possible Overlap","OK")),"")</f>
        <v/>
      </c>
      <c r="AK85" s="27">
        <f>IFERROR(IF(COUNTA(A85:G85)=0,"",IF(A85="","Missing Reservation ID",IF(B85="","Missing Property",IF(AND(AE85&gt;='Assumptions'!$B$115,L85&lt;&gt;"Canceled"),"Review Balance",IF(OR(L85="Inquiry",L85="Tentative"),"Review Status","OK"))))),"")</f>
        <v/>
      </c>
    </row>
    <row r="86">
      <c r="A86" s="25" t="n"/>
      <c r="B86" s="25" t="n"/>
      <c r="C86" s="25" t="n"/>
      <c r="D86" s="25" t="n"/>
      <c r="E86" s="26" t="n"/>
      <c r="F86" s="26" t="n"/>
      <c r="G86" s="26" t="n"/>
      <c r="H86" s="27">
        <f>IFERROR(IF(OR(F86="",G86=""),"",MAX(0,G86-F86)),"")</f>
        <v/>
      </c>
      <c r="I86" s="25" t="n"/>
      <c r="J86" s="25" t="n"/>
      <c r="K86" s="25" t="n"/>
      <c r="L86" s="25" t="n"/>
      <c r="M86" s="49" t="n"/>
      <c r="N86" s="49" t="n"/>
      <c r="O86" s="49" t="n"/>
      <c r="P86" s="49" t="n"/>
      <c r="Q86" s="49" t="n"/>
      <c r="R86" s="49" t="n"/>
      <c r="S86" s="50">
        <f>IFERROR(IF(B86="","",VLOOKUP(B86,'Assumptions'!$B$5:$K$104,7,FALSE)),"")</f>
        <v/>
      </c>
      <c r="T86" s="51">
        <f>IFERROR(IF(A86="","",MAX(0,M86-Q86+(N86+O86+P86)*VLOOKUP(B86,'Assumptions'!$B$5:$K$104,8,FALSE))),"")</f>
        <v/>
      </c>
      <c r="U86" s="51">
        <f>IFERROR(IF(A86="","",T86*S86),"")</f>
        <v/>
      </c>
      <c r="V86" s="51">
        <f>IFERROR(IF(A86="","",MAX(0,M86+N86+O86+P86-Q86)),"")</f>
        <v/>
      </c>
      <c r="W86" s="50">
        <f>IFERROR(IF(D86="","",VLOOKUP(D86,'Assumptions'!$U$5:$V$104,2,FALSE)),"")</f>
        <v/>
      </c>
      <c r="X86" s="51">
        <f>IFERROR(IF(A86="","",V86*W86),"")</f>
        <v/>
      </c>
      <c r="Y86" s="50">
        <f>IFERROR(IF(B86="","",VLOOKUP(B86,'Assumptions'!$B$5:$K$104,9,FALSE)),"")</f>
        <v/>
      </c>
      <c r="Z86" s="51">
        <f>IFERROR(IF(A86="","",(V86+U86)*Y86),"")</f>
        <v/>
      </c>
      <c r="AA86" s="50">
        <f>IFERROR(IF(B86="","",VLOOKUP(B86,'Assumptions'!$B$5:$K$104,10,FALSE)),"")</f>
        <v/>
      </c>
      <c r="AB86" s="51">
        <f>IFERROR(IF(A86="","",MAX(0,V86-R86)*AA86),"")</f>
        <v/>
      </c>
      <c r="AC86" s="51">
        <f>IFERROR(IF(A86="","",V86-R86-X86-Z86-AB86),"")</f>
        <v/>
      </c>
      <c r="AD86" s="49" t="n"/>
      <c r="AE86" s="51">
        <f>IFERROR(IF(A86="","",MAX(0,V86+U86-R86-AD86)),"")</f>
        <v/>
      </c>
      <c r="AF86" s="27">
        <f>IFERROR(IF(A86="","",IF(OR(L86="Inquiry",L86="Tentative",L86="Canceled"),"Not Due",IF(AE86=0,"Paid","Balance Due"))),"")</f>
        <v/>
      </c>
      <c r="AG86" s="25" t="n"/>
      <c r="AH86" s="31" t="n"/>
      <c r="AI86" s="27">
        <f>IFERROR(IF(A86="","",IF(OR(F86="",G86=""),"Missing Date",IF(G86&lt;=F86,"Invalid Date","OK"))),"")</f>
        <v/>
      </c>
      <c r="AJ86" s="27">
        <f>IFERROR(IF(OR(A86="",B86="",F86="",G86="",L86="Canceled"),"",IF(COUNTIFS($B$4:$B$153,B86,$F$4:$F$153,"&lt;"&amp;G86,$G$4:$G$153,"&gt;"&amp;F86,$A$4:$A$153,"&lt;&gt;"&amp;A86,$L$4:$L$153,"&lt;&gt;Canceled")&gt;0,"Possible Overlap","OK")),"")</f>
        <v/>
      </c>
      <c r="AK86" s="27">
        <f>IFERROR(IF(COUNTA(A86:G86)=0,"",IF(A86="","Missing Reservation ID",IF(B86="","Missing Property",IF(AND(AE86&gt;='Assumptions'!$B$115,L86&lt;&gt;"Canceled"),"Review Balance",IF(OR(L86="Inquiry",L86="Tentative"),"Review Status","OK"))))),"")</f>
        <v/>
      </c>
    </row>
    <row r="87">
      <c r="A87" s="25" t="n"/>
      <c r="B87" s="25" t="n"/>
      <c r="C87" s="25" t="n"/>
      <c r="D87" s="25" t="n"/>
      <c r="E87" s="26" t="n"/>
      <c r="F87" s="26" t="n"/>
      <c r="G87" s="26" t="n"/>
      <c r="H87" s="27">
        <f>IFERROR(IF(OR(F87="",G87=""),"",MAX(0,G87-F87)),"")</f>
        <v/>
      </c>
      <c r="I87" s="25" t="n"/>
      <c r="J87" s="25" t="n"/>
      <c r="K87" s="25" t="n"/>
      <c r="L87" s="25" t="n"/>
      <c r="M87" s="49" t="n"/>
      <c r="N87" s="49" t="n"/>
      <c r="O87" s="49" t="n"/>
      <c r="P87" s="49" t="n"/>
      <c r="Q87" s="49" t="n"/>
      <c r="R87" s="49" t="n"/>
      <c r="S87" s="50">
        <f>IFERROR(IF(B87="","",VLOOKUP(B87,'Assumptions'!$B$5:$K$104,7,FALSE)),"")</f>
        <v/>
      </c>
      <c r="T87" s="51">
        <f>IFERROR(IF(A87="","",MAX(0,M87-Q87+(N87+O87+P87)*VLOOKUP(B87,'Assumptions'!$B$5:$K$104,8,FALSE))),"")</f>
        <v/>
      </c>
      <c r="U87" s="51">
        <f>IFERROR(IF(A87="","",T87*S87),"")</f>
        <v/>
      </c>
      <c r="V87" s="51">
        <f>IFERROR(IF(A87="","",MAX(0,M87+N87+O87+P87-Q87)),"")</f>
        <v/>
      </c>
      <c r="W87" s="50">
        <f>IFERROR(IF(D87="","",VLOOKUP(D87,'Assumptions'!$U$5:$V$104,2,FALSE)),"")</f>
        <v/>
      </c>
      <c r="X87" s="51">
        <f>IFERROR(IF(A87="","",V87*W87),"")</f>
        <v/>
      </c>
      <c r="Y87" s="50">
        <f>IFERROR(IF(B87="","",VLOOKUP(B87,'Assumptions'!$B$5:$K$104,9,FALSE)),"")</f>
        <v/>
      </c>
      <c r="Z87" s="51">
        <f>IFERROR(IF(A87="","",(V87+U87)*Y87),"")</f>
        <v/>
      </c>
      <c r="AA87" s="50">
        <f>IFERROR(IF(B87="","",VLOOKUP(B87,'Assumptions'!$B$5:$K$104,10,FALSE)),"")</f>
        <v/>
      </c>
      <c r="AB87" s="51">
        <f>IFERROR(IF(A87="","",MAX(0,V87-R87)*AA87),"")</f>
        <v/>
      </c>
      <c r="AC87" s="51">
        <f>IFERROR(IF(A87="","",V87-R87-X87-Z87-AB87),"")</f>
        <v/>
      </c>
      <c r="AD87" s="49" t="n"/>
      <c r="AE87" s="51">
        <f>IFERROR(IF(A87="","",MAX(0,V87+U87-R87-AD87)),"")</f>
        <v/>
      </c>
      <c r="AF87" s="27">
        <f>IFERROR(IF(A87="","",IF(OR(L87="Inquiry",L87="Tentative",L87="Canceled"),"Not Due",IF(AE87=0,"Paid","Balance Due"))),"")</f>
        <v/>
      </c>
      <c r="AG87" s="25" t="n"/>
      <c r="AH87" s="31" t="n"/>
      <c r="AI87" s="27">
        <f>IFERROR(IF(A87="","",IF(OR(F87="",G87=""),"Missing Date",IF(G87&lt;=F87,"Invalid Date","OK"))),"")</f>
        <v/>
      </c>
      <c r="AJ87" s="27">
        <f>IFERROR(IF(OR(A87="",B87="",F87="",G87="",L87="Canceled"),"",IF(COUNTIFS($B$4:$B$153,B87,$F$4:$F$153,"&lt;"&amp;G87,$G$4:$G$153,"&gt;"&amp;F87,$A$4:$A$153,"&lt;&gt;"&amp;A87,$L$4:$L$153,"&lt;&gt;Canceled")&gt;0,"Possible Overlap","OK")),"")</f>
        <v/>
      </c>
      <c r="AK87" s="27">
        <f>IFERROR(IF(COUNTA(A87:G87)=0,"",IF(A87="","Missing Reservation ID",IF(B87="","Missing Property",IF(AND(AE87&gt;='Assumptions'!$B$115,L87&lt;&gt;"Canceled"),"Review Balance",IF(OR(L87="Inquiry",L87="Tentative"),"Review Status","OK"))))),"")</f>
        <v/>
      </c>
    </row>
    <row r="88">
      <c r="A88" s="25" t="n"/>
      <c r="B88" s="25" t="n"/>
      <c r="C88" s="25" t="n"/>
      <c r="D88" s="25" t="n"/>
      <c r="E88" s="26" t="n"/>
      <c r="F88" s="26" t="n"/>
      <c r="G88" s="26" t="n"/>
      <c r="H88" s="27">
        <f>IFERROR(IF(OR(F88="",G88=""),"",MAX(0,G88-F88)),"")</f>
        <v/>
      </c>
      <c r="I88" s="25" t="n"/>
      <c r="J88" s="25" t="n"/>
      <c r="K88" s="25" t="n"/>
      <c r="L88" s="25" t="n"/>
      <c r="M88" s="49" t="n"/>
      <c r="N88" s="49" t="n"/>
      <c r="O88" s="49" t="n"/>
      <c r="P88" s="49" t="n"/>
      <c r="Q88" s="49" t="n"/>
      <c r="R88" s="49" t="n"/>
      <c r="S88" s="50">
        <f>IFERROR(IF(B88="","",VLOOKUP(B88,'Assumptions'!$B$5:$K$104,7,FALSE)),"")</f>
        <v/>
      </c>
      <c r="T88" s="51">
        <f>IFERROR(IF(A88="","",MAX(0,M88-Q88+(N88+O88+P88)*VLOOKUP(B88,'Assumptions'!$B$5:$K$104,8,FALSE))),"")</f>
        <v/>
      </c>
      <c r="U88" s="51">
        <f>IFERROR(IF(A88="","",T88*S88),"")</f>
        <v/>
      </c>
      <c r="V88" s="51">
        <f>IFERROR(IF(A88="","",MAX(0,M88+N88+O88+P88-Q88)),"")</f>
        <v/>
      </c>
      <c r="W88" s="50">
        <f>IFERROR(IF(D88="","",VLOOKUP(D88,'Assumptions'!$U$5:$V$104,2,FALSE)),"")</f>
        <v/>
      </c>
      <c r="X88" s="51">
        <f>IFERROR(IF(A88="","",V88*W88),"")</f>
        <v/>
      </c>
      <c r="Y88" s="50">
        <f>IFERROR(IF(B88="","",VLOOKUP(B88,'Assumptions'!$B$5:$K$104,9,FALSE)),"")</f>
        <v/>
      </c>
      <c r="Z88" s="51">
        <f>IFERROR(IF(A88="","",(V88+U88)*Y88),"")</f>
        <v/>
      </c>
      <c r="AA88" s="50">
        <f>IFERROR(IF(B88="","",VLOOKUP(B88,'Assumptions'!$B$5:$K$104,10,FALSE)),"")</f>
        <v/>
      </c>
      <c r="AB88" s="51">
        <f>IFERROR(IF(A88="","",MAX(0,V88-R88)*AA88),"")</f>
        <v/>
      </c>
      <c r="AC88" s="51">
        <f>IFERROR(IF(A88="","",V88-R88-X88-Z88-AB88),"")</f>
        <v/>
      </c>
      <c r="AD88" s="49" t="n"/>
      <c r="AE88" s="51">
        <f>IFERROR(IF(A88="","",MAX(0,V88+U88-R88-AD88)),"")</f>
        <v/>
      </c>
      <c r="AF88" s="27">
        <f>IFERROR(IF(A88="","",IF(OR(L88="Inquiry",L88="Tentative",L88="Canceled"),"Not Due",IF(AE88=0,"Paid","Balance Due"))),"")</f>
        <v/>
      </c>
      <c r="AG88" s="25" t="n"/>
      <c r="AH88" s="31" t="n"/>
      <c r="AI88" s="27">
        <f>IFERROR(IF(A88="","",IF(OR(F88="",G88=""),"Missing Date",IF(G88&lt;=F88,"Invalid Date","OK"))),"")</f>
        <v/>
      </c>
      <c r="AJ88" s="27">
        <f>IFERROR(IF(OR(A88="",B88="",F88="",G88="",L88="Canceled"),"",IF(COUNTIFS($B$4:$B$153,B88,$F$4:$F$153,"&lt;"&amp;G88,$G$4:$G$153,"&gt;"&amp;F88,$A$4:$A$153,"&lt;&gt;"&amp;A88,$L$4:$L$153,"&lt;&gt;Canceled")&gt;0,"Possible Overlap","OK")),"")</f>
        <v/>
      </c>
      <c r="AK88" s="27">
        <f>IFERROR(IF(COUNTA(A88:G88)=0,"",IF(A88="","Missing Reservation ID",IF(B88="","Missing Property",IF(AND(AE88&gt;='Assumptions'!$B$115,L88&lt;&gt;"Canceled"),"Review Balance",IF(OR(L88="Inquiry",L88="Tentative"),"Review Status","OK"))))),"")</f>
        <v/>
      </c>
    </row>
    <row r="89">
      <c r="A89" s="25" t="n"/>
      <c r="B89" s="25" t="n"/>
      <c r="C89" s="25" t="n"/>
      <c r="D89" s="25" t="n"/>
      <c r="E89" s="26" t="n"/>
      <c r="F89" s="26" t="n"/>
      <c r="G89" s="26" t="n"/>
      <c r="H89" s="27">
        <f>IFERROR(IF(OR(F89="",G89=""),"",MAX(0,G89-F89)),"")</f>
        <v/>
      </c>
      <c r="I89" s="25" t="n"/>
      <c r="J89" s="25" t="n"/>
      <c r="K89" s="25" t="n"/>
      <c r="L89" s="25" t="n"/>
      <c r="M89" s="49" t="n"/>
      <c r="N89" s="49" t="n"/>
      <c r="O89" s="49" t="n"/>
      <c r="P89" s="49" t="n"/>
      <c r="Q89" s="49" t="n"/>
      <c r="R89" s="49" t="n"/>
      <c r="S89" s="50">
        <f>IFERROR(IF(B89="","",VLOOKUP(B89,'Assumptions'!$B$5:$K$104,7,FALSE)),"")</f>
        <v/>
      </c>
      <c r="T89" s="51">
        <f>IFERROR(IF(A89="","",MAX(0,M89-Q89+(N89+O89+P89)*VLOOKUP(B89,'Assumptions'!$B$5:$K$104,8,FALSE))),"")</f>
        <v/>
      </c>
      <c r="U89" s="51">
        <f>IFERROR(IF(A89="","",T89*S89),"")</f>
        <v/>
      </c>
      <c r="V89" s="51">
        <f>IFERROR(IF(A89="","",MAX(0,M89+N89+O89+P89-Q89)),"")</f>
        <v/>
      </c>
      <c r="W89" s="50">
        <f>IFERROR(IF(D89="","",VLOOKUP(D89,'Assumptions'!$U$5:$V$104,2,FALSE)),"")</f>
        <v/>
      </c>
      <c r="X89" s="51">
        <f>IFERROR(IF(A89="","",V89*W89),"")</f>
        <v/>
      </c>
      <c r="Y89" s="50">
        <f>IFERROR(IF(B89="","",VLOOKUP(B89,'Assumptions'!$B$5:$K$104,9,FALSE)),"")</f>
        <v/>
      </c>
      <c r="Z89" s="51">
        <f>IFERROR(IF(A89="","",(V89+U89)*Y89),"")</f>
        <v/>
      </c>
      <c r="AA89" s="50">
        <f>IFERROR(IF(B89="","",VLOOKUP(B89,'Assumptions'!$B$5:$K$104,10,FALSE)),"")</f>
        <v/>
      </c>
      <c r="AB89" s="51">
        <f>IFERROR(IF(A89="","",MAX(0,V89-R89)*AA89),"")</f>
        <v/>
      </c>
      <c r="AC89" s="51">
        <f>IFERROR(IF(A89="","",V89-R89-X89-Z89-AB89),"")</f>
        <v/>
      </c>
      <c r="AD89" s="49" t="n"/>
      <c r="AE89" s="51">
        <f>IFERROR(IF(A89="","",MAX(0,V89+U89-R89-AD89)),"")</f>
        <v/>
      </c>
      <c r="AF89" s="27">
        <f>IFERROR(IF(A89="","",IF(OR(L89="Inquiry",L89="Tentative",L89="Canceled"),"Not Due",IF(AE89=0,"Paid","Balance Due"))),"")</f>
        <v/>
      </c>
      <c r="AG89" s="25" t="n"/>
      <c r="AH89" s="31" t="n"/>
      <c r="AI89" s="27">
        <f>IFERROR(IF(A89="","",IF(OR(F89="",G89=""),"Missing Date",IF(G89&lt;=F89,"Invalid Date","OK"))),"")</f>
        <v/>
      </c>
      <c r="AJ89" s="27">
        <f>IFERROR(IF(OR(A89="",B89="",F89="",G89="",L89="Canceled"),"",IF(COUNTIFS($B$4:$B$153,B89,$F$4:$F$153,"&lt;"&amp;G89,$G$4:$G$153,"&gt;"&amp;F89,$A$4:$A$153,"&lt;&gt;"&amp;A89,$L$4:$L$153,"&lt;&gt;Canceled")&gt;0,"Possible Overlap","OK")),"")</f>
        <v/>
      </c>
      <c r="AK89" s="27">
        <f>IFERROR(IF(COUNTA(A89:G89)=0,"",IF(A89="","Missing Reservation ID",IF(B89="","Missing Property",IF(AND(AE89&gt;='Assumptions'!$B$115,L89&lt;&gt;"Canceled"),"Review Balance",IF(OR(L89="Inquiry",L89="Tentative"),"Review Status","OK"))))),"")</f>
        <v/>
      </c>
    </row>
    <row r="90">
      <c r="A90" s="25" t="n"/>
      <c r="B90" s="25" t="n"/>
      <c r="C90" s="25" t="n"/>
      <c r="D90" s="25" t="n"/>
      <c r="E90" s="26" t="n"/>
      <c r="F90" s="26" t="n"/>
      <c r="G90" s="26" t="n"/>
      <c r="H90" s="27">
        <f>IFERROR(IF(OR(F90="",G90=""),"",MAX(0,G90-F90)),"")</f>
        <v/>
      </c>
      <c r="I90" s="25" t="n"/>
      <c r="J90" s="25" t="n"/>
      <c r="K90" s="25" t="n"/>
      <c r="L90" s="25" t="n"/>
      <c r="M90" s="49" t="n"/>
      <c r="N90" s="49" t="n"/>
      <c r="O90" s="49" t="n"/>
      <c r="P90" s="49" t="n"/>
      <c r="Q90" s="49" t="n"/>
      <c r="R90" s="49" t="n"/>
      <c r="S90" s="50">
        <f>IFERROR(IF(B90="","",VLOOKUP(B90,'Assumptions'!$B$5:$K$104,7,FALSE)),"")</f>
        <v/>
      </c>
      <c r="T90" s="51">
        <f>IFERROR(IF(A90="","",MAX(0,M90-Q90+(N90+O90+P90)*VLOOKUP(B90,'Assumptions'!$B$5:$K$104,8,FALSE))),"")</f>
        <v/>
      </c>
      <c r="U90" s="51">
        <f>IFERROR(IF(A90="","",T90*S90),"")</f>
        <v/>
      </c>
      <c r="V90" s="51">
        <f>IFERROR(IF(A90="","",MAX(0,M90+N90+O90+P90-Q90)),"")</f>
        <v/>
      </c>
      <c r="W90" s="50">
        <f>IFERROR(IF(D90="","",VLOOKUP(D90,'Assumptions'!$U$5:$V$104,2,FALSE)),"")</f>
        <v/>
      </c>
      <c r="X90" s="51">
        <f>IFERROR(IF(A90="","",V90*W90),"")</f>
        <v/>
      </c>
      <c r="Y90" s="50">
        <f>IFERROR(IF(B90="","",VLOOKUP(B90,'Assumptions'!$B$5:$K$104,9,FALSE)),"")</f>
        <v/>
      </c>
      <c r="Z90" s="51">
        <f>IFERROR(IF(A90="","",(V90+U90)*Y90),"")</f>
        <v/>
      </c>
      <c r="AA90" s="50">
        <f>IFERROR(IF(B90="","",VLOOKUP(B90,'Assumptions'!$B$5:$K$104,10,FALSE)),"")</f>
        <v/>
      </c>
      <c r="AB90" s="51">
        <f>IFERROR(IF(A90="","",MAX(0,V90-R90)*AA90),"")</f>
        <v/>
      </c>
      <c r="AC90" s="51">
        <f>IFERROR(IF(A90="","",V90-R90-X90-Z90-AB90),"")</f>
        <v/>
      </c>
      <c r="AD90" s="49" t="n"/>
      <c r="AE90" s="51">
        <f>IFERROR(IF(A90="","",MAX(0,V90+U90-R90-AD90)),"")</f>
        <v/>
      </c>
      <c r="AF90" s="27">
        <f>IFERROR(IF(A90="","",IF(OR(L90="Inquiry",L90="Tentative",L90="Canceled"),"Not Due",IF(AE90=0,"Paid","Balance Due"))),"")</f>
        <v/>
      </c>
      <c r="AG90" s="25" t="n"/>
      <c r="AH90" s="31" t="n"/>
      <c r="AI90" s="27">
        <f>IFERROR(IF(A90="","",IF(OR(F90="",G90=""),"Missing Date",IF(G90&lt;=F90,"Invalid Date","OK"))),"")</f>
        <v/>
      </c>
      <c r="AJ90" s="27">
        <f>IFERROR(IF(OR(A90="",B90="",F90="",G90="",L90="Canceled"),"",IF(COUNTIFS($B$4:$B$153,B90,$F$4:$F$153,"&lt;"&amp;G90,$G$4:$G$153,"&gt;"&amp;F90,$A$4:$A$153,"&lt;&gt;"&amp;A90,$L$4:$L$153,"&lt;&gt;Canceled")&gt;0,"Possible Overlap","OK")),"")</f>
        <v/>
      </c>
      <c r="AK90" s="27">
        <f>IFERROR(IF(COUNTA(A90:G90)=0,"",IF(A90="","Missing Reservation ID",IF(B90="","Missing Property",IF(AND(AE90&gt;='Assumptions'!$B$115,L90&lt;&gt;"Canceled"),"Review Balance",IF(OR(L90="Inquiry",L90="Tentative"),"Review Status","OK"))))),"")</f>
        <v/>
      </c>
    </row>
    <row r="91">
      <c r="A91" s="25" t="n"/>
      <c r="B91" s="25" t="n"/>
      <c r="C91" s="25" t="n"/>
      <c r="D91" s="25" t="n"/>
      <c r="E91" s="26" t="n"/>
      <c r="F91" s="26" t="n"/>
      <c r="G91" s="26" t="n"/>
      <c r="H91" s="27">
        <f>IFERROR(IF(OR(F91="",G91=""),"",MAX(0,G91-F91)),"")</f>
        <v/>
      </c>
      <c r="I91" s="25" t="n"/>
      <c r="J91" s="25" t="n"/>
      <c r="K91" s="25" t="n"/>
      <c r="L91" s="25" t="n"/>
      <c r="M91" s="49" t="n"/>
      <c r="N91" s="49" t="n"/>
      <c r="O91" s="49" t="n"/>
      <c r="P91" s="49" t="n"/>
      <c r="Q91" s="49" t="n"/>
      <c r="R91" s="49" t="n"/>
      <c r="S91" s="50">
        <f>IFERROR(IF(B91="","",VLOOKUP(B91,'Assumptions'!$B$5:$K$104,7,FALSE)),"")</f>
        <v/>
      </c>
      <c r="T91" s="51">
        <f>IFERROR(IF(A91="","",MAX(0,M91-Q91+(N91+O91+P91)*VLOOKUP(B91,'Assumptions'!$B$5:$K$104,8,FALSE))),"")</f>
        <v/>
      </c>
      <c r="U91" s="51">
        <f>IFERROR(IF(A91="","",T91*S91),"")</f>
        <v/>
      </c>
      <c r="V91" s="51">
        <f>IFERROR(IF(A91="","",MAX(0,M91+N91+O91+P91-Q91)),"")</f>
        <v/>
      </c>
      <c r="W91" s="50">
        <f>IFERROR(IF(D91="","",VLOOKUP(D91,'Assumptions'!$U$5:$V$104,2,FALSE)),"")</f>
        <v/>
      </c>
      <c r="X91" s="51">
        <f>IFERROR(IF(A91="","",V91*W91),"")</f>
        <v/>
      </c>
      <c r="Y91" s="50">
        <f>IFERROR(IF(B91="","",VLOOKUP(B91,'Assumptions'!$B$5:$K$104,9,FALSE)),"")</f>
        <v/>
      </c>
      <c r="Z91" s="51">
        <f>IFERROR(IF(A91="","",(V91+U91)*Y91),"")</f>
        <v/>
      </c>
      <c r="AA91" s="50">
        <f>IFERROR(IF(B91="","",VLOOKUP(B91,'Assumptions'!$B$5:$K$104,10,FALSE)),"")</f>
        <v/>
      </c>
      <c r="AB91" s="51">
        <f>IFERROR(IF(A91="","",MAX(0,V91-R91)*AA91),"")</f>
        <v/>
      </c>
      <c r="AC91" s="51">
        <f>IFERROR(IF(A91="","",V91-R91-X91-Z91-AB91),"")</f>
        <v/>
      </c>
      <c r="AD91" s="49" t="n"/>
      <c r="AE91" s="51">
        <f>IFERROR(IF(A91="","",MAX(0,V91+U91-R91-AD91)),"")</f>
        <v/>
      </c>
      <c r="AF91" s="27">
        <f>IFERROR(IF(A91="","",IF(OR(L91="Inquiry",L91="Tentative",L91="Canceled"),"Not Due",IF(AE91=0,"Paid","Balance Due"))),"")</f>
        <v/>
      </c>
      <c r="AG91" s="25" t="n"/>
      <c r="AH91" s="31" t="n"/>
      <c r="AI91" s="27">
        <f>IFERROR(IF(A91="","",IF(OR(F91="",G91=""),"Missing Date",IF(G91&lt;=F91,"Invalid Date","OK"))),"")</f>
        <v/>
      </c>
      <c r="AJ91" s="27">
        <f>IFERROR(IF(OR(A91="",B91="",F91="",G91="",L91="Canceled"),"",IF(COUNTIFS($B$4:$B$153,B91,$F$4:$F$153,"&lt;"&amp;G91,$G$4:$G$153,"&gt;"&amp;F91,$A$4:$A$153,"&lt;&gt;"&amp;A91,$L$4:$L$153,"&lt;&gt;Canceled")&gt;0,"Possible Overlap","OK")),"")</f>
        <v/>
      </c>
      <c r="AK91" s="27">
        <f>IFERROR(IF(COUNTA(A91:G91)=0,"",IF(A91="","Missing Reservation ID",IF(B91="","Missing Property",IF(AND(AE91&gt;='Assumptions'!$B$115,L91&lt;&gt;"Canceled"),"Review Balance",IF(OR(L91="Inquiry",L91="Tentative"),"Review Status","OK"))))),"")</f>
        <v/>
      </c>
    </row>
    <row r="92">
      <c r="A92" s="25" t="n"/>
      <c r="B92" s="25" t="n"/>
      <c r="C92" s="25" t="n"/>
      <c r="D92" s="25" t="n"/>
      <c r="E92" s="26" t="n"/>
      <c r="F92" s="26" t="n"/>
      <c r="G92" s="26" t="n"/>
      <c r="H92" s="27">
        <f>IFERROR(IF(OR(F92="",G92=""),"",MAX(0,G92-F92)),"")</f>
        <v/>
      </c>
      <c r="I92" s="25" t="n"/>
      <c r="J92" s="25" t="n"/>
      <c r="K92" s="25" t="n"/>
      <c r="L92" s="25" t="n"/>
      <c r="M92" s="49" t="n"/>
      <c r="N92" s="49" t="n"/>
      <c r="O92" s="49" t="n"/>
      <c r="P92" s="49" t="n"/>
      <c r="Q92" s="49" t="n"/>
      <c r="R92" s="49" t="n"/>
      <c r="S92" s="50">
        <f>IFERROR(IF(B92="","",VLOOKUP(B92,'Assumptions'!$B$5:$K$104,7,FALSE)),"")</f>
        <v/>
      </c>
      <c r="T92" s="51">
        <f>IFERROR(IF(A92="","",MAX(0,M92-Q92+(N92+O92+P92)*VLOOKUP(B92,'Assumptions'!$B$5:$K$104,8,FALSE))),"")</f>
        <v/>
      </c>
      <c r="U92" s="51">
        <f>IFERROR(IF(A92="","",T92*S92),"")</f>
        <v/>
      </c>
      <c r="V92" s="51">
        <f>IFERROR(IF(A92="","",MAX(0,M92+N92+O92+P92-Q92)),"")</f>
        <v/>
      </c>
      <c r="W92" s="50">
        <f>IFERROR(IF(D92="","",VLOOKUP(D92,'Assumptions'!$U$5:$V$104,2,FALSE)),"")</f>
        <v/>
      </c>
      <c r="X92" s="51">
        <f>IFERROR(IF(A92="","",V92*W92),"")</f>
        <v/>
      </c>
      <c r="Y92" s="50">
        <f>IFERROR(IF(B92="","",VLOOKUP(B92,'Assumptions'!$B$5:$K$104,9,FALSE)),"")</f>
        <v/>
      </c>
      <c r="Z92" s="51">
        <f>IFERROR(IF(A92="","",(V92+U92)*Y92),"")</f>
        <v/>
      </c>
      <c r="AA92" s="50">
        <f>IFERROR(IF(B92="","",VLOOKUP(B92,'Assumptions'!$B$5:$K$104,10,FALSE)),"")</f>
        <v/>
      </c>
      <c r="AB92" s="51">
        <f>IFERROR(IF(A92="","",MAX(0,V92-R92)*AA92),"")</f>
        <v/>
      </c>
      <c r="AC92" s="51">
        <f>IFERROR(IF(A92="","",V92-R92-X92-Z92-AB92),"")</f>
        <v/>
      </c>
      <c r="AD92" s="49" t="n"/>
      <c r="AE92" s="51">
        <f>IFERROR(IF(A92="","",MAX(0,V92+U92-R92-AD92)),"")</f>
        <v/>
      </c>
      <c r="AF92" s="27">
        <f>IFERROR(IF(A92="","",IF(OR(L92="Inquiry",L92="Tentative",L92="Canceled"),"Not Due",IF(AE92=0,"Paid","Balance Due"))),"")</f>
        <v/>
      </c>
      <c r="AG92" s="25" t="n"/>
      <c r="AH92" s="31" t="n"/>
      <c r="AI92" s="27">
        <f>IFERROR(IF(A92="","",IF(OR(F92="",G92=""),"Missing Date",IF(G92&lt;=F92,"Invalid Date","OK"))),"")</f>
        <v/>
      </c>
      <c r="AJ92" s="27">
        <f>IFERROR(IF(OR(A92="",B92="",F92="",G92="",L92="Canceled"),"",IF(COUNTIFS($B$4:$B$153,B92,$F$4:$F$153,"&lt;"&amp;G92,$G$4:$G$153,"&gt;"&amp;F92,$A$4:$A$153,"&lt;&gt;"&amp;A92,$L$4:$L$153,"&lt;&gt;Canceled")&gt;0,"Possible Overlap","OK")),"")</f>
        <v/>
      </c>
      <c r="AK92" s="27">
        <f>IFERROR(IF(COUNTA(A92:G92)=0,"",IF(A92="","Missing Reservation ID",IF(B92="","Missing Property",IF(AND(AE92&gt;='Assumptions'!$B$115,L92&lt;&gt;"Canceled"),"Review Balance",IF(OR(L92="Inquiry",L92="Tentative"),"Review Status","OK"))))),"")</f>
        <v/>
      </c>
    </row>
    <row r="93">
      <c r="A93" s="25" t="n"/>
      <c r="B93" s="25" t="n"/>
      <c r="C93" s="25" t="n"/>
      <c r="D93" s="25" t="n"/>
      <c r="E93" s="26" t="n"/>
      <c r="F93" s="26" t="n"/>
      <c r="G93" s="26" t="n"/>
      <c r="H93" s="27">
        <f>IFERROR(IF(OR(F93="",G93=""),"",MAX(0,G93-F93)),"")</f>
        <v/>
      </c>
      <c r="I93" s="25" t="n"/>
      <c r="J93" s="25" t="n"/>
      <c r="K93" s="25" t="n"/>
      <c r="L93" s="25" t="n"/>
      <c r="M93" s="49" t="n"/>
      <c r="N93" s="49" t="n"/>
      <c r="O93" s="49" t="n"/>
      <c r="P93" s="49" t="n"/>
      <c r="Q93" s="49" t="n"/>
      <c r="R93" s="49" t="n"/>
      <c r="S93" s="50">
        <f>IFERROR(IF(B93="","",VLOOKUP(B93,'Assumptions'!$B$5:$K$104,7,FALSE)),"")</f>
        <v/>
      </c>
      <c r="T93" s="51">
        <f>IFERROR(IF(A93="","",MAX(0,M93-Q93+(N93+O93+P93)*VLOOKUP(B93,'Assumptions'!$B$5:$K$104,8,FALSE))),"")</f>
        <v/>
      </c>
      <c r="U93" s="51">
        <f>IFERROR(IF(A93="","",T93*S93),"")</f>
        <v/>
      </c>
      <c r="V93" s="51">
        <f>IFERROR(IF(A93="","",MAX(0,M93+N93+O93+P93-Q93)),"")</f>
        <v/>
      </c>
      <c r="W93" s="50">
        <f>IFERROR(IF(D93="","",VLOOKUP(D93,'Assumptions'!$U$5:$V$104,2,FALSE)),"")</f>
        <v/>
      </c>
      <c r="X93" s="51">
        <f>IFERROR(IF(A93="","",V93*W93),"")</f>
        <v/>
      </c>
      <c r="Y93" s="50">
        <f>IFERROR(IF(B93="","",VLOOKUP(B93,'Assumptions'!$B$5:$K$104,9,FALSE)),"")</f>
        <v/>
      </c>
      <c r="Z93" s="51">
        <f>IFERROR(IF(A93="","",(V93+U93)*Y93),"")</f>
        <v/>
      </c>
      <c r="AA93" s="50">
        <f>IFERROR(IF(B93="","",VLOOKUP(B93,'Assumptions'!$B$5:$K$104,10,FALSE)),"")</f>
        <v/>
      </c>
      <c r="AB93" s="51">
        <f>IFERROR(IF(A93="","",MAX(0,V93-R93)*AA93),"")</f>
        <v/>
      </c>
      <c r="AC93" s="51">
        <f>IFERROR(IF(A93="","",V93-R93-X93-Z93-AB93),"")</f>
        <v/>
      </c>
      <c r="AD93" s="49" t="n"/>
      <c r="AE93" s="51">
        <f>IFERROR(IF(A93="","",MAX(0,V93+U93-R93-AD93)),"")</f>
        <v/>
      </c>
      <c r="AF93" s="27">
        <f>IFERROR(IF(A93="","",IF(OR(L93="Inquiry",L93="Tentative",L93="Canceled"),"Not Due",IF(AE93=0,"Paid","Balance Due"))),"")</f>
        <v/>
      </c>
      <c r="AG93" s="25" t="n"/>
      <c r="AH93" s="31" t="n"/>
      <c r="AI93" s="27">
        <f>IFERROR(IF(A93="","",IF(OR(F93="",G93=""),"Missing Date",IF(G93&lt;=F93,"Invalid Date","OK"))),"")</f>
        <v/>
      </c>
      <c r="AJ93" s="27">
        <f>IFERROR(IF(OR(A93="",B93="",F93="",G93="",L93="Canceled"),"",IF(COUNTIFS($B$4:$B$153,B93,$F$4:$F$153,"&lt;"&amp;G93,$G$4:$G$153,"&gt;"&amp;F93,$A$4:$A$153,"&lt;&gt;"&amp;A93,$L$4:$L$153,"&lt;&gt;Canceled")&gt;0,"Possible Overlap","OK")),"")</f>
        <v/>
      </c>
      <c r="AK93" s="27">
        <f>IFERROR(IF(COUNTA(A93:G93)=0,"",IF(A93="","Missing Reservation ID",IF(B93="","Missing Property",IF(AND(AE93&gt;='Assumptions'!$B$115,L93&lt;&gt;"Canceled"),"Review Balance",IF(OR(L93="Inquiry",L93="Tentative"),"Review Status","OK"))))),"")</f>
        <v/>
      </c>
    </row>
    <row r="94">
      <c r="A94" s="25" t="n"/>
      <c r="B94" s="25" t="n"/>
      <c r="C94" s="25" t="n"/>
      <c r="D94" s="25" t="n"/>
      <c r="E94" s="26" t="n"/>
      <c r="F94" s="26" t="n"/>
      <c r="G94" s="26" t="n"/>
      <c r="H94" s="27">
        <f>IFERROR(IF(OR(F94="",G94=""),"",MAX(0,G94-F94)),"")</f>
        <v/>
      </c>
      <c r="I94" s="25" t="n"/>
      <c r="J94" s="25" t="n"/>
      <c r="K94" s="25" t="n"/>
      <c r="L94" s="25" t="n"/>
      <c r="M94" s="49" t="n"/>
      <c r="N94" s="49" t="n"/>
      <c r="O94" s="49" t="n"/>
      <c r="P94" s="49" t="n"/>
      <c r="Q94" s="49" t="n"/>
      <c r="R94" s="49" t="n"/>
      <c r="S94" s="50">
        <f>IFERROR(IF(B94="","",VLOOKUP(B94,'Assumptions'!$B$5:$K$104,7,FALSE)),"")</f>
        <v/>
      </c>
      <c r="T94" s="51">
        <f>IFERROR(IF(A94="","",MAX(0,M94-Q94+(N94+O94+P94)*VLOOKUP(B94,'Assumptions'!$B$5:$K$104,8,FALSE))),"")</f>
        <v/>
      </c>
      <c r="U94" s="51">
        <f>IFERROR(IF(A94="","",T94*S94),"")</f>
        <v/>
      </c>
      <c r="V94" s="51">
        <f>IFERROR(IF(A94="","",MAX(0,M94+N94+O94+P94-Q94)),"")</f>
        <v/>
      </c>
      <c r="W94" s="50">
        <f>IFERROR(IF(D94="","",VLOOKUP(D94,'Assumptions'!$U$5:$V$104,2,FALSE)),"")</f>
        <v/>
      </c>
      <c r="X94" s="51">
        <f>IFERROR(IF(A94="","",V94*W94),"")</f>
        <v/>
      </c>
      <c r="Y94" s="50">
        <f>IFERROR(IF(B94="","",VLOOKUP(B94,'Assumptions'!$B$5:$K$104,9,FALSE)),"")</f>
        <v/>
      </c>
      <c r="Z94" s="51">
        <f>IFERROR(IF(A94="","",(V94+U94)*Y94),"")</f>
        <v/>
      </c>
      <c r="AA94" s="50">
        <f>IFERROR(IF(B94="","",VLOOKUP(B94,'Assumptions'!$B$5:$K$104,10,FALSE)),"")</f>
        <v/>
      </c>
      <c r="AB94" s="51">
        <f>IFERROR(IF(A94="","",MAX(0,V94-R94)*AA94),"")</f>
        <v/>
      </c>
      <c r="AC94" s="51">
        <f>IFERROR(IF(A94="","",V94-R94-X94-Z94-AB94),"")</f>
        <v/>
      </c>
      <c r="AD94" s="49" t="n"/>
      <c r="AE94" s="51">
        <f>IFERROR(IF(A94="","",MAX(0,V94+U94-R94-AD94)),"")</f>
        <v/>
      </c>
      <c r="AF94" s="27">
        <f>IFERROR(IF(A94="","",IF(OR(L94="Inquiry",L94="Tentative",L94="Canceled"),"Not Due",IF(AE94=0,"Paid","Balance Due"))),"")</f>
        <v/>
      </c>
      <c r="AG94" s="25" t="n"/>
      <c r="AH94" s="31" t="n"/>
      <c r="AI94" s="27">
        <f>IFERROR(IF(A94="","",IF(OR(F94="",G94=""),"Missing Date",IF(G94&lt;=F94,"Invalid Date","OK"))),"")</f>
        <v/>
      </c>
      <c r="AJ94" s="27">
        <f>IFERROR(IF(OR(A94="",B94="",F94="",G94="",L94="Canceled"),"",IF(COUNTIFS($B$4:$B$153,B94,$F$4:$F$153,"&lt;"&amp;G94,$G$4:$G$153,"&gt;"&amp;F94,$A$4:$A$153,"&lt;&gt;"&amp;A94,$L$4:$L$153,"&lt;&gt;Canceled")&gt;0,"Possible Overlap","OK")),"")</f>
        <v/>
      </c>
      <c r="AK94" s="27">
        <f>IFERROR(IF(COUNTA(A94:G94)=0,"",IF(A94="","Missing Reservation ID",IF(B94="","Missing Property",IF(AND(AE94&gt;='Assumptions'!$B$115,L94&lt;&gt;"Canceled"),"Review Balance",IF(OR(L94="Inquiry",L94="Tentative"),"Review Status","OK"))))),"")</f>
        <v/>
      </c>
    </row>
    <row r="95">
      <c r="A95" s="25" t="n"/>
      <c r="B95" s="25" t="n"/>
      <c r="C95" s="25" t="n"/>
      <c r="D95" s="25" t="n"/>
      <c r="E95" s="26" t="n"/>
      <c r="F95" s="26" t="n"/>
      <c r="G95" s="26" t="n"/>
      <c r="H95" s="27">
        <f>IFERROR(IF(OR(F95="",G95=""),"",MAX(0,G95-F95)),"")</f>
        <v/>
      </c>
      <c r="I95" s="25" t="n"/>
      <c r="J95" s="25" t="n"/>
      <c r="K95" s="25" t="n"/>
      <c r="L95" s="25" t="n"/>
      <c r="M95" s="49" t="n"/>
      <c r="N95" s="49" t="n"/>
      <c r="O95" s="49" t="n"/>
      <c r="P95" s="49" t="n"/>
      <c r="Q95" s="49" t="n"/>
      <c r="R95" s="49" t="n"/>
      <c r="S95" s="50">
        <f>IFERROR(IF(B95="","",VLOOKUP(B95,'Assumptions'!$B$5:$K$104,7,FALSE)),"")</f>
        <v/>
      </c>
      <c r="T95" s="51">
        <f>IFERROR(IF(A95="","",MAX(0,M95-Q95+(N95+O95+P95)*VLOOKUP(B95,'Assumptions'!$B$5:$K$104,8,FALSE))),"")</f>
        <v/>
      </c>
      <c r="U95" s="51">
        <f>IFERROR(IF(A95="","",T95*S95),"")</f>
        <v/>
      </c>
      <c r="V95" s="51">
        <f>IFERROR(IF(A95="","",MAX(0,M95+N95+O95+P95-Q95)),"")</f>
        <v/>
      </c>
      <c r="W95" s="50">
        <f>IFERROR(IF(D95="","",VLOOKUP(D95,'Assumptions'!$U$5:$V$104,2,FALSE)),"")</f>
        <v/>
      </c>
      <c r="X95" s="51">
        <f>IFERROR(IF(A95="","",V95*W95),"")</f>
        <v/>
      </c>
      <c r="Y95" s="50">
        <f>IFERROR(IF(B95="","",VLOOKUP(B95,'Assumptions'!$B$5:$K$104,9,FALSE)),"")</f>
        <v/>
      </c>
      <c r="Z95" s="51">
        <f>IFERROR(IF(A95="","",(V95+U95)*Y95),"")</f>
        <v/>
      </c>
      <c r="AA95" s="50">
        <f>IFERROR(IF(B95="","",VLOOKUP(B95,'Assumptions'!$B$5:$K$104,10,FALSE)),"")</f>
        <v/>
      </c>
      <c r="AB95" s="51">
        <f>IFERROR(IF(A95="","",MAX(0,V95-R95)*AA95),"")</f>
        <v/>
      </c>
      <c r="AC95" s="51">
        <f>IFERROR(IF(A95="","",V95-R95-X95-Z95-AB95),"")</f>
        <v/>
      </c>
      <c r="AD95" s="49" t="n"/>
      <c r="AE95" s="51">
        <f>IFERROR(IF(A95="","",MAX(0,V95+U95-R95-AD95)),"")</f>
        <v/>
      </c>
      <c r="AF95" s="27">
        <f>IFERROR(IF(A95="","",IF(OR(L95="Inquiry",L95="Tentative",L95="Canceled"),"Not Due",IF(AE95=0,"Paid","Balance Due"))),"")</f>
        <v/>
      </c>
      <c r="AG95" s="25" t="n"/>
      <c r="AH95" s="31" t="n"/>
      <c r="AI95" s="27">
        <f>IFERROR(IF(A95="","",IF(OR(F95="",G95=""),"Missing Date",IF(G95&lt;=F95,"Invalid Date","OK"))),"")</f>
        <v/>
      </c>
      <c r="AJ95" s="27">
        <f>IFERROR(IF(OR(A95="",B95="",F95="",G95="",L95="Canceled"),"",IF(COUNTIFS($B$4:$B$153,B95,$F$4:$F$153,"&lt;"&amp;G95,$G$4:$G$153,"&gt;"&amp;F95,$A$4:$A$153,"&lt;&gt;"&amp;A95,$L$4:$L$153,"&lt;&gt;Canceled")&gt;0,"Possible Overlap","OK")),"")</f>
        <v/>
      </c>
      <c r="AK95" s="27">
        <f>IFERROR(IF(COUNTA(A95:G95)=0,"",IF(A95="","Missing Reservation ID",IF(B95="","Missing Property",IF(AND(AE95&gt;='Assumptions'!$B$115,L95&lt;&gt;"Canceled"),"Review Balance",IF(OR(L95="Inquiry",L95="Tentative"),"Review Status","OK"))))),"")</f>
        <v/>
      </c>
    </row>
    <row r="96">
      <c r="A96" s="25" t="n"/>
      <c r="B96" s="25" t="n"/>
      <c r="C96" s="25" t="n"/>
      <c r="D96" s="25" t="n"/>
      <c r="E96" s="26" t="n"/>
      <c r="F96" s="26" t="n"/>
      <c r="G96" s="26" t="n"/>
      <c r="H96" s="27">
        <f>IFERROR(IF(OR(F96="",G96=""),"",MAX(0,G96-F96)),"")</f>
        <v/>
      </c>
      <c r="I96" s="25" t="n"/>
      <c r="J96" s="25" t="n"/>
      <c r="K96" s="25" t="n"/>
      <c r="L96" s="25" t="n"/>
      <c r="M96" s="49" t="n"/>
      <c r="N96" s="49" t="n"/>
      <c r="O96" s="49" t="n"/>
      <c r="P96" s="49" t="n"/>
      <c r="Q96" s="49" t="n"/>
      <c r="R96" s="49" t="n"/>
      <c r="S96" s="50">
        <f>IFERROR(IF(B96="","",VLOOKUP(B96,'Assumptions'!$B$5:$K$104,7,FALSE)),"")</f>
        <v/>
      </c>
      <c r="T96" s="51">
        <f>IFERROR(IF(A96="","",MAX(0,M96-Q96+(N96+O96+P96)*VLOOKUP(B96,'Assumptions'!$B$5:$K$104,8,FALSE))),"")</f>
        <v/>
      </c>
      <c r="U96" s="51">
        <f>IFERROR(IF(A96="","",T96*S96),"")</f>
        <v/>
      </c>
      <c r="V96" s="51">
        <f>IFERROR(IF(A96="","",MAX(0,M96+N96+O96+P96-Q96)),"")</f>
        <v/>
      </c>
      <c r="W96" s="50">
        <f>IFERROR(IF(D96="","",VLOOKUP(D96,'Assumptions'!$U$5:$V$104,2,FALSE)),"")</f>
        <v/>
      </c>
      <c r="X96" s="51">
        <f>IFERROR(IF(A96="","",V96*W96),"")</f>
        <v/>
      </c>
      <c r="Y96" s="50">
        <f>IFERROR(IF(B96="","",VLOOKUP(B96,'Assumptions'!$B$5:$K$104,9,FALSE)),"")</f>
        <v/>
      </c>
      <c r="Z96" s="51">
        <f>IFERROR(IF(A96="","",(V96+U96)*Y96),"")</f>
        <v/>
      </c>
      <c r="AA96" s="50">
        <f>IFERROR(IF(B96="","",VLOOKUP(B96,'Assumptions'!$B$5:$K$104,10,FALSE)),"")</f>
        <v/>
      </c>
      <c r="AB96" s="51">
        <f>IFERROR(IF(A96="","",MAX(0,V96-R96)*AA96),"")</f>
        <v/>
      </c>
      <c r="AC96" s="51">
        <f>IFERROR(IF(A96="","",V96-R96-X96-Z96-AB96),"")</f>
        <v/>
      </c>
      <c r="AD96" s="49" t="n"/>
      <c r="AE96" s="51">
        <f>IFERROR(IF(A96="","",MAX(0,V96+U96-R96-AD96)),"")</f>
        <v/>
      </c>
      <c r="AF96" s="27">
        <f>IFERROR(IF(A96="","",IF(OR(L96="Inquiry",L96="Tentative",L96="Canceled"),"Not Due",IF(AE96=0,"Paid","Balance Due"))),"")</f>
        <v/>
      </c>
      <c r="AG96" s="25" t="n"/>
      <c r="AH96" s="31" t="n"/>
      <c r="AI96" s="27">
        <f>IFERROR(IF(A96="","",IF(OR(F96="",G96=""),"Missing Date",IF(G96&lt;=F96,"Invalid Date","OK"))),"")</f>
        <v/>
      </c>
      <c r="AJ96" s="27">
        <f>IFERROR(IF(OR(A96="",B96="",F96="",G96="",L96="Canceled"),"",IF(COUNTIFS($B$4:$B$153,B96,$F$4:$F$153,"&lt;"&amp;G96,$G$4:$G$153,"&gt;"&amp;F96,$A$4:$A$153,"&lt;&gt;"&amp;A96,$L$4:$L$153,"&lt;&gt;Canceled")&gt;0,"Possible Overlap","OK")),"")</f>
        <v/>
      </c>
      <c r="AK96" s="27">
        <f>IFERROR(IF(COUNTA(A96:G96)=0,"",IF(A96="","Missing Reservation ID",IF(B96="","Missing Property",IF(AND(AE96&gt;='Assumptions'!$B$115,L96&lt;&gt;"Canceled"),"Review Balance",IF(OR(L96="Inquiry",L96="Tentative"),"Review Status","OK"))))),"")</f>
        <v/>
      </c>
    </row>
    <row r="97">
      <c r="A97" s="25" t="n"/>
      <c r="B97" s="25" t="n"/>
      <c r="C97" s="25" t="n"/>
      <c r="D97" s="25" t="n"/>
      <c r="E97" s="26" t="n"/>
      <c r="F97" s="26" t="n"/>
      <c r="G97" s="26" t="n"/>
      <c r="H97" s="27">
        <f>IFERROR(IF(OR(F97="",G97=""),"",MAX(0,G97-F97)),"")</f>
        <v/>
      </c>
      <c r="I97" s="25" t="n"/>
      <c r="J97" s="25" t="n"/>
      <c r="K97" s="25" t="n"/>
      <c r="L97" s="25" t="n"/>
      <c r="M97" s="49" t="n"/>
      <c r="N97" s="49" t="n"/>
      <c r="O97" s="49" t="n"/>
      <c r="P97" s="49" t="n"/>
      <c r="Q97" s="49" t="n"/>
      <c r="R97" s="49" t="n"/>
      <c r="S97" s="50">
        <f>IFERROR(IF(B97="","",VLOOKUP(B97,'Assumptions'!$B$5:$K$104,7,FALSE)),"")</f>
        <v/>
      </c>
      <c r="T97" s="51">
        <f>IFERROR(IF(A97="","",MAX(0,M97-Q97+(N97+O97+P97)*VLOOKUP(B97,'Assumptions'!$B$5:$K$104,8,FALSE))),"")</f>
        <v/>
      </c>
      <c r="U97" s="51">
        <f>IFERROR(IF(A97="","",T97*S97),"")</f>
        <v/>
      </c>
      <c r="V97" s="51">
        <f>IFERROR(IF(A97="","",MAX(0,M97+N97+O97+P97-Q97)),"")</f>
        <v/>
      </c>
      <c r="W97" s="50">
        <f>IFERROR(IF(D97="","",VLOOKUP(D97,'Assumptions'!$U$5:$V$104,2,FALSE)),"")</f>
        <v/>
      </c>
      <c r="X97" s="51">
        <f>IFERROR(IF(A97="","",V97*W97),"")</f>
        <v/>
      </c>
      <c r="Y97" s="50">
        <f>IFERROR(IF(B97="","",VLOOKUP(B97,'Assumptions'!$B$5:$K$104,9,FALSE)),"")</f>
        <v/>
      </c>
      <c r="Z97" s="51">
        <f>IFERROR(IF(A97="","",(V97+U97)*Y97),"")</f>
        <v/>
      </c>
      <c r="AA97" s="50">
        <f>IFERROR(IF(B97="","",VLOOKUP(B97,'Assumptions'!$B$5:$K$104,10,FALSE)),"")</f>
        <v/>
      </c>
      <c r="AB97" s="51">
        <f>IFERROR(IF(A97="","",MAX(0,V97-R97)*AA97),"")</f>
        <v/>
      </c>
      <c r="AC97" s="51">
        <f>IFERROR(IF(A97="","",V97-R97-X97-Z97-AB97),"")</f>
        <v/>
      </c>
      <c r="AD97" s="49" t="n"/>
      <c r="AE97" s="51">
        <f>IFERROR(IF(A97="","",MAX(0,V97+U97-R97-AD97)),"")</f>
        <v/>
      </c>
      <c r="AF97" s="27">
        <f>IFERROR(IF(A97="","",IF(OR(L97="Inquiry",L97="Tentative",L97="Canceled"),"Not Due",IF(AE97=0,"Paid","Balance Due"))),"")</f>
        <v/>
      </c>
      <c r="AG97" s="25" t="n"/>
      <c r="AH97" s="31" t="n"/>
      <c r="AI97" s="27">
        <f>IFERROR(IF(A97="","",IF(OR(F97="",G97=""),"Missing Date",IF(G97&lt;=F97,"Invalid Date","OK"))),"")</f>
        <v/>
      </c>
      <c r="AJ97" s="27">
        <f>IFERROR(IF(OR(A97="",B97="",F97="",G97="",L97="Canceled"),"",IF(COUNTIFS($B$4:$B$153,B97,$F$4:$F$153,"&lt;"&amp;G97,$G$4:$G$153,"&gt;"&amp;F97,$A$4:$A$153,"&lt;&gt;"&amp;A97,$L$4:$L$153,"&lt;&gt;Canceled")&gt;0,"Possible Overlap","OK")),"")</f>
        <v/>
      </c>
      <c r="AK97" s="27">
        <f>IFERROR(IF(COUNTA(A97:G97)=0,"",IF(A97="","Missing Reservation ID",IF(B97="","Missing Property",IF(AND(AE97&gt;='Assumptions'!$B$115,L97&lt;&gt;"Canceled"),"Review Balance",IF(OR(L97="Inquiry",L97="Tentative"),"Review Status","OK"))))),"")</f>
        <v/>
      </c>
    </row>
    <row r="98">
      <c r="A98" s="25" t="n"/>
      <c r="B98" s="25" t="n"/>
      <c r="C98" s="25" t="n"/>
      <c r="D98" s="25" t="n"/>
      <c r="E98" s="26" t="n"/>
      <c r="F98" s="26" t="n"/>
      <c r="G98" s="26" t="n"/>
      <c r="H98" s="27">
        <f>IFERROR(IF(OR(F98="",G98=""),"",MAX(0,G98-F98)),"")</f>
        <v/>
      </c>
      <c r="I98" s="25" t="n"/>
      <c r="J98" s="25" t="n"/>
      <c r="K98" s="25" t="n"/>
      <c r="L98" s="25" t="n"/>
      <c r="M98" s="49" t="n"/>
      <c r="N98" s="49" t="n"/>
      <c r="O98" s="49" t="n"/>
      <c r="P98" s="49" t="n"/>
      <c r="Q98" s="49" t="n"/>
      <c r="R98" s="49" t="n"/>
      <c r="S98" s="50">
        <f>IFERROR(IF(B98="","",VLOOKUP(B98,'Assumptions'!$B$5:$K$104,7,FALSE)),"")</f>
        <v/>
      </c>
      <c r="T98" s="51">
        <f>IFERROR(IF(A98="","",MAX(0,M98-Q98+(N98+O98+P98)*VLOOKUP(B98,'Assumptions'!$B$5:$K$104,8,FALSE))),"")</f>
        <v/>
      </c>
      <c r="U98" s="51">
        <f>IFERROR(IF(A98="","",T98*S98),"")</f>
        <v/>
      </c>
      <c r="V98" s="51">
        <f>IFERROR(IF(A98="","",MAX(0,M98+N98+O98+P98-Q98)),"")</f>
        <v/>
      </c>
      <c r="W98" s="50">
        <f>IFERROR(IF(D98="","",VLOOKUP(D98,'Assumptions'!$U$5:$V$104,2,FALSE)),"")</f>
        <v/>
      </c>
      <c r="X98" s="51">
        <f>IFERROR(IF(A98="","",V98*W98),"")</f>
        <v/>
      </c>
      <c r="Y98" s="50">
        <f>IFERROR(IF(B98="","",VLOOKUP(B98,'Assumptions'!$B$5:$K$104,9,FALSE)),"")</f>
        <v/>
      </c>
      <c r="Z98" s="51">
        <f>IFERROR(IF(A98="","",(V98+U98)*Y98),"")</f>
        <v/>
      </c>
      <c r="AA98" s="50">
        <f>IFERROR(IF(B98="","",VLOOKUP(B98,'Assumptions'!$B$5:$K$104,10,FALSE)),"")</f>
        <v/>
      </c>
      <c r="AB98" s="51">
        <f>IFERROR(IF(A98="","",MAX(0,V98-R98)*AA98),"")</f>
        <v/>
      </c>
      <c r="AC98" s="51">
        <f>IFERROR(IF(A98="","",V98-R98-X98-Z98-AB98),"")</f>
        <v/>
      </c>
      <c r="AD98" s="49" t="n"/>
      <c r="AE98" s="51">
        <f>IFERROR(IF(A98="","",MAX(0,V98+U98-R98-AD98)),"")</f>
        <v/>
      </c>
      <c r="AF98" s="27">
        <f>IFERROR(IF(A98="","",IF(OR(L98="Inquiry",L98="Tentative",L98="Canceled"),"Not Due",IF(AE98=0,"Paid","Balance Due"))),"")</f>
        <v/>
      </c>
      <c r="AG98" s="25" t="n"/>
      <c r="AH98" s="31" t="n"/>
      <c r="AI98" s="27">
        <f>IFERROR(IF(A98="","",IF(OR(F98="",G98=""),"Missing Date",IF(G98&lt;=F98,"Invalid Date","OK"))),"")</f>
        <v/>
      </c>
      <c r="AJ98" s="27">
        <f>IFERROR(IF(OR(A98="",B98="",F98="",G98="",L98="Canceled"),"",IF(COUNTIFS($B$4:$B$153,B98,$F$4:$F$153,"&lt;"&amp;G98,$G$4:$G$153,"&gt;"&amp;F98,$A$4:$A$153,"&lt;&gt;"&amp;A98,$L$4:$L$153,"&lt;&gt;Canceled")&gt;0,"Possible Overlap","OK")),"")</f>
        <v/>
      </c>
      <c r="AK98" s="27">
        <f>IFERROR(IF(COUNTA(A98:G98)=0,"",IF(A98="","Missing Reservation ID",IF(B98="","Missing Property",IF(AND(AE98&gt;='Assumptions'!$B$115,L98&lt;&gt;"Canceled"),"Review Balance",IF(OR(L98="Inquiry",L98="Tentative"),"Review Status","OK"))))),"")</f>
        <v/>
      </c>
    </row>
    <row r="99">
      <c r="A99" s="25" t="n"/>
      <c r="B99" s="25" t="n"/>
      <c r="C99" s="25" t="n"/>
      <c r="D99" s="25" t="n"/>
      <c r="E99" s="26" t="n"/>
      <c r="F99" s="26" t="n"/>
      <c r="G99" s="26" t="n"/>
      <c r="H99" s="27">
        <f>IFERROR(IF(OR(F99="",G99=""),"",MAX(0,G99-F99)),"")</f>
        <v/>
      </c>
      <c r="I99" s="25" t="n"/>
      <c r="J99" s="25" t="n"/>
      <c r="K99" s="25" t="n"/>
      <c r="L99" s="25" t="n"/>
      <c r="M99" s="49" t="n"/>
      <c r="N99" s="49" t="n"/>
      <c r="O99" s="49" t="n"/>
      <c r="P99" s="49" t="n"/>
      <c r="Q99" s="49" t="n"/>
      <c r="R99" s="49" t="n"/>
      <c r="S99" s="50">
        <f>IFERROR(IF(B99="","",VLOOKUP(B99,'Assumptions'!$B$5:$K$104,7,FALSE)),"")</f>
        <v/>
      </c>
      <c r="T99" s="51">
        <f>IFERROR(IF(A99="","",MAX(0,M99-Q99+(N99+O99+P99)*VLOOKUP(B99,'Assumptions'!$B$5:$K$104,8,FALSE))),"")</f>
        <v/>
      </c>
      <c r="U99" s="51">
        <f>IFERROR(IF(A99="","",T99*S99),"")</f>
        <v/>
      </c>
      <c r="V99" s="51">
        <f>IFERROR(IF(A99="","",MAX(0,M99+N99+O99+P99-Q99)),"")</f>
        <v/>
      </c>
      <c r="W99" s="50">
        <f>IFERROR(IF(D99="","",VLOOKUP(D99,'Assumptions'!$U$5:$V$104,2,FALSE)),"")</f>
        <v/>
      </c>
      <c r="X99" s="51">
        <f>IFERROR(IF(A99="","",V99*W99),"")</f>
        <v/>
      </c>
      <c r="Y99" s="50">
        <f>IFERROR(IF(B99="","",VLOOKUP(B99,'Assumptions'!$B$5:$K$104,9,FALSE)),"")</f>
        <v/>
      </c>
      <c r="Z99" s="51">
        <f>IFERROR(IF(A99="","",(V99+U99)*Y99),"")</f>
        <v/>
      </c>
      <c r="AA99" s="50">
        <f>IFERROR(IF(B99="","",VLOOKUP(B99,'Assumptions'!$B$5:$K$104,10,FALSE)),"")</f>
        <v/>
      </c>
      <c r="AB99" s="51">
        <f>IFERROR(IF(A99="","",MAX(0,V99-R99)*AA99),"")</f>
        <v/>
      </c>
      <c r="AC99" s="51">
        <f>IFERROR(IF(A99="","",V99-R99-X99-Z99-AB99),"")</f>
        <v/>
      </c>
      <c r="AD99" s="49" t="n"/>
      <c r="AE99" s="51">
        <f>IFERROR(IF(A99="","",MAX(0,V99+U99-R99-AD99)),"")</f>
        <v/>
      </c>
      <c r="AF99" s="27">
        <f>IFERROR(IF(A99="","",IF(OR(L99="Inquiry",L99="Tentative",L99="Canceled"),"Not Due",IF(AE99=0,"Paid","Balance Due"))),"")</f>
        <v/>
      </c>
      <c r="AG99" s="25" t="n"/>
      <c r="AH99" s="31" t="n"/>
      <c r="AI99" s="27">
        <f>IFERROR(IF(A99="","",IF(OR(F99="",G99=""),"Missing Date",IF(G99&lt;=F99,"Invalid Date","OK"))),"")</f>
        <v/>
      </c>
      <c r="AJ99" s="27">
        <f>IFERROR(IF(OR(A99="",B99="",F99="",G99="",L99="Canceled"),"",IF(COUNTIFS($B$4:$B$153,B99,$F$4:$F$153,"&lt;"&amp;G99,$G$4:$G$153,"&gt;"&amp;F99,$A$4:$A$153,"&lt;&gt;"&amp;A99,$L$4:$L$153,"&lt;&gt;Canceled")&gt;0,"Possible Overlap","OK")),"")</f>
        <v/>
      </c>
      <c r="AK99" s="27">
        <f>IFERROR(IF(COUNTA(A99:G99)=0,"",IF(A99="","Missing Reservation ID",IF(B99="","Missing Property",IF(AND(AE99&gt;='Assumptions'!$B$115,L99&lt;&gt;"Canceled"),"Review Balance",IF(OR(L99="Inquiry",L99="Tentative"),"Review Status","OK"))))),"")</f>
        <v/>
      </c>
    </row>
    <row r="100">
      <c r="A100" s="25" t="n"/>
      <c r="B100" s="25" t="n"/>
      <c r="C100" s="25" t="n"/>
      <c r="D100" s="25" t="n"/>
      <c r="E100" s="26" t="n"/>
      <c r="F100" s="26" t="n"/>
      <c r="G100" s="26" t="n"/>
      <c r="H100" s="27">
        <f>IFERROR(IF(OR(F100="",G100=""),"",MAX(0,G100-F100)),"")</f>
        <v/>
      </c>
      <c r="I100" s="25" t="n"/>
      <c r="J100" s="25" t="n"/>
      <c r="K100" s="25" t="n"/>
      <c r="L100" s="25" t="n"/>
      <c r="M100" s="49" t="n"/>
      <c r="N100" s="49" t="n"/>
      <c r="O100" s="49" t="n"/>
      <c r="P100" s="49" t="n"/>
      <c r="Q100" s="49" t="n"/>
      <c r="R100" s="49" t="n"/>
      <c r="S100" s="50">
        <f>IFERROR(IF(B100="","",VLOOKUP(B100,'Assumptions'!$B$5:$K$104,7,FALSE)),"")</f>
        <v/>
      </c>
      <c r="T100" s="51">
        <f>IFERROR(IF(A100="","",MAX(0,M100-Q100+(N100+O100+P100)*VLOOKUP(B100,'Assumptions'!$B$5:$K$104,8,FALSE))),"")</f>
        <v/>
      </c>
      <c r="U100" s="51">
        <f>IFERROR(IF(A100="","",T100*S100),"")</f>
        <v/>
      </c>
      <c r="V100" s="51">
        <f>IFERROR(IF(A100="","",MAX(0,M100+N100+O100+P100-Q100)),"")</f>
        <v/>
      </c>
      <c r="W100" s="50">
        <f>IFERROR(IF(D100="","",VLOOKUP(D100,'Assumptions'!$U$5:$V$104,2,FALSE)),"")</f>
        <v/>
      </c>
      <c r="X100" s="51">
        <f>IFERROR(IF(A100="","",V100*W100),"")</f>
        <v/>
      </c>
      <c r="Y100" s="50">
        <f>IFERROR(IF(B100="","",VLOOKUP(B100,'Assumptions'!$B$5:$K$104,9,FALSE)),"")</f>
        <v/>
      </c>
      <c r="Z100" s="51">
        <f>IFERROR(IF(A100="","",(V100+U100)*Y100),"")</f>
        <v/>
      </c>
      <c r="AA100" s="50">
        <f>IFERROR(IF(B100="","",VLOOKUP(B100,'Assumptions'!$B$5:$K$104,10,FALSE)),"")</f>
        <v/>
      </c>
      <c r="AB100" s="51">
        <f>IFERROR(IF(A100="","",MAX(0,V100-R100)*AA100),"")</f>
        <v/>
      </c>
      <c r="AC100" s="51">
        <f>IFERROR(IF(A100="","",V100-R100-X100-Z100-AB100),"")</f>
        <v/>
      </c>
      <c r="AD100" s="49" t="n"/>
      <c r="AE100" s="51">
        <f>IFERROR(IF(A100="","",MAX(0,V100+U100-R100-AD100)),"")</f>
        <v/>
      </c>
      <c r="AF100" s="27">
        <f>IFERROR(IF(A100="","",IF(OR(L100="Inquiry",L100="Tentative",L100="Canceled"),"Not Due",IF(AE100=0,"Paid","Balance Due"))),"")</f>
        <v/>
      </c>
      <c r="AG100" s="25" t="n"/>
      <c r="AH100" s="31" t="n"/>
      <c r="AI100" s="27">
        <f>IFERROR(IF(A100="","",IF(OR(F100="",G100=""),"Missing Date",IF(G100&lt;=F100,"Invalid Date","OK"))),"")</f>
        <v/>
      </c>
      <c r="AJ100" s="27">
        <f>IFERROR(IF(OR(A100="",B100="",F100="",G100="",L100="Canceled"),"",IF(COUNTIFS($B$4:$B$153,B100,$F$4:$F$153,"&lt;"&amp;G100,$G$4:$G$153,"&gt;"&amp;F100,$A$4:$A$153,"&lt;&gt;"&amp;A100,$L$4:$L$153,"&lt;&gt;Canceled")&gt;0,"Possible Overlap","OK")),"")</f>
        <v/>
      </c>
      <c r="AK100" s="27">
        <f>IFERROR(IF(COUNTA(A100:G100)=0,"",IF(A100="","Missing Reservation ID",IF(B100="","Missing Property",IF(AND(AE100&gt;='Assumptions'!$B$115,L100&lt;&gt;"Canceled"),"Review Balance",IF(OR(L100="Inquiry",L100="Tentative"),"Review Status","OK"))))),"")</f>
        <v/>
      </c>
    </row>
    <row r="101">
      <c r="A101" s="25" t="n"/>
      <c r="B101" s="25" t="n"/>
      <c r="C101" s="25" t="n"/>
      <c r="D101" s="25" t="n"/>
      <c r="E101" s="26" t="n"/>
      <c r="F101" s="26" t="n"/>
      <c r="G101" s="26" t="n"/>
      <c r="H101" s="27">
        <f>IFERROR(IF(OR(F101="",G101=""),"",MAX(0,G101-F101)),"")</f>
        <v/>
      </c>
      <c r="I101" s="25" t="n"/>
      <c r="J101" s="25" t="n"/>
      <c r="K101" s="25" t="n"/>
      <c r="L101" s="25" t="n"/>
      <c r="M101" s="49" t="n"/>
      <c r="N101" s="49" t="n"/>
      <c r="O101" s="49" t="n"/>
      <c r="P101" s="49" t="n"/>
      <c r="Q101" s="49" t="n"/>
      <c r="R101" s="49" t="n"/>
      <c r="S101" s="50">
        <f>IFERROR(IF(B101="","",VLOOKUP(B101,'Assumptions'!$B$5:$K$104,7,FALSE)),"")</f>
        <v/>
      </c>
      <c r="T101" s="51">
        <f>IFERROR(IF(A101="","",MAX(0,M101-Q101+(N101+O101+P101)*VLOOKUP(B101,'Assumptions'!$B$5:$K$104,8,FALSE))),"")</f>
        <v/>
      </c>
      <c r="U101" s="51">
        <f>IFERROR(IF(A101="","",T101*S101),"")</f>
        <v/>
      </c>
      <c r="V101" s="51">
        <f>IFERROR(IF(A101="","",MAX(0,M101+N101+O101+P101-Q101)),"")</f>
        <v/>
      </c>
      <c r="W101" s="50">
        <f>IFERROR(IF(D101="","",VLOOKUP(D101,'Assumptions'!$U$5:$V$104,2,FALSE)),"")</f>
        <v/>
      </c>
      <c r="X101" s="51">
        <f>IFERROR(IF(A101="","",V101*W101),"")</f>
        <v/>
      </c>
      <c r="Y101" s="50">
        <f>IFERROR(IF(B101="","",VLOOKUP(B101,'Assumptions'!$B$5:$K$104,9,FALSE)),"")</f>
        <v/>
      </c>
      <c r="Z101" s="51">
        <f>IFERROR(IF(A101="","",(V101+U101)*Y101),"")</f>
        <v/>
      </c>
      <c r="AA101" s="50">
        <f>IFERROR(IF(B101="","",VLOOKUP(B101,'Assumptions'!$B$5:$K$104,10,FALSE)),"")</f>
        <v/>
      </c>
      <c r="AB101" s="51">
        <f>IFERROR(IF(A101="","",MAX(0,V101-R101)*AA101),"")</f>
        <v/>
      </c>
      <c r="AC101" s="51">
        <f>IFERROR(IF(A101="","",V101-R101-X101-Z101-AB101),"")</f>
        <v/>
      </c>
      <c r="AD101" s="49" t="n"/>
      <c r="AE101" s="51">
        <f>IFERROR(IF(A101="","",MAX(0,V101+U101-R101-AD101)),"")</f>
        <v/>
      </c>
      <c r="AF101" s="27">
        <f>IFERROR(IF(A101="","",IF(OR(L101="Inquiry",L101="Tentative",L101="Canceled"),"Not Due",IF(AE101=0,"Paid","Balance Due"))),"")</f>
        <v/>
      </c>
      <c r="AG101" s="25" t="n"/>
      <c r="AH101" s="31" t="n"/>
      <c r="AI101" s="27">
        <f>IFERROR(IF(A101="","",IF(OR(F101="",G101=""),"Missing Date",IF(G101&lt;=F101,"Invalid Date","OK"))),"")</f>
        <v/>
      </c>
      <c r="AJ101" s="27">
        <f>IFERROR(IF(OR(A101="",B101="",F101="",G101="",L101="Canceled"),"",IF(COUNTIFS($B$4:$B$153,B101,$F$4:$F$153,"&lt;"&amp;G101,$G$4:$G$153,"&gt;"&amp;F101,$A$4:$A$153,"&lt;&gt;"&amp;A101,$L$4:$L$153,"&lt;&gt;Canceled")&gt;0,"Possible Overlap","OK")),"")</f>
        <v/>
      </c>
      <c r="AK101" s="27">
        <f>IFERROR(IF(COUNTA(A101:G101)=0,"",IF(A101="","Missing Reservation ID",IF(B101="","Missing Property",IF(AND(AE101&gt;='Assumptions'!$B$115,L101&lt;&gt;"Canceled"),"Review Balance",IF(OR(L101="Inquiry",L101="Tentative"),"Review Status","OK"))))),"")</f>
        <v/>
      </c>
    </row>
    <row r="102">
      <c r="A102" s="25" t="n"/>
      <c r="B102" s="25" t="n"/>
      <c r="C102" s="25" t="n"/>
      <c r="D102" s="25" t="n"/>
      <c r="E102" s="26" t="n"/>
      <c r="F102" s="26" t="n"/>
      <c r="G102" s="26" t="n"/>
      <c r="H102" s="27">
        <f>IFERROR(IF(OR(F102="",G102=""),"",MAX(0,G102-F102)),"")</f>
        <v/>
      </c>
      <c r="I102" s="25" t="n"/>
      <c r="J102" s="25" t="n"/>
      <c r="K102" s="25" t="n"/>
      <c r="L102" s="25" t="n"/>
      <c r="M102" s="49" t="n"/>
      <c r="N102" s="49" t="n"/>
      <c r="O102" s="49" t="n"/>
      <c r="P102" s="49" t="n"/>
      <c r="Q102" s="49" t="n"/>
      <c r="R102" s="49" t="n"/>
      <c r="S102" s="50">
        <f>IFERROR(IF(B102="","",VLOOKUP(B102,'Assumptions'!$B$5:$K$104,7,FALSE)),"")</f>
        <v/>
      </c>
      <c r="T102" s="51">
        <f>IFERROR(IF(A102="","",MAX(0,M102-Q102+(N102+O102+P102)*VLOOKUP(B102,'Assumptions'!$B$5:$K$104,8,FALSE))),"")</f>
        <v/>
      </c>
      <c r="U102" s="51">
        <f>IFERROR(IF(A102="","",T102*S102),"")</f>
        <v/>
      </c>
      <c r="V102" s="51">
        <f>IFERROR(IF(A102="","",MAX(0,M102+N102+O102+P102-Q102)),"")</f>
        <v/>
      </c>
      <c r="W102" s="50">
        <f>IFERROR(IF(D102="","",VLOOKUP(D102,'Assumptions'!$U$5:$V$104,2,FALSE)),"")</f>
        <v/>
      </c>
      <c r="X102" s="51">
        <f>IFERROR(IF(A102="","",V102*W102),"")</f>
        <v/>
      </c>
      <c r="Y102" s="50">
        <f>IFERROR(IF(B102="","",VLOOKUP(B102,'Assumptions'!$B$5:$K$104,9,FALSE)),"")</f>
        <v/>
      </c>
      <c r="Z102" s="51">
        <f>IFERROR(IF(A102="","",(V102+U102)*Y102),"")</f>
        <v/>
      </c>
      <c r="AA102" s="50">
        <f>IFERROR(IF(B102="","",VLOOKUP(B102,'Assumptions'!$B$5:$K$104,10,FALSE)),"")</f>
        <v/>
      </c>
      <c r="AB102" s="51">
        <f>IFERROR(IF(A102="","",MAX(0,V102-R102)*AA102),"")</f>
        <v/>
      </c>
      <c r="AC102" s="51">
        <f>IFERROR(IF(A102="","",V102-R102-X102-Z102-AB102),"")</f>
        <v/>
      </c>
      <c r="AD102" s="49" t="n"/>
      <c r="AE102" s="51">
        <f>IFERROR(IF(A102="","",MAX(0,V102+U102-R102-AD102)),"")</f>
        <v/>
      </c>
      <c r="AF102" s="27">
        <f>IFERROR(IF(A102="","",IF(OR(L102="Inquiry",L102="Tentative",L102="Canceled"),"Not Due",IF(AE102=0,"Paid","Balance Due"))),"")</f>
        <v/>
      </c>
      <c r="AG102" s="25" t="n"/>
      <c r="AH102" s="31" t="n"/>
      <c r="AI102" s="27">
        <f>IFERROR(IF(A102="","",IF(OR(F102="",G102=""),"Missing Date",IF(G102&lt;=F102,"Invalid Date","OK"))),"")</f>
        <v/>
      </c>
      <c r="AJ102" s="27">
        <f>IFERROR(IF(OR(A102="",B102="",F102="",G102="",L102="Canceled"),"",IF(COUNTIFS($B$4:$B$153,B102,$F$4:$F$153,"&lt;"&amp;G102,$G$4:$G$153,"&gt;"&amp;F102,$A$4:$A$153,"&lt;&gt;"&amp;A102,$L$4:$L$153,"&lt;&gt;Canceled")&gt;0,"Possible Overlap","OK")),"")</f>
        <v/>
      </c>
      <c r="AK102" s="27">
        <f>IFERROR(IF(COUNTA(A102:G102)=0,"",IF(A102="","Missing Reservation ID",IF(B102="","Missing Property",IF(AND(AE102&gt;='Assumptions'!$B$115,L102&lt;&gt;"Canceled"),"Review Balance",IF(OR(L102="Inquiry",L102="Tentative"),"Review Status","OK"))))),"")</f>
        <v/>
      </c>
    </row>
    <row r="103">
      <c r="A103" s="25" t="n"/>
      <c r="B103" s="25" t="n"/>
      <c r="C103" s="25" t="n"/>
      <c r="D103" s="25" t="n"/>
      <c r="E103" s="26" t="n"/>
      <c r="F103" s="26" t="n"/>
      <c r="G103" s="26" t="n"/>
      <c r="H103" s="27">
        <f>IFERROR(IF(OR(F103="",G103=""),"",MAX(0,G103-F103)),"")</f>
        <v/>
      </c>
      <c r="I103" s="25" t="n"/>
      <c r="J103" s="25" t="n"/>
      <c r="K103" s="25" t="n"/>
      <c r="L103" s="25" t="n"/>
      <c r="M103" s="49" t="n"/>
      <c r="N103" s="49" t="n"/>
      <c r="O103" s="49" t="n"/>
      <c r="P103" s="49" t="n"/>
      <c r="Q103" s="49" t="n"/>
      <c r="R103" s="49" t="n"/>
      <c r="S103" s="50">
        <f>IFERROR(IF(B103="","",VLOOKUP(B103,'Assumptions'!$B$5:$K$104,7,FALSE)),"")</f>
        <v/>
      </c>
      <c r="T103" s="51">
        <f>IFERROR(IF(A103="","",MAX(0,M103-Q103+(N103+O103+P103)*VLOOKUP(B103,'Assumptions'!$B$5:$K$104,8,FALSE))),"")</f>
        <v/>
      </c>
      <c r="U103" s="51">
        <f>IFERROR(IF(A103="","",T103*S103),"")</f>
        <v/>
      </c>
      <c r="V103" s="51">
        <f>IFERROR(IF(A103="","",MAX(0,M103+N103+O103+P103-Q103)),"")</f>
        <v/>
      </c>
      <c r="W103" s="50">
        <f>IFERROR(IF(D103="","",VLOOKUP(D103,'Assumptions'!$U$5:$V$104,2,FALSE)),"")</f>
        <v/>
      </c>
      <c r="X103" s="51">
        <f>IFERROR(IF(A103="","",V103*W103),"")</f>
        <v/>
      </c>
      <c r="Y103" s="50">
        <f>IFERROR(IF(B103="","",VLOOKUP(B103,'Assumptions'!$B$5:$K$104,9,FALSE)),"")</f>
        <v/>
      </c>
      <c r="Z103" s="51">
        <f>IFERROR(IF(A103="","",(V103+U103)*Y103),"")</f>
        <v/>
      </c>
      <c r="AA103" s="50">
        <f>IFERROR(IF(B103="","",VLOOKUP(B103,'Assumptions'!$B$5:$K$104,10,FALSE)),"")</f>
        <v/>
      </c>
      <c r="AB103" s="51">
        <f>IFERROR(IF(A103="","",MAX(0,V103-R103)*AA103),"")</f>
        <v/>
      </c>
      <c r="AC103" s="51">
        <f>IFERROR(IF(A103="","",V103-R103-X103-Z103-AB103),"")</f>
        <v/>
      </c>
      <c r="AD103" s="49" t="n"/>
      <c r="AE103" s="51">
        <f>IFERROR(IF(A103="","",MAX(0,V103+U103-R103-AD103)),"")</f>
        <v/>
      </c>
      <c r="AF103" s="27">
        <f>IFERROR(IF(A103="","",IF(OR(L103="Inquiry",L103="Tentative",L103="Canceled"),"Not Due",IF(AE103=0,"Paid","Balance Due"))),"")</f>
        <v/>
      </c>
      <c r="AG103" s="25" t="n"/>
      <c r="AH103" s="31" t="n"/>
      <c r="AI103" s="27">
        <f>IFERROR(IF(A103="","",IF(OR(F103="",G103=""),"Missing Date",IF(G103&lt;=F103,"Invalid Date","OK"))),"")</f>
        <v/>
      </c>
      <c r="AJ103" s="27">
        <f>IFERROR(IF(OR(A103="",B103="",F103="",G103="",L103="Canceled"),"",IF(COUNTIFS($B$4:$B$153,B103,$F$4:$F$153,"&lt;"&amp;G103,$G$4:$G$153,"&gt;"&amp;F103,$A$4:$A$153,"&lt;&gt;"&amp;A103,$L$4:$L$153,"&lt;&gt;Canceled")&gt;0,"Possible Overlap","OK")),"")</f>
        <v/>
      </c>
      <c r="AK103" s="27">
        <f>IFERROR(IF(COUNTA(A103:G103)=0,"",IF(A103="","Missing Reservation ID",IF(B103="","Missing Property",IF(AND(AE103&gt;='Assumptions'!$B$115,L103&lt;&gt;"Canceled"),"Review Balance",IF(OR(L103="Inquiry",L103="Tentative"),"Review Status","OK"))))),"")</f>
        <v/>
      </c>
    </row>
    <row r="104">
      <c r="A104" s="25" t="n"/>
      <c r="B104" s="25" t="n"/>
      <c r="C104" s="25" t="n"/>
      <c r="D104" s="25" t="n"/>
      <c r="E104" s="26" t="n"/>
      <c r="F104" s="26" t="n"/>
      <c r="G104" s="26" t="n"/>
      <c r="H104" s="27">
        <f>IFERROR(IF(OR(F104="",G104=""),"",MAX(0,G104-F104)),"")</f>
        <v/>
      </c>
      <c r="I104" s="25" t="n"/>
      <c r="J104" s="25" t="n"/>
      <c r="K104" s="25" t="n"/>
      <c r="L104" s="25" t="n"/>
      <c r="M104" s="49" t="n"/>
      <c r="N104" s="49" t="n"/>
      <c r="O104" s="49" t="n"/>
      <c r="P104" s="49" t="n"/>
      <c r="Q104" s="49" t="n"/>
      <c r="R104" s="49" t="n"/>
      <c r="S104" s="50">
        <f>IFERROR(IF(B104="","",VLOOKUP(B104,'Assumptions'!$B$5:$K$104,7,FALSE)),"")</f>
        <v/>
      </c>
      <c r="T104" s="51">
        <f>IFERROR(IF(A104="","",MAX(0,M104-Q104+(N104+O104+P104)*VLOOKUP(B104,'Assumptions'!$B$5:$K$104,8,FALSE))),"")</f>
        <v/>
      </c>
      <c r="U104" s="51">
        <f>IFERROR(IF(A104="","",T104*S104),"")</f>
        <v/>
      </c>
      <c r="V104" s="51">
        <f>IFERROR(IF(A104="","",MAX(0,M104+N104+O104+P104-Q104)),"")</f>
        <v/>
      </c>
      <c r="W104" s="50">
        <f>IFERROR(IF(D104="","",VLOOKUP(D104,'Assumptions'!$U$5:$V$104,2,FALSE)),"")</f>
        <v/>
      </c>
      <c r="X104" s="51">
        <f>IFERROR(IF(A104="","",V104*W104),"")</f>
        <v/>
      </c>
      <c r="Y104" s="50">
        <f>IFERROR(IF(B104="","",VLOOKUP(B104,'Assumptions'!$B$5:$K$104,9,FALSE)),"")</f>
        <v/>
      </c>
      <c r="Z104" s="51">
        <f>IFERROR(IF(A104="","",(V104+U104)*Y104),"")</f>
        <v/>
      </c>
      <c r="AA104" s="50">
        <f>IFERROR(IF(B104="","",VLOOKUP(B104,'Assumptions'!$B$5:$K$104,10,FALSE)),"")</f>
        <v/>
      </c>
      <c r="AB104" s="51">
        <f>IFERROR(IF(A104="","",MAX(0,V104-R104)*AA104),"")</f>
        <v/>
      </c>
      <c r="AC104" s="51">
        <f>IFERROR(IF(A104="","",V104-R104-X104-Z104-AB104),"")</f>
        <v/>
      </c>
      <c r="AD104" s="49" t="n"/>
      <c r="AE104" s="51">
        <f>IFERROR(IF(A104="","",MAX(0,V104+U104-R104-AD104)),"")</f>
        <v/>
      </c>
      <c r="AF104" s="27">
        <f>IFERROR(IF(A104="","",IF(OR(L104="Inquiry",L104="Tentative",L104="Canceled"),"Not Due",IF(AE104=0,"Paid","Balance Due"))),"")</f>
        <v/>
      </c>
      <c r="AG104" s="25" t="n"/>
      <c r="AH104" s="31" t="n"/>
      <c r="AI104" s="27">
        <f>IFERROR(IF(A104="","",IF(OR(F104="",G104=""),"Missing Date",IF(G104&lt;=F104,"Invalid Date","OK"))),"")</f>
        <v/>
      </c>
      <c r="AJ104" s="27">
        <f>IFERROR(IF(OR(A104="",B104="",F104="",G104="",L104="Canceled"),"",IF(COUNTIFS($B$4:$B$153,B104,$F$4:$F$153,"&lt;"&amp;G104,$G$4:$G$153,"&gt;"&amp;F104,$A$4:$A$153,"&lt;&gt;"&amp;A104,$L$4:$L$153,"&lt;&gt;Canceled")&gt;0,"Possible Overlap","OK")),"")</f>
        <v/>
      </c>
      <c r="AK104" s="27">
        <f>IFERROR(IF(COUNTA(A104:G104)=0,"",IF(A104="","Missing Reservation ID",IF(B104="","Missing Property",IF(AND(AE104&gt;='Assumptions'!$B$115,L104&lt;&gt;"Canceled"),"Review Balance",IF(OR(L104="Inquiry",L104="Tentative"),"Review Status","OK"))))),"")</f>
        <v/>
      </c>
    </row>
    <row r="105">
      <c r="A105" s="25" t="n"/>
      <c r="B105" s="25" t="n"/>
      <c r="C105" s="25" t="n"/>
      <c r="D105" s="25" t="n"/>
      <c r="E105" s="26" t="n"/>
      <c r="F105" s="26" t="n"/>
      <c r="G105" s="26" t="n"/>
      <c r="H105" s="27">
        <f>IFERROR(IF(OR(F105="",G105=""),"",MAX(0,G105-F105)),"")</f>
        <v/>
      </c>
      <c r="I105" s="25" t="n"/>
      <c r="J105" s="25" t="n"/>
      <c r="K105" s="25" t="n"/>
      <c r="L105" s="25" t="n"/>
      <c r="M105" s="49" t="n"/>
      <c r="N105" s="49" t="n"/>
      <c r="O105" s="49" t="n"/>
      <c r="P105" s="49" t="n"/>
      <c r="Q105" s="49" t="n"/>
      <c r="R105" s="49" t="n"/>
      <c r="S105" s="50">
        <f>IFERROR(IF(B105="","",VLOOKUP(B105,'Assumptions'!$B$5:$K$104,7,FALSE)),"")</f>
        <v/>
      </c>
      <c r="T105" s="51">
        <f>IFERROR(IF(A105="","",MAX(0,M105-Q105+(N105+O105+P105)*VLOOKUP(B105,'Assumptions'!$B$5:$K$104,8,FALSE))),"")</f>
        <v/>
      </c>
      <c r="U105" s="51">
        <f>IFERROR(IF(A105="","",T105*S105),"")</f>
        <v/>
      </c>
      <c r="V105" s="51">
        <f>IFERROR(IF(A105="","",MAX(0,M105+N105+O105+P105-Q105)),"")</f>
        <v/>
      </c>
      <c r="W105" s="50">
        <f>IFERROR(IF(D105="","",VLOOKUP(D105,'Assumptions'!$U$5:$V$104,2,FALSE)),"")</f>
        <v/>
      </c>
      <c r="X105" s="51">
        <f>IFERROR(IF(A105="","",V105*W105),"")</f>
        <v/>
      </c>
      <c r="Y105" s="50">
        <f>IFERROR(IF(B105="","",VLOOKUP(B105,'Assumptions'!$B$5:$K$104,9,FALSE)),"")</f>
        <v/>
      </c>
      <c r="Z105" s="51">
        <f>IFERROR(IF(A105="","",(V105+U105)*Y105),"")</f>
        <v/>
      </c>
      <c r="AA105" s="50">
        <f>IFERROR(IF(B105="","",VLOOKUP(B105,'Assumptions'!$B$5:$K$104,10,FALSE)),"")</f>
        <v/>
      </c>
      <c r="AB105" s="51">
        <f>IFERROR(IF(A105="","",MAX(0,V105-R105)*AA105),"")</f>
        <v/>
      </c>
      <c r="AC105" s="51">
        <f>IFERROR(IF(A105="","",V105-R105-X105-Z105-AB105),"")</f>
        <v/>
      </c>
      <c r="AD105" s="49" t="n"/>
      <c r="AE105" s="51">
        <f>IFERROR(IF(A105="","",MAX(0,V105+U105-R105-AD105)),"")</f>
        <v/>
      </c>
      <c r="AF105" s="27">
        <f>IFERROR(IF(A105="","",IF(OR(L105="Inquiry",L105="Tentative",L105="Canceled"),"Not Due",IF(AE105=0,"Paid","Balance Due"))),"")</f>
        <v/>
      </c>
      <c r="AG105" s="25" t="n"/>
      <c r="AH105" s="31" t="n"/>
      <c r="AI105" s="27">
        <f>IFERROR(IF(A105="","",IF(OR(F105="",G105=""),"Missing Date",IF(G105&lt;=F105,"Invalid Date","OK"))),"")</f>
        <v/>
      </c>
      <c r="AJ105" s="27">
        <f>IFERROR(IF(OR(A105="",B105="",F105="",G105="",L105="Canceled"),"",IF(COUNTIFS($B$4:$B$153,B105,$F$4:$F$153,"&lt;"&amp;G105,$G$4:$G$153,"&gt;"&amp;F105,$A$4:$A$153,"&lt;&gt;"&amp;A105,$L$4:$L$153,"&lt;&gt;Canceled")&gt;0,"Possible Overlap","OK")),"")</f>
        <v/>
      </c>
      <c r="AK105" s="27">
        <f>IFERROR(IF(COUNTA(A105:G105)=0,"",IF(A105="","Missing Reservation ID",IF(B105="","Missing Property",IF(AND(AE105&gt;='Assumptions'!$B$115,L105&lt;&gt;"Canceled"),"Review Balance",IF(OR(L105="Inquiry",L105="Tentative"),"Review Status","OK"))))),"")</f>
        <v/>
      </c>
    </row>
    <row r="106">
      <c r="A106" s="25" t="n"/>
      <c r="B106" s="25" t="n"/>
      <c r="C106" s="25" t="n"/>
      <c r="D106" s="25" t="n"/>
      <c r="E106" s="26" t="n"/>
      <c r="F106" s="26" t="n"/>
      <c r="G106" s="26" t="n"/>
      <c r="H106" s="27">
        <f>IFERROR(IF(OR(F106="",G106=""),"",MAX(0,G106-F106)),"")</f>
        <v/>
      </c>
      <c r="I106" s="25" t="n"/>
      <c r="J106" s="25" t="n"/>
      <c r="K106" s="25" t="n"/>
      <c r="L106" s="25" t="n"/>
      <c r="M106" s="49" t="n"/>
      <c r="N106" s="49" t="n"/>
      <c r="O106" s="49" t="n"/>
      <c r="P106" s="49" t="n"/>
      <c r="Q106" s="49" t="n"/>
      <c r="R106" s="49" t="n"/>
      <c r="S106" s="50">
        <f>IFERROR(IF(B106="","",VLOOKUP(B106,'Assumptions'!$B$5:$K$104,7,FALSE)),"")</f>
        <v/>
      </c>
      <c r="T106" s="51">
        <f>IFERROR(IF(A106="","",MAX(0,M106-Q106+(N106+O106+P106)*VLOOKUP(B106,'Assumptions'!$B$5:$K$104,8,FALSE))),"")</f>
        <v/>
      </c>
      <c r="U106" s="51">
        <f>IFERROR(IF(A106="","",T106*S106),"")</f>
        <v/>
      </c>
      <c r="V106" s="51">
        <f>IFERROR(IF(A106="","",MAX(0,M106+N106+O106+P106-Q106)),"")</f>
        <v/>
      </c>
      <c r="W106" s="50">
        <f>IFERROR(IF(D106="","",VLOOKUP(D106,'Assumptions'!$U$5:$V$104,2,FALSE)),"")</f>
        <v/>
      </c>
      <c r="X106" s="51">
        <f>IFERROR(IF(A106="","",V106*W106),"")</f>
        <v/>
      </c>
      <c r="Y106" s="50">
        <f>IFERROR(IF(B106="","",VLOOKUP(B106,'Assumptions'!$B$5:$K$104,9,FALSE)),"")</f>
        <v/>
      </c>
      <c r="Z106" s="51">
        <f>IFERROR(IF(A106="","",(V106+U106)*Y106),"")</f>
        <v/>
      </c>
      <c r="AA106" s="50">
        <f>IFERROR(IF(B106="","",VLOOKUP(B106,'Assumptions'!$B$5:$K$104,10,FALSE)),"")</f>
        <v/>
      </c>
      <c r="AB106" s="51">
        <f>IFERROR(IF(A106="","",MAX(0,V106-R106)*AA106),"")</f>
        <v/>
      </c>
      <c r="AC106" s="51">
        <f>IFERROR(IF(A106="","",V106-R106-X106-Z106-AB106),"")</f>
        <v/>
      </c>
      <c r="AD106" s="49" t="n"/>
      <c r="AE106" s="51">
        <f>IFERROR(IF(A106="","",MAX(0,V106+U106-R106-AD106)),"")</f>
        <v/>
      </c>
      <c r="AF106" s="27">
        <f>IFERROR(IF(A106="","",IF(OR(L106="Inquiry",L106="Tentative",L106="Canceled"),"Not Due",IF(AE106=0,"Paid","Balance Due"))),"")</f>
        <v/>
      </c>
      <c r="AG106" s="25" t="n"/>
      <c r="AH106" s="31" t="n"/>
      <c r="AI106" s="27">
        <f>IFERROR(IF(A106="","",IF(OR(F106="",G106=""),"Missing Date",IF(G106&lt;=F106,"Invalid Date","OK"))),"")</f>
        <v/>
      </c>
      <c r="AJ106" s="27">
        <f>IFERROR(IF(OR(A106="",B106="",F106="",G106="",L106="Canceled"),"",IF(COUNTIFS($B$4:$B$153,B106,$F$4:$F$153,"&lt;"&amp;G106,$G$4:$G$153,"&gt;"&amp;F106,$A$4:$A$153,"&lt;&gt;"&amp;A106,$L$4:$L$153,"&lt;&gt;Canceled")&gt;0,"Possible Overlap","OK")),"")</f>
        <v/>
      </c>
      <c r="AK106" s="27">
        <f>IFERROR(IF(COUNTA(A106:G106)=0,"",IF(A106="","Missing Reservation ID",IF(B106="","Missing Property",IF(AND(AE106&gt;='Assumptions'!$B$115,L106&lt;&gt;"Canceled"),"Review Balance",IF(OR(L106="Inquiry",L106="Tentative"),"Review Status","OK"))))),"")</f>
        <v/>
      </c>
    </row>
    <row r="107">
      <c r="A107" s="25" t="n"/>
      <c r="B107" s="25" t="n"/>
      <c r="C107" s="25" t="n"/>
      <c r="D107" s="25" t="n"/>
      <c r="E107" s="26" t="n"/>
      <c r="F107" s="26" t="n"/>
      <c r="G107" s="26" t="n"/>
      <c r="H107" s="27">
        <f>IFERROR(IF(OR(F107="",G107=""),"",MAX(0,G107-F107)),"")</f>
        <v/>
      </c>
      <c r="I107" s="25" t="n"/>
      <c r="J107" s="25" t="n"/>
      <c r="K107" s="25" t="n"/>
      <c r="L107" s="25" t="n"/>
      <c r="M107" s="49" t="n"/>
      <c r="N107" s="49" t="n"/>
      <c r="O107" s="49" t="n"/>
      <c r="P107" s="49" t="n"/>
      <c r="Q107" s="49" t="n"/>
      <c r="R107" s="49" t="n"/>
      <c r="S107" s="50">
        <f>IFERROR(IF(B107="","",VLOOKUP(B107,'Assumptions'!$B$5:$K$104,7,FALSE)),"")</f>
        <v/>
      </c>
      <c r="T107" s="51">
        <f>IFERROR(IF(A107="","",MAX(0,M107-Q107+(N107+O107+P107)*VLOOKUP(B107,'Assumptions'!$B$5:$K$104,8,FALSE))),"")</f>
        <v/>
      </c>
      <c r="U107" s="51">
        <f>IFERROR(IF(A107="","",T107*S107),"")</f>
        <v/>
      </c>
      <c r="V107" s="51">
        <f>IFERROR(IF(A107="","",MAX(0,M107+N107+O107+P107-Q107)),"")</f>
        <v/>
      </c>
      <c r="W107" s="50">
        <f>IFERROR(IF(D107="","",VLOOKUP(D107,'Assumptions'!$U$5:$V$104,2,FALSE)),"")</f>
        <v/>
      </c>
      <c r="X107" s="51">
        <f>IFERROR(IF(A107="","",V107*W107),"")</f>
        <v/>
      </c>
      <c r="Y107" s="50">
        <f>IFERROR(IF(B107="","",VLOOKUP(B107,'Assumptions'!$B$5:$K$104,9,FALSE)),"")</f>
        <v/>
      </c>
      <c r="Z107" s="51">
        <f>IFERROR(IF(A107="","",(V107+U107)*Y107),"")</f>
        <v/>
      </c>
      <c r="AA107" s="50">
        <f>IFERROR(IF(B107="","",VLOOKUP(B107,'Assumptions'!$B$5:$K$104,10,FALSE)),"")</f>
        <v/>
      </c>
      <c r="AB107" s="51">
        <f>IFERROR(IF(A107="","",MAX(0,V107-R107)*AA107),"")</f>
        <v/>
      </c>
      <c r="AC107" s="51">
        <f>IFERROR(IF(A107="","",V107-R107-X107-Z107-AB107),"")</f>
        <v/>
      </c>
      <c r="AD107" s="49" t="n"/>
      <c r="AE107" s="51">
        <f>IFERROR(IF(A107="","",MAX(0,V107+U107-R107-AD107)),"")</f>
        <v/>
      </c>
      <c r="AF107" s="27">
        <f>IFERROR(IF(A107="","",IF(OR(L107="Inquiry",L107="Tentative",L107="Canceled"),"Not Due",IF(AE107=0,"Paid","Balance Due"))),"")</f>
        <v/>
      </c>
      <c r="AG107" s="25" t="n"/>
      <c r="AH107" s="31" t="n"/>
      <c r="AI107" s="27">
        <f>IFERROR(IF(A107="","",IF(OR(F107="",G107=""),"Missing Date",IF(G107&lt;=F107,"Invalid Date","OK"))),"")</f>
        <v/>
      </c>
      <c r="AJ107" s="27">
        <f>IFERROR(IF(OR(A107="",B107="",F107="",G107="",L107="Canceled"),"",IF(COUNTIFS($B$4:$B$153,B107,$F$4:$F$153,"&lt;"&amp;G107,$G$4:$G$153,"&gt;"&amp;F107,$A$4:$A$153,"&lt;&gt;"&amp;A107,$L$4:$L$153,"&lt;&gt;Canceled")&gt;0,"Possible Overlap","OK")),"")</f>
        <v/>
      </c>
      <c r="AK107" s="27">
        <f>IFERROR(IF(COUNTA(A107:G107)=0,"",IF(A107="","Missing Reservation ID",IF(B107="","Missing Property",IF(AND(AE107&gt;='Assumptions'!$B$115,L107&lt;&gt;"Canceled"),"Review Balance",IF(OR(L107="Inquiry",L107="Tentative"),"Review Status","OK"))))),"")</f>
        <v/>
      </c>
    </row>
    <row r="108">
      <c r="A108" s="25" t="n"/>
      <c r="B108" s="25" t="n"/>
      <c r="C108" s="25" t="n"/>
      <c r="D108" s="25" t="n"/>
      <c r="E108" s="26" t="n"/>
      <c r="F108" s="26" t="n"/>
      <c r="G108" s="26" t="n"/>
      <c r="H108" s="27">
        <f>IFERROR(IF(OR(F108="",G108=""),"",MAX(0,G108-F108)),"")</f>
        <v/>
      </c>
      <c r="I108" s="25" t="n"/>
      <c r="J108" s="25" t="n"/>
      <c r="K108" s="25" t="n"/>
      <c r="L108" s="25" t="n"/>
      <c r="M108" s="49" t="n"/>
      <c r="N108" s="49" t="n"/>
      <c r="O108" s="49" t="n"/>
      <c r="P108" s="49" t="n"/>
      <c r="Q108" s="49" t="n"/>
      <c r="R108" s="49" t="n"/>
      <c r="S108" s="50">
        <f>IFERROR(IF(B108="","",VLOOKUP(B108,'Assumptions'!$B$5:$K$104,7,FALSE)),"")</f>
        <v/>
      </c>
      <c r="T108" s="51">
        <f>IFERROR(IF(A108="","",MAX(0,M108-Q108+(N108+O108+P108)*VLOOKUP(B108,'Assumptions'!$B$5:$K$104,8,FALSE))),"")</f>
        <v/>
      </c>
      <c r="U108" s="51">
        <f>IFERROR(IF(A108="","",T108*S108),"")</f>
        <v/>
      </c>
      <c r="V108" s="51">
        <f>IFERROR(IF(A108="","",MAX(0,M108+N108+O108+P108-Q108)),"")</f>
        <v/>
      </c>
      <c r="W108" s="50">
        <f>IFERROR(IF(D108="","",VLOOKUP(D108,'Assumptions'!$U$5:$V$104,2,FALSE)),"")</f>
        <v/>
      </c>
      <c r="X108" s="51">
        <f>IFERROR(IF(A108="","",V108*W108),"")</f>
        <v/>
      </c>
      <c r="Y108" s="50">
        <f>IFERROR(IF(B108="","",VLOOKUP(B108,'Assumptions'!$B$5:$K$104,9,FALSE)),"")</f>
        <v/>
      </c>
      <c r="Z108" s="51">
        <f>IFERROR(IF(A108="","",(V108+U108)*Y108),"")</f>
        <v/>
      </c>
      <c r="AA108" s="50">
        <f>IFERROR(IF(B108="","",VLOOKUP(B108,'Assumptions'!$B$5:$K$104,10,FALSE)),"")</f>
        <v/>
      </c>
      <c r="AB108" s="51">
        <f>IFERROR(IF(A108="","",MAX(0,V108-R108)*AA108),"")</f>
        <v/>
      </c>
      <c r="AC108" s="51">
        <f>IFERROR(IF(A108="","",V108-R108-X108-Z108-AB108),"")</f>
        <v/>
      </c>
      <c r="AD108" s="49" t="n"/>
      <c r="AE108" s="51">
        <f>IFERROR(IF(A108="","",MAX(0,V108+U108-R108-AD108)),"")</f>
        <v/>
      </c>
      <c r="AF108" s="27">
        <f>IFERROR(IF(A108="","",IF(OR(L108="Inquiry",L108="Tentative",L108="Canceled"),"Not Due",IF(AE108=0,"Paid","Balance Due"))),"")</f>
        <v/>
      </c>
      <c r="AG108" s="25" t="n"/>
      <c r="AH108" s="31" t="n"/>
      <c r="AI108" s="27">
        <f>IFERROR(IF(A108="","",IF(OR(F108="",G108=""),"Missing Date",IF(G108&lt;=F108,"Invalid Date","OK"))),"")</f>
        <v/>
      </c>
      <c r="AJ108" s="27">
        <f>IFERROR(IF(OR(A108="",B108="",F108="",G108="",L108="Canceled"),"",IF(COUNTIFS($B$4:$B$153,B108,$F$4:$F$153,"&lt;"&amp;G108,$G$4:$G$153,"&gt;"&amp;F108,$A$4:$A$153,"&lt;&gt;"&amp;A108,$L$4:$L$153,"&lt;&gt;Canceled")&gt;0,"Possible Overlap","OK")),"")</f>
        <v/>
      </c>
      <c r="AK108" s="27">
        <f>IFERROR(IF(COUNTA(A108:G108)=0,"",IF(A108="","Missing Reservation ID",IF(B108="","Missing Property",IF(AND(AE108&gt;='Assumptions'!$B$115,L108&lt;&gt;"Canceled"),"Review Balance",IF(OR(L108="Inquiry",L108="Tentative"),"Review Status","OK"))))),"")</f>
        <v/>
      </c>
    </row>
    <row r="109">
      <c r="A109" s="25" t="n"/>
      <c r="B109" s="25" t="n"/>
      <c r="C109" s="25" t="n"/>
      <c r="D109" s="25" t="n"/>
      <c r="E109" s="26" t="n"/>
      <c r="F109" s="26" t="n"/>
      <c r="G109" s="26" t="n"/>
      <c r="H109" s="27">
        <f>IFERROR(IF(OR(F109="",G109=""),"",MAX(0,G109-F109)),"")</f>
        <v/>
      </c>
      <c r="I109" s="25" t="n"/>
      <c r="J109" s="25" t="n"/>
      <c r="K109" s="25" t="n"/>
      <c r="L109" s="25" t="n"/>
      <c r="M109" s="49" t="n"/>
      <c r="N109" s="49" t="n"/>
      <c r="O109" s="49" t="n"/>
      <c r="P109" s="49" t="n"/>
      <c r="Q109" s="49" t="n"/>
      <c r="R109" s="49" t="n"/>
      <c r="S109" s="50">
        <f>IFERROR(IF(B109="","",VLOOKUP(B109,'Assumptions'!$B$5:$K$104,7,FALSE)),"")</f>
        <v/>
      </c>
      <c r="T109" s="51">
        <f>IFERROR(IF(A109="","",MAX(0,M109-Q109+(N109+O109+P109)*VLOOKUP(B109,'Assumptions'!$B$5:$K$104,8,FALSE))),"")</f>
        <v/>
      </c>
      <c r="U109" s="51">
        <f>IFERROR(IF(A109="","",T109*S109),"")</f>
        <v/>
      </c>
      <c r="V109" s="51">
        <f>IFERROR(IF(A109="","",MAX(0,M109+N109+O109+P109-Q109)),"")</f>
        <v/>
      </c>
      <c r="W109" s="50">
        <f>IFERROR(IF(D109="","",VLOOKUP(D109,'Assumptions'!$U$5:$V$104,2,FALSE)),"")</f>
        <v/>
      </c>
      <c r="X109" s="51">
        <f>IFERROR(IF(A109="","",V109*W109),"")</f>
        <v/>
      </c>
      <c r="Y109" s="50">
        <f>IFERROR(IF(B109="","",VLOOKUP(B109,'Assumptions'!$B$5:$K$104,9,FALSE)),"")</f>
        <v/>
      </c>
      <c r="Z109" s="51">
        <f>IFERROR(IF(A109="","",(V109+U109)*Y109),"")</f>
        <v/>
      </c>
      <c r="AA109" s="50">
        <f>IFERROR(IF(B109="","",VLOOKUP(B109,'Assumptions'!$B$5:$K$104,10,FALSE)),"")</f>
        <v/>
      </c>
      <c r="AB109" s="51">
        <f>IFERROR(IF(A109="","",MAX(0,V109-R109)*AA109),"")</f>
        <v/>
      </c>
      <c r="AC109" s="51">
        <f>IFERROR(IF(A109="","",V109-R109-X109-Z109-AB109),"")</f>
        <v/>
      </c>
      <c r="AD109" s="49" t="n"/>
      <c r="AE109" s="51">
        <f>IFERROR(IF(A109="","",MAX(0,V109+U109-R109-AD109)),"")</f>
        <v/>
      </c>
      <c r="AF109" s="27">
        <f>IFERROR(IF(A109="","",IF(OR(L109="Inquiry",L109="Tentative",L109="Canceled"),"Not Due",IF(AE109=0,"Paid","Balance Due"))),"")</f>
        <v/>
      </c>
      <c r="AG109" s="25" t="n"/>
      <c r="AH109" s="31" t="n"/>
      <c r="AI109" s="27">
        <f>IFERROR(IF(A109="","",IF(OR(F109="",G109=""),"Missing Date",IF(G109&lt;=F109,"Invalid Date","OK"))),"")</f>
        <v/>
      </c>
      <c r="AJ109" s="27">
        <f>IFERROR(IF(OR(A109="",B109="",F109="",G109="",L109="Canceled"),"",IF(COUNTIFS($B$4:$B$153,B109,$F$4:$F$153,"&lt;"&amp;G109,$G$4:$G$153,"&gt;"&amp;F109,$A$4:$A$153,"&lt;&gt;"&amp;A109,$L$4:$L$153,"&lt;&gt;Canceled")&gt;0,"Possible Overlap","OK")),"")</f>
        <v/>
      </c>
      <c r="AK109" s="27">
        <f>IFERROR(IF(COUNTA(A109:G109)=0,"",IF(A109="","Missing Reservation ID",IF(B109="","Missing Property",IF(AND(AE109&gt;='Assumptions'!$B$115,L109&lt;&gt;"Canceled"),"Review Balance",IF(OR(L109="Inquiry",L109="Tentative"),"Review Status","OK"))))),"")</f>
        <v/>
      </c>
    </row>
    <row r="110">
      <c r="A110" s="25" t="n"/>
      <c r="B110" s="25" t="n"/>
      <c r="C110" s="25" t="n"/>
      <c r="D110" s="25" t="n"/>
      <c r="E110" s="26" t="n"/>
      <c r="F110" s="26" t="n"/>
      <c r="G110" s="26" t="n"/>
      <c r="H110" s="27">
        <f>IFERROR(IF(OR(F110="",G110=""),"",MAX(0,G110-F110)),"")</f>
        <v/>
      </c>
      <c r="I110" s="25" t="n"/>
      <c r="J110" s="25" t="n"/>
      <c r="K110" s="25" t="n"/>
      <c r="L110" s="25" t="n"/>
      <c r="M110" s="49" t="n"/>
      <c r="N110" s="49" t="n"/>
      <c r="O110" s="49" t="n"/>
      <c r="P110" s="49" t="n"/>
      <c r="Q110" s="49" t="n"/>
      <c r="R110" s="49" t="n"/>
      <c r="S110" s="50">
        <f>IFERROR(IF(B110="","",VLOOKUP(B110,'Assumptions'!$B$5:$K$104,7,FALSE)),"")</f>
        <v/>
      </c>
      <c r="T110" s="51">
        <f>IFERROR(IF(A110="","",MAX(0,M110-Q110+(N110+O110+P110)*VLOOKUP(B110,'Assumptions'!$B$5:$K$104,8,FALSE))),"")</f>
        <v/>
      </c>
      <c r="U110" s="51">
        <f>IFERROR(IF(A110="","",T110*S110),"")</f>
        <v/>
      </c>
      <c r="V110" s="51">
        <f>IFERROR(IF(A110="","",MAX(0,M110+N110+O110+P110-Q110)),"")</f>
        <v/>
      </c>
      <c r="W110" s="50">
        <f>IFERROR(IF(D110="","",VLOOKUP(D110,'Assumptions'!$U$5:$V$104,2,FALSE)),"")</f>
        <v/>
      </c>
      <c r="X110" s="51">
        <f>IFERROR(IF(A110="","",V110*W110),"")</f>
        <v/>
      </c>
      <c r="Y110" s="50">
        <f>IFERROR(IF(B110="","",VLOOKUP(B110,'Assumptions'!$B$5:$K$104,9,FALSE)),"")</f>
        <v/>
      </c>
      <c r="Z110" s="51">
        <f>IFERROR(IF(A110="","",(V110+U110)*Y110),"")</f>
        <v/>
      </c>
      <c r="AA110" s="50">
        <f>IFERROR(IF(B110="","",VLOOKUP(B110,'Assumptions'!$B$5:$K$104,10,FALSE)),"")</f>
        <v/>
      </c>
      <c r="AB110" s="51">
        <f>IFERROR(IF(A110="","",MAX(0,V110-R110)*AA110),"")</f>
        <v/>
      </c>
      <c r="AC110" s="51">
        <f>IFERROR(IF(A110="","",V110-R110-X110-Z110-AB110),"")</f>
        <v/>
      </c>
      <c r="AD110" s="49" t="n"/>
      <c r="AE110" s="51">
        <f>IFERROR(IF(A110="","",MAX(0,V110+U110-R110-AD110)),"")</f>
        <v/>
      </c>
      <c r="AF110" s="27">
        <f>IFERROR(IF(A110="","",IF(OR(L110="Inquiry",L110="Tentative",L110="Canceled"),"Not Due",IF(AE110=0,"Paid","Balance Due"))),"")</f>
        <v/>
      </c>
      <c r="AG110" s="25" t="n"/>
      <c r="AH110" s="31" t="n"/>
      <c r="AI110" s="27">
        <f>IFERROR(IF(A110="","",IF(OR(F110="",G110=""),"Missing Date",IF(G110&lt;=F110,"Invalid Date","OK"))),"")</f>
        <v/>
      </c>
      <c r="AJ110" s="27">
        <f>IFERROR(IF(OR(A110="",B110="",F110="",G110="",L110="Canceled"),"",IF(COUNTIFS($B$4:$B$153,B110,$F$4:$F$153,"&lt;"&amp;G110,$G$4:$G$153,"&gt;"&amp;F110,$A$4:$A$153,"&lt;&gt;"&amp;A110,$L$4:$L$153,"&lt;&gt;Canceled")&gt;0,"Possible Overlap","OK")),"")</f>
        <v/>
      </c>
      <c r="AK110" s="27">
        <f>IFERROR(IF(COUNTA(A110:G110)=0,"",IF(A110="","Missing Reservation ID",IF(B110="","Missing Property",IF(AND(AE110&gt;='Assumptions'!$B$115,L110&lt;&gt;"Canceled"),"Review Balance",IF(OR(L110="Inquiry",L110="Tentative"),"Review Status","OK"))))),"")</f>
        <v/>
      </c>
    </row>
    <row r="111">
      <c r="A111" s="25" t="n"/>
      <c r="B111" s="25" t="n"/>
      <c r="C111" s="25" t="n"/>
      <c r="D111" s="25" t="n"/>
      <c r="E111" s="26" t="n"/>
      <c r="F111" s="26" t="n"/>
      <c r="G111" s="26" t="n"/>
      <c r="H111" s="27">
        <f>IFERROR(IF(OR(F111="",G111=""),"",MAX(0,G111-F111)),"")</f>
        <v/>
      </c>
      <c r="I111" s="25" t="n"/>
      <c r="J111" s="25" t="n"/>
      <c r="K111" s="25" t="n"/>
      <c r="L111" s="25" t="n"/>
      <c r="M111" s="49" t="n"/>
      <c r="N111" s="49" t="n"/>
      <c r="O111" s="49" t="n"/>
      <c r="P111" s="49" t="n"/>
      <c r="Q111" s="49" t="n"/>
      <c r="R111" s="49" t="n"/>
      <c r="S111" s="50">
        <f>IFERROR(IF(B111="","",VLOOKUP(B111,'Assumptions'!$B$5:$K$104,7,FALSE)),"")</f>
        <v/>
      </c>
      <c r="T111" s="51">
        <f>IFERROR(IF(A111="","",MAX(0,M111-Q111+(N111+O111+P111)*VLOOKUP(B111,'Assumptions'!$B$5:$K$104,8,FALSE))),"")</f>
        <v/>
      </c>
      <c r="U111" s="51">
        <f>IFERROR(IF(A111="","",T111*S111),"")</f>
        <v/>
      </c>
      <c r="V111" s="51">
        <f>IFERROR(IF(A111="","",MAX(0,M111+N111+O111+P111-Q111)),"")</f>
        <v/>
      </c>
      <c r="W111" s="50">
        <f>IFERROR(IF(D111="","",VLOOKUP(D111,'Assumptions'!$U$5:$V$104,2,FALSE)),"")</f>
        <v/>
      </c>
      <c r="X111" s="51">
        <f>IFERROR(IF(A111="","",V111*W111),"")</f>
        <v/>
      </c>
      <c r="Y111" s="50">
        <f>IFERROR(IF(B111="","",VLOOKUP(B111,'Assumptions'!$B$5:$K$104,9,FALSE)),"")</f>
        <v/>
      </c>
      <c r="Z111" s="51">
        <f>IFERROR(IF(A111="","",(V111+U111)*Y111),"")</f>
        <v/>
      </c>
      <c r="AA111" s="50">
        <f>IFERROR(IF(B111="","",VLOOKUP(B111,'Assumptions'!$B$5:$K$104,10,FALSE)),"")</f>
        <v/>
      </c>
      <c r="AB111" s="51">
        <f>IFERROR(IF(A111="","",MAX(0,V111-R111)*AA111),"")</f>
        <v/>
      </c>
      <c r="AC111" s="51">
        <f>IFERROR(IF(A111="","",V111-R111-X111-Z111-AB111),"")</f>
        <v/>
      </c>
      <c r="AD111" s="49" t="n"/>
      <c r="AE111" s="51">
        <f>IFERROR(IF(A111="","",MAX(0,V111+U111-R111-AD111)),"")</f>
        <v/>
      </c>
      <c r="AF111" s="27">
        <f>IFERROR(IF(A111="","",IF(OR(L111="Inquiry",L111="Tentative",L111="Canceled"),"Not Due",IF(AE111=0,"Paid","Balance Due"))),"")</f>
        <v/>
      </c>
      <c r="AG111" s="25" t="n"/>
      <c r="AH111" s="31" t="n"/>
      <c r="AI111" s="27">
        <f>IFERROR(IF(A111="","",IF(OR(F111="",G111=""),"Missing Date",IF(G111&lt;=F111,"Invalid Date","OK"))),"")</f>
        <v/>
      </c>
      <c r="AJ111" s="27">
        <f>IFERROR(IF(OR(A111="",B111="",F111="",G111="",L111="Canceled"),"",IF(COUNTIFS($B$4:$B$153,B111,$F$4:$F$153,"&lt;"&amp;G111,$G$4:$G$153,"&gt;"&amp;F111,$A$4:$A$153,"&lt;&gt;"&amp;A111,$L$4:$L$153,"&lt;&gt;Canceled")&gt;0,"Possible Overlap","OK")),"")</f>
        <v/>
      </c>
      <c r="AK111" s="27">
        <f>IFERROR(IF(COUNTA(A111:G111)=0,"",IF(A111="","Missing Reservation ID",IF(B111="","Missing Property",IF(AND(AE111&gt;='Assumptions'!$B$115,L111&lt;&gt;"Canceled"),"Review Balance",IF(OR(L111="Inquiry",L111="Tentative"),"Review Status","OK"))))),"")</f>
        <v/>
      </c>
    </row>
    <row r="112">
      <c r="A112" s="25" t="n"/>
      <c r="B112" s="25" t="n"/>
      <c r="C112" s="25" t="n"/>
      <c r="D112" s="25" t="n"/>
      <c r="E112" s="26" t="n"/>
      <c r="F112" s="26" t="n"/>
      <c r="G112" s="26" t="n"/>
      <c r="H112" s="27">
        <f>IFERROR(IF(OR(F112="",G112=""),"",MAX(0,G112-F112)),"")</f>
        <v/>
      </c>
      <c r="I112" s="25" t="n"/>
      <c r="J112" s="25" t="n"/>
      <c r="K112" s="25" t="n"/>
      <c r="L112" s="25" t="n"/>
      <c r="M112" s="49" t="n"/>
      <c r="N112" s="49" t="n"/>
      <c r="O112" s="49" t="n"/>
      <c r="P112" s="49" t="n"/>
      <c r="Q112" s="49" t="n"/>
      <c r="R112" s="49" t="n"/>
      <c r="S112" s="50">
        <f>IFERROR(IF(B112="","",VLOOKUP(B112,'Assumptions'!$B$5:$K$104,7,FALSE)),"")</f>
        <v/>
      </c>
      <c r="T112" s="51">
        <f>IFERROR(IF(A112="","",MAX(0,M112-Q112+(N112+O112+P112)*VLOOKUP(B112,'Assumptions'!$B$5:$K$104,8,FALSE))),"")</f>
        <v/>
      </c>
      <c r="U112" s="51">
        <f>IFERROR(IF(A112="","",T112*S112),"")</f>
        <v/>
      </c>
      <c r="V112" s="51">
        <f>IFERROR(IF(A112="","",MAX(0,M112+N112+O112+P112-Q112)),"")</f>
        <v/>
      </c>
      <c r="W112" s="50">
        <f>IFERROR(IF(D112="","",VLOOKUP(D112,'Assumptions'!$U$5:$V$104,2,FALSE)),"")</f>
        <v/>
      </c>
      <c r="X112" s="51">
        <f>IFERROR(IF(A112="","",V112*W112),"")</f>
        <v/>
      </c>
      <c r="Y112" s="50">
        <f>IFERROR(IF(B112="","",VLOOKUP(B112,'Assumptions'!$B$5:$K$104,9,FALSE)),"")</f>
        <v/>
      </c>
      <c r="Z112" s="51">
        <f>IFERROR(IF(A112="","",(V112+U112)*Y112),"")</f>
        <v/>
      </c>
      <c r="AA112" s="50">
        <f>IFERROR(IF(B112="","",VLOOKUP(B112,'Assumptions'!$B$5:$K$104,10,FALSE)),"")</f>
        <v/>
      </c>
      <c r="AB112" s="51">
        <f>IFERROR(IF(A112="","",MAX(0,V112-R112)*AA112),"")</f>
        <v/>
      </c>
      <c r="AC112" s="51">
        <f>IFERROR(IF(A112="","",V112-R112-X112-Z112-AB112),"")</f>
        <v/>
      </c>
      <c r="AD112" s="49" t="n"/>
      <c r="AE112" s="51">
        <f>IFERROR(IF(A112="","",MAX(0,V112+U112-R112-AD112)),"")</f>
        <v/>
      </c>
      <c r="AF112" s="27">
        <f>IFERROR(IF(A112="","",IF(OR(L112="Inquiry",L112="Tentative",L112="Canceled"),"Not Due",IF(AE112=0,"Paid","Balance Due"))),"")</f>
        <v/>
      </c>
      <c r="AG112" s="25" t="n"/>
      <c r="AH112" s="31" t="n"/>
      <c r="AI112" s="27">
        <f>IFERROR(IF(A112="","",IF(OR(F112="",G112=""),"Missing Date",IF(G112&lt;=F112,"Invalid Date","OK"))),"")</f>
        <v/>
      </c>
      <c r="AJ112" s="27">
        <f>IFERROR(IF(OR(A112="",B112="",F112="",G112="",L112="Canceled"),"",IF(COUNTIFS($B$4:$B$153,B112,$F$4:$F$153,"&lt;"&amp;G112,$G$4:$G$153,"&gt;"&amp;F112,$A$4:$A$153,"&lt;&gt;"&amp;A112,$L$4:$L$153,"&lt;&gt;Canceled")&gt;0,"Possible Overlap","OK")),"")</f>
        <v/>
      </c>
      <c r="AK112" s="27">
        <f>IFERROR(IF(COUNTA(A112:G112)=0,"",IF(A112="","Missing Reservation ID",IF(B112="","Missing Property",IF(AND(AE112&gt;='Assumptions'!$B$115,L112&lt;&gt;"Canceled"),"Review Balance",IF(OR(L112="Inquiry",L112="Tentative"),"Review Status","OK"))))),"")</f>
        <v/>
      </c>
    </row>
    <row r="113">
      <c r="A113" s="25" t="n"/>
      <c r="B113" s="25" t="n"/>
      <c r="C113" s="25" t="n"/>
      <c r="D113" s="25" t="n"/>
      <c r="E113" s="26" t="n"/>
      <c r="F113" s="26" t="n"/>
      <c r="G113" s="26" t="n"/>
      <c r="H113" s="27">
        <f>IFERROR(IF(OR(F113="",G113=""),"",MAX(0,G113-F113)),"")</f>
        <v/>
      </c>
      <c r="I113" s="25" t="n"/>
      <c r="J113" s="25" t="n"/>
      <c r="K113" s="25" t="n"/>
      <c r="L113" s="25" t="n"/>
      <c r="M113" s="49" t="n"/>
      <c r="N113" s="49" t="n"/>
      <c r="O113" s="49" t="n"/>
      <c r="P113" s="49" t="n"/>
      <c r="Q113" s="49" t="n"/>
      <c r="R113" s="49" t="n"/>
      <c r="S113" s="50">
        <f>IFERROR(IF(B113="","",VLOOKUP(B113,'Assumptions'!$B$5:$K$104,7,FALSE)),"")</f>
        <v/>
      </c>
      <c r="T113" s="51">
        <f>IFERROR(IF(A113="","",MAX(0,M113-Q113+(N113+O113+P113)*VLOOKUP(B113,'Assumptions'!$B$5:$K$104,8,FALSE))),"")</f>
        <v/>
      </c>
      <c r="U113" s="51">
        <f>IFERROR(IF(A113="","",T113*S113),"")</f>
        <v/>
      </c>
      <c r="V113" s="51">
        <f>IFERROR(IF(A113="","",MAX(0,M113+N113+O113+P113-Q113)),"")</f>
        <v/>
      </c>
      <c r="W113" s="50">
        <f>IFERROR(IF(D113="","",VLOOKUP(D113,'Assumptions'!$U$5:$V$104,2,FALSE)),"")</f>
        <v/>
      </c>
      <c r="X113" s="51">
        <f>IFERROR(IF(A113="","",V113*W113),"")</f>
        <v/>
      </c>
      <c r="Y113" s="50">
        <f>IFERROR(IF(B113="","",VLOOKUP(B113,'Assumptions'!$B$5:$K$104,9,FALSE)),"")</f>
        <v/>
      </c>
      <c r="Z113" s="51">
        <f>IFERROR(IF(A113="","",(V113+U113)*Y113),"")</f>
        <v/>
      </c>
      <c r="AA113" s="50">
        <f>IFERROR(IF(B113="","",VLOOKUP(B113,'Assumptions'!$B$5:$K$104,10,FALSE)),"")</f>
        <v/>
      </c>
      <c r="AB113" s="51">
        <f>IFERROR(IF(A113="","",MAX(0,V113-R113)*AA113),"")</f>
        <v/>
      </c>
      <c r="AC113" s="51">
        <f>IFERROR(IF(A113="","",V113-R113-X113-Z113-AB113),"")</f>
        <v/>
      </c>
      <c r="AD113" s="49" t="n"/>
      <c r="AE113" s="51">
        <f>IFERROR(IF(A113="","",MAX(0,V113+U113-R113-AD113)),"")</f>
        <v/>
      </c>
      <c r="AF113" s="27">
        <f>IFERROR(IF(A113="","",IF(OR(L113="Inquiry",L113="Tentative",L113="Canceled"),"Not Due",IF(AE113=0,"Paid","Balance Due"))),"")</f>
        <v/>
      </c>
      <c r="AG113" s="25" t="n"/>
      <c r="AH113" s="31" t="n"/>
      <c r="AI113" s="27">
        <f>IFERROR(IF(A113="","",IF(OR(F113="",G113=""),"Missing Date",IF(G113&lt;=F113,"Invalid Date","OK"))),"")</f>
        <v/>
      </c>
      <c r="AJ113" s="27">
        <f>IFERROR(IF(OR(A113="",B113="",F113="",G113="",L113="Canceled"),"",IF(COUNTIFS($B$4:$B$153,B113,$F$4:$F$153,"&lt;"&amp;G113,$G$4:$G$153,"&gt;"&amp;F113,$A$4:$A$153,"&lt;&gt;"&amp;A113,$L$4:$L$153,"&lt;&gt;Canceled")&gt;0,"Possible Overlap","OK")),"")</f>
        <v/>
      </c>
      <c r="AK113" s="27">
        <f>IFERROR(IF(COUNTA(A113:G113)=0,"",IF(A113="","Missing Reservation ID",IF(B113="","Missing Property",IF(AND(AE113&gt;='Assumptions'!$B$115,L113&lt;&gt;"Canceled"),"Review Balance",IF(OR(L113="Inquiry",L113="Tentative"),"Review Status","OK"))))),"")</f>
        <v/>
      </c>
    </row>
    <row r="114">
      <c r="A114" s="25" t="n"/>
      <c r="B114" s="25" t="n"/>
      <c r="C114" s="25" t="n"/>
      <c r="D114" s="25" t="n"/>
      <c r="E114" s="26" t="n"/>
      <c r="F114" s="26" t="n"/>
      <c r="G114" s="26" t="n"/>
      <c r="H114" s="27">
        <f>IFERROR(IF(OR(F114="",G114=""),"",MAX(0,G114-F114)),"")</f>
        <v/>
      </c>
      <c r="I114" s="25" t="n"/>
      <c r="J114" s="25" t="n"/>
      <c r="K114" s="25" t="n"/>
      <c r="L114" s="25" t="n"/>
      <c r="M114" s="49" t="n"/>
      <c r="N114" s="49" t="n"/>
      <c r="O114" s="49" t="n"/>
      <c r="P114" s="49" t="n"/>
      <c r="Q114" s="49" t="n"/>
      <c r="R114" s="49" t="n"/>
      <c r="S114" s="50">
        <f>IFERROR(IF(B114="","",VLOOKUP(B114,'Assumptions'!$B$5:$K$104,7,FALSE)),"")</f>
        <v/>
      </c>
      <c r="T114" s="51">
        <f>IFERROR(IF(A114="","",MAX(0,M114-Q114+(N114+O114+P114)*VLOOKUP(B114,'Assumptions'!$B$5:$K$104,8,FALSE))),"")</f>
        <v/>
      </c>
      <c r="U114" s="51">
        <f>IFERROR(IF(A114="","",T114*S114),"")</f>
        <v/>
      </c>
      <c r="V114" s="51">
        <f>IFERROR(IF(A114="","",MAX(0,M114+N114+O114+P114-Q114)),"")</f>
        <v/>
      </c>
      <c r="W114" s="50">
        <f>IFERROR(IF(D114="","",VLOOKUP(D114,'Assumptions'!$U$5:$V$104,2,FALSE)),"")</f>
        <v/>
      </c>
      <c r="X114" s="51">
        <f>IFERROR(IF(A114="","",V114*W114),"")</f>
        <v/>
      </c>
      <c r="Y114" s="50">
        <f>IFERROR(IF(B114="","",VLOOKUP(B114,'Assumptions'!$B$5:$K$104,9,FALSE)),"")</f>
        <v/>
      </c>
      <c r="Z114" s="51">
        <f>IFERROR(IF(A114="","",(V114+U114)*Y114),"")</f>
        <v/>
      </c>
      <c r="AA114" s="50">
        <f>IFERROR(IF(B114="","",VLOOKUP(B114,'Assumptions'!$B$5:$K$104,10,FALSE)),"")</f>
        <v/>
      </c>
      <c r="AB114" s="51">
        <f>IFERROR(IF(A114="","",MAX(0,V114-R114)*AA114),"")</f>
        <v/>
      </c>
      <c r="AC114" s="51">
        <f>IFERROR(IF(A114="","",V114-R114-X114-Z114-AB114),"")</f>
        <v/>
      </c>
      <c r="AD114" s="49" t="n"/>
      <c r="AE114" s="51">
        <f>IFERROR(IF(A114="","",MAX(0,V114+U114-R114-AD114)),"")</f>
        <v/>
      </c>
      <c r="AF114" s="27">
        <f>IFERROR(IF(A114="","",IF(OR(L114="Inquiry",L114="Tentative",L114="Canceled"),"Not Due",IF(AE114=0,"Paid","Balance Due"))),"")</f>
        <v/>
      </c>
      <c r="AG114" s="25" t="n"/>
      <c r="AH114" s="31" t="n"/>
      <c r="AI114" s="27">
        <f>IFERROR(IF(A114="","",IF(OR(F114="",G114=""),"Missing Date",IF(G114&lt;=F114,"Invalid Date","OK"))),"")</f>
        <v/>
      </c>
      <c r="AJ114" s="27">
        <f>IFERROR(IF(OR(A114="",B114="",F114="",G114="",L114="Canceled"),"",IF(COUNTIFS($B$4:$B$153,B114,$F$4:$F$153,"&lt;"&amp;G114,$G$4:$G$153,"&gt;"&amp;F114,$A$4:$A$153,"&lt;&gt;"&amp;A114,$L$4:$L$153,"&lt;&gt;Canceled")&gt;0,"Possible Overlap","OK")),"")</f>
        <v/>
      </c>
      <c r="AK114" s="27">
        <f>IFERROR(IF(COUNTA(A114:G114)=0,"",IF(A114="","Missing Reservation ID",IF(B114="","Missing Property",IF(AND(AE114&gt;='Assumptions'!$B$115,L114&lt;&gt;"Canceled"),"Review Balance",IF(OR(L114="Inquiry",L114="Tentative"),"Review Status","OK"))))),"")</f>
        <v/>
      </c>
    </row>
    <row r="115">
      <c r="A115" s="25" t="n"/>
      <c r="B115" s="25" t="n"/>
      <c r="C115" s="25" t="n"/>
      <c r="D115" s="25" t="n"/>
      <c r="E115" s="26" t="n"/>
      <c r="F115" s="26" t="n"/>
      <c r="G115" s="26" t="n"/>
      <c r="H115" s="27">
        <f>IFERROR(IF(OR(F115="",G115=""),"",MAX(0,G115-F115)),"")</f>
        <v/>
      </c>
      <c r="I115" s="25" t="n"/>
      <c r="J115" s="25" t="n"/>
      <c r="K115" s="25" t="n"/>
      <c r="L115" s="25" t="n"/>
      <c r="M115" s="49" t="n"/>
      <c r="N115" s="49" t="n"/>
      <c r="O115" s="49" t="n"/>
      <c r="P115" s="49" t="n"/>
      <c r="Q115" s="49" t="n"/>
      <c r="R115" s="49" t="n"/>
      <c r="S115" s="50">
        <f>IFERROR(IF(B115="","",VLOOKUP(B115,'Assumptions'!$B$5:$K$104,7,FALSE)),"")</f>
        <v/>
      </c>
      <c r="T115" s="51">
        <f>IFERROR(IF(A115="","",MAX(0,M115-Q115+(N115+O115+P115)*VLOOKUP(B115,'Assumptions'!$B$5:$K$104,8,FALSE))),"")</f>
        <v/>
      </c>
      <c r="U115" s="51">
        <f>IFERROR(IF(A115="","",T115*S115),"")</f>
        <v/>
      </c>
      <c r="V115" s="51">
        <f>IFERROR(IF(A115="","",MAX(0,M115+N115+O115+P115-Q115)),"")</f>
        <v/>
      </c>
      <c r="W115" s="50">
        <f>IFERROR(IF(D115="","",VLOOKUP(D115,'Assumptions'!$U$5:$V$104,2,FALSE)),"")</f>
        <v/>
      </c>
      <c r="X115" s="51">
        <f>IFERROR(IF(A115="","",V115*W115),"")</f>
        <v/>
      </c>
      <c r="Y115" s="50">
        <f>IFERROR(IF(B115="","",VLOOKUP(B115,'Assumptions'!$B$5:$K$104,9,FALSE)),"")</f>
        <v/>
      </c>
      <c r="Z115" s="51">
        <f>IFERROR(IF(A115="","",(V115+U115)*Y115),"")</f>
        <v/>
      </c>
      <c r="AA115" s="50">
        <f>IFERROR(IF(B115="","",VLOOKUP(B115,'Assumptions'!$B$5:$K$104,10,FALSE)),"")</f>
        <v/>
      </c>
      <c r="AB115" s="51">
        <f>IFERROR(IF(A115="","",MAX(0,V115-R115)*AA115),"")</f>
        <v/>
      </c>
      <c r="AC115" s="51">
        <f>IFERROR(IF(A115="","",V115-R115-X115-Z115-AB115),"")</f>
        <v/>
      </c>
      <c r="AD115" s="49" t="n"/>
      <c r="AE115" s="51">
        <f>IFERROR(IF(A115="","",MAX(0,V115+U115-R115-AD115)),"")</f>
        <v/>
      </c>
      <c r="AF115" s="27">
        <f>IFERROR(IF(A115="","",IF(OR(L115="Inquiry",L115="Tentative",L115="Canceled"),"Not Due",IF(AE115=0,"Paid","Balance Due"))),"")</f>
        <v/>
      </c>
      <c r="AG115" s="25" t="n"/>
      <c r="AH115" s="31" t="n"/>
      <c r="AI115" s="27">
        <f>IFERROR(IF(A115="","",IF(OR(F115="",G115=""),"Missing Date",IF(G115&lt;=F115,"Invalid Date","OK"))),"")</f>
        <v/>
      </c>
      <c r="AJ115" s="27">
        <f>IFERROR(IF(OR(A115="",B115="",F115="",G115="",L115="Canceled"),"",IF(COUNTIFS($B$4:$B$153,B115,$F$4:$F$153,"&lt;"&amp;G115,$G$4:$G$153,"&gt;"&amp;F115,$A$4:$A$153,"&lt;&gt;"&amp;A115,$L$4:$L$153,"&lt;&gt;Canceled")&gt;0,"Possible Overlap","OK")),"")</f>
        <v/>
      </c>
      <c r="AK115" s="27">
        <f>IFERROR(IF(COUNTA(A115:G115)=0,"",IF(A115="","Missing Reservation ID",IF(B115="","Missing Property",IF(AND(AE115&gt;='Assumptions'!$B$115,L115&lt;&gt;"Canceled"),"Review Balance",IF(OR(L115="Inquiry",L115="Tentative"),"Review Status","OK"))))),"")</f>
        <v/>
      </c>
    </row>
    <row r="116">
      <c r="A116" s="25" t="n"/>
      <c r="B116" s="25" t="n"/>
      <c r="C116" s="25" t="n"/>
      <c r="D116" s="25" t="n"/>
      <c r="E116" s="26" t="n"/>
      <c r="F116" s="26" t="n"/>
      <c r="G116" s="26" t="n"/>
      <c r="H116" s="27">
        <f>IFERROR(IF(OR(F116="",G116=""),"",MAX(0,G116-F116)),"")</f>
        <v/>
      </c>
      <c r="I116" s="25" t="n"/>
      <c r="J116" s="25" t="n"/>
      <c r="K116" s="25" t="n"/>
      <c r="L116" s="25" t="n"/>
      <c r="M116" s="49" t="n"/>
      <c r="N116" s="49" t="n"/>
      <c r="O116" s="49" t="n"/>
      <c r="P116" s="49" t="n"/>
      <c r="Q116" s="49" t="n"/>
      <c r="R116" s="49" t="n"/>
      <c r="S116" s="50">
        <f>IFERROR(IF(B116="","",VLOOKUP(B116,'Assumptions'!$B$5:$K$104,7,FALSE)),"")</f>
        <v/>
      </c>
      <c r="T116" s="51">
        <f>IFERROR(IF(A116="","",MAX(0,M116-Q116+(N116+O116+P116)*VLOOKUP(B116,'Assumptions'!$B$5:$K$104,8,FALSE))),"")</f>
        <v/>
      </c>
      <c r="U116" s="51">
        <f>IFERROR(IF(A116="","",T116*S116),"")</f>
        <v/>
      </c>
      <c r="V116" s="51">
        <f>IFERROR(IF(A116="","",MAX(0,M116+N116+O116+P116-Q116)),"")</f>
        <v/>
      </c>
      <c r="W116" s="50">
        <f>IFERROR(IF(D116="","",VLOOKUP(D116,'Assumptions'!$U$5:$V$104,2,FALSE)),"")</f>
        <v/>
      </c>
      <c r="X116" s="51">
        <f>IFERROR(IF(A116="","",V116*W116),"")</f>
        <v/>
      </c>
      <c r="Y116" s="50">
        <f>IFERROR(IF(B116="","",VLOOKUP(B116,'Assumptions'!$B$5:$K$104,9,FALSE)),"")</f>
        <v/>
      </c>
      <c r="Z116" s="51">
        <f>IFERROR(IF(A116="","",(V116+U116)*Y116),"")</f>
        <v/>
      </c>
      <c r="AA116" s="50">
        <f>IFERROR(IF(B116="","",VLOOKUP(B116,'Assumptions'!$B$5:$K$104,10,FALSE)),"")</f>
        <v/>
      </c>
      <c r="AB116" s="51">
        <f>IFERROR(IF(A116="","",MAX(0,V116-R116)*AA116),"")</f>
        <v/>
      </c>
      <c r="AC116" s="51">
        <f>IFERROR(IF(A116="","",V116-R116-X116-Z116-AB116),"")</f>
        <v/>
      </c>
      <c r="AD116" s="49" t="n"/>
      <c r="AE116" s="51">
        <f>IFERROR(IF(A116="","",MAX(0,V116+U116-R116-AD116)),"")</f>
        <v/>
      </c>
      <c r="AF116" s="27">
        <f>IFERROR(IF(A116="","",IF(OR(L116="Inquiry",L116="Tentative",L116="Canceled"),"Not Due",IF(AE116=0,"Paid","Balance Due"))),"")</f>
        <v/>
      </c>
      <c r="AG116" s="25" t="n"/>
      <c r="AH116" s="31" t="n"/>
      <c r="AI116" s="27">
        <f>IFERROR(IF(A116="","",IF(OR(F116="",G116=""),"Missing Date",IF(G116&lt;=F116,"Invalid Date","OK"))),"")</f>
        <v/>
      </c>
      <c r="AJ116" s="27">
        <f>IFERROR(IF(OR(A116="",B116="",F116="",G116="",L116="Canceled"),"",IF(COUNTIFS($B$4:$B$153,B116,$F$4:$F$153,"&lt;"&amp;G116,$G$4:$G$153,"&gt;"&amp;F116,$A$4:$A$153,"&lt;&gt;"&amp;A116,$L$4:$L$153,"&lt;&gt;Canceled")&gt;0,"Possible Overlap","OK")),"")</f>
        <v/>
      </c>
      <c r="AK116" s="27">
        <f>IFERROR(IF(COUNTA(A116:G116)=0,"",IF(A116="","Missing Reservation ID",IF(B116="","Missing Property",IF(AND(AE116&gt;='Assumptions'!$B$115,L116&lt;&gt;"Canceled"),"Review Balance",IF(OR(L116="Inquiry",L116="Tentative"),"Review Status","OK"))))),"")</f>
        <v/>
      </c>
    </row>
    <row r="117">
      <c r="A117" s="25" t="n"/>
      <c r="B117" s="25" t="n"/>
      <c r="C117" s="25" t="n"/>
      <c r="D117" s="25" t="n"/>
      <c r="E117" s="26" t="n"/>
      <c r="F117" s="26" t="n"/>
      <c r="G117" s="26" t="n"/>
      <c r="H117" s="27">
        <f>IFERROR(IF(OR(F117="",G117=""),"",MAX(0,G117-F117)),"")</f>
        <v/>
      </c>
      <c r="I117" s="25" t="n"/>
      <c r="J117" s="25" t="n"/>
      <c r="K117" s="25" t="n"/>
      <c r="L117" s="25" t="n"/>
      <c r="M117" s="49" t="n"/>
      <c r="N117" s="49" t="n"/>
      <c r="O117" s="49" t="n"/>
      <c r="P117" s="49" t="n"/>
      <c r="Q117" s="49" t="n"/>
      <c r="R117" s="49" t="n"/>
      <c r="S117" s="50">
        <f>IFERROR(IF(B117="","",VLOOKUP(B117,'Assumptions'!$B$5:$K$104,7,FALSE)),"")</f>
        <v/>
      </c>
      <c r="T117" s="51">
        <f>IFERROR(IF(A117="","",MAX(0,M117-Q117+(N117+O117+P117)*VLOOKUP(B117,'Assumptions'!$B$5:$K$104,8,FALSE))),"")</f>
        <v/>
      </c>
      <c r="U117" s="51">
        <f>IFERROR(IF(A117="","",T117*S117),"")</f>
        <v/>
      </c>
      <c r="V117" s="51">
        <f>IFERROR(IF(A117="","",MAX(0,M117+N117+O117+P117-Q117)),"")</f>
        <v/>
      </c>
      <c r="W117" s="50">
        <f>IFERROR(IF(D117="","",VLOOKUP(D117,'Assumptions'!$U$5:$V$104,2,FALSE)),"")</f>
        <v/>
      </c>
      <c r="X117" s="51">
        <f>IFERROR(IF(A117="","",V117*W117),"")</f>
        <v/>
      </c>
      <c r="Y117" s="50">
        <f>IFERROR(IF(B117="","",VLOOKUP(B117,'Assumptions'!$B$5:$K$104,9,FALSE)),"")</f>
        <v/>
      </c>
      <c r="Z117" s="51">
        <f>IFERROR(IF(A117="","",(V117+U117)*Y117),"")</f>
        <v/>
      </c>
      <c r="AA117" s="50">
        <f>IFERROR(IF(B117="","",VLOOKUP(B117,'Assumptions'!$B$5:$K$104,10,FALSE)),"")</f>
        <v/>
      </c>
      <c r="AB117" s="51">
        <f>IFERROR(IF(A117="","",MAX(0,V117-R117)*AA117),"")</f>
        <v/>
      </c>
      <c r="AC117" s="51">
        <f>IFERROR(IF(A117="","",V117-R117-X117-Z117-AB117),"")</f>
        <v/>
      </c>
      <c r="AD117" s="49" t="n"/>
      <c r="AE117" s="51">
        <f>IFERROR(IF(A117="","",MAX(0,V117+U117-R117-AD117)),"")</f>
        <v/>
      </c>
      <c r="AF117" s="27">
        <f>IFERROR(IF(A117="","",IF(OR(L117="Inquiry",L117="Tentative",L117="Canceled"),"Not Due",IF(AE117=0,"Paid","Balance Due"))),"")</f>
        <v/>
      </c>
      <c r="AG117" s="25" t="n"/>
      <c r="AH117" s="31" t="n"/>
      <c r="AI117" s="27">
        <f>IFERROR(IF(A117="","",IF(OR(F117="",G117=""),"Missing Date",IF(G117&lt;=F117,"Invalid Date","OK"))),"")</f>
        <v/>
      </c>
      <c r="AJ117" s="27">
        <f>IFERROR(IF(OR(A117="",B117="",F117="",G117="",L117="Canceled"),"",IF(COUNTIFS($B$4:$B$153,B117,$F$4:$F$153,"&lt;"&amp;G117,$G$4:$G$153,"&gt;"&amp;F117,$A$4:$A$153,"&lt;&gt;"&amp;A117,$L$4:$L$153,"&lt;&gt;Canceled")&gt;0,"Possible Overlap","OK")),"")</f>
        <v/>
      </c>
      <c r="AK117" s="27">
        <f>IFERROR(IF(COUNTA(A117:G117)=0,"",IF(A117="","Missing Reservation ID",IF(B117="","Missing Property",IF(AND(AE117&gt;='Assumptions'!$B$115,L117&lt;&gt;"Canceled"),"Review Balance",IF(OR(L117="Inquiry",L117="Tentative"),"Review Status","OK"))))),"")</f>
        <v/>
      </c>
    </row>
    <row r="118">
      <c r="A118" s="25" t="n"/>
      <c r="B118" s="25" t="n"/>
      <c r="C118" s="25" t="n"/>
      <c r="D118" s="25" t="n"/>
      <c r="E118" s="26" t="n"/>
      <c r="F118" s="26" t="n"/>
      <c r="G118" s="26" t="n"/>
      <c r="H118" s="27">
        <f>IFERROR(IF(OR(F118="",G118=""),"",MAX(0,G118-F118)),"")</f>
        <v/>
      </c>
      <c r="I118" s="25" t="n"/>
      <c r="J118" s="25" t="n"/>
      <c r="K118" s="25" t="n"/>
      <c r="L118" s="25" t="n"/>
      <c r="M118" s="49" t="n"/>
      <c r="N118" s="49" t="n"/>
      <c r="O118" s="49" t="n"/>
      <c r="P118" s="49" t="n"/>
      <c r="Q118" s="49" t="n"/>
      <c r="R118" s="49" t="n"/>
      <c r="S118" s="50">
        <f>IFERROR(IF(B118="","",VLOOKUP(B118,'Assumptions'!$B$5:$K$104,7,FALSE)),"")</f>
        <v/>
      </c>
      <c r="T118" s="51">
        <f>IFERROR(IF(A118="","",MAX(0,M118-Q118+(N118+O118+P118)*VLOOKUP(B118,'Assumptions'!$B$5:$K$104,8,FALSE))),"")</f>
        <v/>
      </c>
      <c r="U118" s="51">
        <f>IFERROR(IF(A118="","",T118*S118),"")</f>
        <v/>
      </c>
      <c r="V118" s="51">
        <f>IFERROR(IF(A118="","",MAX(0,M118+N118+O118+P118-Q118)),"")</f>
        <v/>
      </c>
      <c r="W118" s="50">
        <f>IFERROR(IF(D118="","",VLOOKUP(D118,'Assumptions'!$U$5:$V$104,2,FALSE)),"")</f>
        <v/>
      </c>
      <c r="X118" s="51">
        <f>IFERROR(IF(A118="","",V118*W118),"")</f>
        <v/>
      </c>
      <c r="Y118" s="50">
        <f>IFERROR(IF(B118="","",VLOOKUP(B118,'Assumptions'!$B$5:$K$104,9,FALSE)),"")</f>
        <v/>
      </c>
      <c r="Z118" s="51">
        <f>IFERROR(IF(A118="","",(V118+U118)*Y118),"")</f>
        <v/>
      </c>
      <c r="AA118" s="50">
        <f>IFERROR(IF(B118="","",VLOOKUP(B118,'Assumptions'!$B$5:$K$104,10,FALSE)),"")</f>
        <v/>
      </c>
      <c r="AB118" s="51">
        <f>IFERROR(IF(A118="","",MAX(0,V118-R118)*AA118),"")</f>
        <v/>
      </c>
      <c r="AC118" s="51">
        <f>IFERROR(IF(A118="","",V118-R118-X118-Z118-AB118),"")</f>
        <v/>
      </c>
      <c r="AD118" s="49" t="n"/>
      <c r="AE118" s="51">
        <f>IFERROR(IF(A118="","",MAX(0,V118+U118-R118-AD118)),"")</f>
        <v/>
      </c>
      <c r="AF118" s="27">
        <f>IFERROR(IF(A118="","",IF(OR(L118="Inquiry",L118="Tentative",L118="Canceled"),"Not Due",IF(AE118=0,"Paid","Balance Due"))),"")</f>
        <v/>
      </c>
      <c r="AG118" s="25" t="n"/>
      <c r="AH118" s="31" t="n"/>
      <c r="AI118" s="27">
        <f>IFERROR(IF(A118="","",IF(OR(F118="",G118=""),"Missing Date",IF(G118&lt;=F118,"Invalid Date","OK"))),"")</f>
        <v/>
      </c>
      <c r="AJ118" s="27">
        <f>IFERROR(IF(OR(A118="",B118="",F118="",G118="",L118="Canceled"),"",IF(COUNTIFS($B$4:$B$153,B118,$F$4:$F$153,"&lt;"&amp;G118,$G$4:$G$153,"&gt;"&amp;F118,$A$4:$A$153,"&lt;&gt;"&amp;A118,$L$4:$L$153,"&lt;&gt;Canceled")&gt;0,"Possible Overlap","OK")),"")</f>
        <v/>
      </c>
      <c r="AK118" s="27">
        <f>IFERROR(IF(COUNTA(A118:G118)=0,"",IF(A118="","Missing Reservation ID",IF(B118="","Missing Property",IF(AND(AE118&gt;='Assumptions'!$B$115,L118&lt;&gt;"Canceled"),"Review Balance",IF(OR(L118="Inquiry",L118="Tentative"),"Review Status","OK"))))),"")</f>
        <v/>
      </c>
    </row>
    <row r="119">
      <c r="A119" s="25" t="n"/>
      <c r="B119" s="25" t="n"/>
      <c r="C119" s="25" t="n"/>
      <c r="D119" s="25" t="n"/>
      <c r="E119" s="26" t="n"/>
      <c r="F119" s="26" t="n"/>
      <c r="G119" s="26" t="n"/>
      <c r="H119" s="27">
        <f>IFERROR(IF(OR(F119="",G119=""),"",MAX(0,G119-F119)),"")</f>
        <v/>
      </c>
      <c r="I119" s="25" t="n"/>
      <c r="J119" s="25" t="n"/>
      <c r="K119" s="25" t="n"/>
      <c r="L119" s="25" t="n"/>
      <c r="M119" s="49" t="n"/>
      <c r="N119" s="49" t="n"/>
      <c r="O119" s="49" t="n"/>
      <c r="P119" s="49" t="n"/>
      <c r="Q119" s="49" t="n"/>
      <c r="R119" s="49" t="n"/>
      <c r="S119" s="50">
        <f>IFERROR(IF(B119="","",VLOOKUP(B119,'Assumptions'!$B$5:$K$104,7,FALSE)),"")</f>
        <v/>
      </c>
      <c r="T119" s="51">
        <f>IFERROR(IF(A119="","",MAX(0,M119-Q119+(N119+O119+P119)*VLOOKUP(B119,'Assumptions'!$B$5:$K$104,8,FALSE))),"")</f>
        <v/>
      </c>
      <c r="U119" s="51">
        <f>IFERROR(IF(A119="","",T119*S119),"")</f>
        <v/>
      </c>
      <c r="V119" s="51">
        <f>IFERROR(IF(A119="","",MAX(0,M119+N119+O119+P119-Q119)),"")</f>
        <v/>
      </c>
      <c r="W119" s="50">
        <f>IFERROR(IF(D119="","",VLOOKUP(D119,'Assumptions'!$U$5:$V$104,2,FALSE)),"")</f>
        <v/>
      </c>
      <c r="X119" s="51">
        <f>IFERROR(IF(A119="","",V119*W119),"")</f>
        <v/>
      </c>
      <c r="Y119" s="50">
        <f>IFERROR(IF(B119="","",VLOOKUP(B119,'Assumptions'!$B$5:$K$104,9,FALSE)),"")</f>
        <v/>
      </c>
      <c r="Z119" s="51">
        <f>IFERROR(IF(A119="","",(V119+U119)*Y119),"")</f>
        <v/>
      </c>
      <c r="AA119" s="50">
        <f>IFERROR(IF(B119="","",VLOOKUP(B119,'Assumptions'!$B$5:$K$104,10,FALSE)),"")</f>
        <v/>
      </c>
      <c r="AB119" s="51">
        <f>IFERROR(IF(A119="","",MAX(0,V119-R119)*AA119),"")</f>
        <v/>
      </c>
      <c r="AC119" s="51">
        <f>IFERROR(IF(A119="","",V119-R119-X119-Z119-AB119),"")</f>
        <v/>
      </c>
      <c r="AD119" s="49" t="n"/>
      <c r="AE119" s="51">
        <f>IFERROR(IF(A119="","",MAX(0,V119+U119-R119-AD119)),"")</f>
        <v/>
      </c>
      <c r="AF119" s="27">
        <f>IFERROR(IF(A119="","",IF(OR(L119="Inquiry",L119="Tentative",L119="Canceled"),"Not Due",IF(AE119=0,"Paid","Balance Due"))),"")</f>
        <v/>
      </c>
      <c r="AG119" s="25" t="n"/>
      <c r="AH119" s="31" t="n"/>
      <c r="AI119" s="27">
        <f>IFERROR(IF(A119="","",IF(OR(F119="",G119=""),"Missing Date",IF(G119&lt;=F119,"Invalid Date","OK"))),"")</f>
        <v/>
      </c>
      <c r="AJ119" s="27">
        <f>IFERROR(IF(OR(A119="",B119="",F119="",G119="",L119="Canceled"),"",IF(COUNTIFS($B$4:$B$153,B119,$F$4:$F$153,"&lt;"&amp;G119,$G$4:$G$153,"&gt;"&amp;F119,$A$4:$A$153,"&lt;&gt;"&amp;A119,$L$4:$L$153,"&lt;&gt;Canceled")&gt;0,"Possible Overlap","OK")),"")</f>
        <v/>
      </c>
      <c r="AK119" s="27">
        <f>IFERROR(IF(COUNTA(A119:G119)=0,"",IF(A119="","Missing Reservation ID",IF(B119="","Missing Property",IF(AND(AE119&gt;='Assumptions'!$B$115,L119&lt;&gt;"Canceled"),"Review Balance",IF(OR(L119="Inquiry",L119="Tentative"),"Review Status","OK"))))),"")</f>
        <v/>
      </c>
    </row>
    <row r="120">
      <c r="A120" s="25" t="n"/>
      <c r="B120" s="25" t="n"/>
      <c r="C120" s="25" t="n"/>
      <c r="D120" s="25" t="n"/>
      <c r="E120" s="26" t="n"/>
      <c r="F120" s="26" t="n"/>
      <c r="G120" s="26" t="n"/>
      <c r="H120" s="27">
        <f>IFERROR(IF(OR(F120="",G120=""),"",MAX(0,G120-F120)),"")</f>
        <v/>
      </c>
      <c r="I120" s="25" t="n"/>
      <c r="J120" s="25" t="n"/>
      <c r="K120" s="25" t="n"/>
      <c r="L120" s="25" t="n"/>
      <c r="M120" s="49" t="n"/>
      <c r="N120" s="49" t="n"/>
      <c r="O120" s="49" t="n"/>
      <c r="P120" s="49" t="n"/>
      <c r="Q120" s="49" t="n"/>
      <c r="R120" s="49" t="n"/>
      <c r="S120" s="50">
        <f>IFERROR(IF(B120="","",VLOOKUP(B120,'Assumptions'!$B$5:$K$104,7,FALSE)),"")</f>
        <v/>
      </c>
      <c r="T120" s="51">
        <f>IFERROR(IF(A120="","",MAX(0,M120-Q120+(N120+O120+P120)*VLOOKUP(B120,'Assumptions'!$B$5:$K$104,8,FALSE))),"")</f>
        <v/>
      </c>
      <c r="U120" s="51">
        <f>IFERROR(IF(A120="","",T120*S120),"")</f>
        <v/>
      </c>
      <c r="V120" s="51">
        <f>IFERROR(IF(A120="","",MAX(0,M120+N120+O120+P120-Q120)),"")</f>
        <v/>
      </c>
      <c r="W120" s="50">
        <f>IFERROR(IF(D120="","",VLOOKUP(D120,'Assumptions'!$U$5:$V$104,2,FALSE)),"")</f>
        <v/>
      </c>
      <c r="X120" s="51">
        <f>IFERROR(IF(A120="","",V120*W120),"")</f>
        <v/>
      </c>
      <c r="Y120" s="50">
        <f>IFERROR(IF(B120="","",VLOOKUP(B120,'Assumptions'!$B$5:$K$104,9,FALSE)),"")</f>
        <v/>
      </c>
      <c r="Z120" s="51">
        <f>IFERROR(IF(A120="","",(V120+U120)*Y120),"")</f>
        <v/>
      </c>
      <c r="AA120" s="50">
        <f>IFERROR(IF(B120="","",VLOOKUP(B120,'Assumptions'!$B$5:$K$104,10,FALSE)),"")</f>
        <v/>
      </c>
      <c r="AB120" s="51">
        <f>IFERROR(IF(A120="","",MAX(0,V120-R120)*AA120),"")</f>
        <v/>
      </c>
      <c r="AC120" s="51">
        <f>IFERROR(IF(A120="","",V120-R120-X120-Z120-AB120),"")</f>
        <v/>
      </c>
      <c r="AD120" s="49" t="n"/>
      <c r="AE120" s="51">
        <f>IFERROR(IF(A120="","",MAX(0,V120+U120-R120-AD120)),"")</f>
        <v/>
      </c>
      <c r="AF120" s="27">
        <f>IFERROR(IF(A120="","",IF(OR(L120="Inquiry",L120="Tentative",L120="Canceled"),"Not Due",IF(AE120=0,"Paid","Balance Due"))),"")</f>
        <v/>
      </c>
      <c r="AG120" s="25" t="n"/>
      <c r="AH120" s="31" t="n"/>
      <c r="AI120" s="27">
        <f>IFERROR(IF(A120="","",IF(OR(F120="",G120=""),"Missing Date",IF(G120&lt;=F120,"Invalid Date","OK"))),"")</f>
        <v/>
      </c>
      <c r="AJ120" s="27">
        <f>IFERROR(IF(OR(A120="",B120="",F120="",G120="",L120="Canceled"),"",IF(COUNTIFS($B$4:$B$153,B120,$F$4:$F$153,"&lt;"&amp;G120,$G$4:$G$153,"&gt;"&amp;F120,$A$4:$A$153,"&lt;&gt;"&amp;A120,$L$4:$L$153,"&lt;&gt;Canceled")&gt;0,"Possible Overlap","OK")),"")</f>
        <v/>
      </c>
      <c r="AK120" s="27">
        <f>IFERROR(IF(COUNTA(A120:G120)=0,"",IF(A120="","Missing Reservation ID",IF(B120="","Missing Property",IF(AND(AE120&gt;='Assumptions'!$B$115,L120&lt;&gt;"Canceled"),"Review Balance",IF(OR(L120="Inquiry",L120="Tentative"),"Review Status","OK"))))),"")</f>
        <v/>
      </c>
    </row>
    <row r="121">
      <c r="A121" s="25" t="n"/>
      <c r="B121" s="25" t="n"/>
      <c r="C121" s="25" t="n"/>
      <c r="D121" s="25" t="n"/>
      <c r="E121" s="26" t="n"/>
      <c r="F121" s="26" t="n"/>
      <c r="G121" s="26" t="n"/>
      <c r="H121" s="27">
        <f>IFERROR(IF(OR(F121="",G121=""),"",MAX(0,G121-F121)),"")</f>
        <v/>
      </c>
      <c r="I121" s="25" t="n"/>
      <c r="J121" s="25" t="n"/>
      <c r="K121" s="25" t="n"/>
      <c r="L121" s="25" t="n"/>
      <c r="M121" s="49" t="n"/>
      <c r="N121" s="49" t="n"/>
      <c r="O121" s="49" t="n"/>
      <c r="P121" s="49" t="n"/>
      <c r="Q121" s="49" t="n"/>
      <c r="R121" s="49" t="n"/>
      <c r="S121" s="50">
        <f>IFERROR(IF(B121="","",VLOOKUP(B121,'Assumptions'!$B$5:$K$104,7,FALSE)),"")</f>
        <v/>
      </c>
      <c r="T121" s="51">
        <f>IFERROR(IF(A121="","",MAX(0,M121-Q121+(N121+O121+P121)*VLOOKUP(B121,'Assumptions'!$B$5:$K$104,8,FALSE))),"")</f>
        <v/>
      </c>
      <c r="U121" s="51">
        <f>IFERROR(IF(A121="","",T121*S121),"")</f>
        <v/>
      </c>
      <c r="V121" s="51">
        <f>IFERROR(IF(A121="","",MAX(0,M121+N121+O121+P121-Q121)),"")</f>
        <v/>
      </c>
      <c r="W121" s="50">
        <f>IFERROR(IF(D121="","",VLOOKUP(D121,'Assumptions'!$U$5:$V$104,2,FALSE)),"")</f>
        <v/>
      </c>
      <c r="X121" s="51">
        <f>IFERROR(IF(A121="","",V121*W121),"")</f>
        <v/>
      </c>
      <c r="Y121" s="50">
        <f>IFERROR(IF(B121="","",VLOOKUP(B121,'Assumptions'!$B$5:$K$104,9,FALSE)),"")</f>
        <v/>
      </c>
      <c r="Z121" s="51">
        <f>IFERROR(IF(A121="","",(V121+U121)*Y121),"")</f>
        <v/>
      </c>
      <c r="AA121" s="50">
        <f>IFERROR(IF(B121="","",VLOOKUP(B121,'Assumptions'!$B$5:$K$104,10,FALSE)),"")</f>
        <v/>
      </c>
      <c r="AB121" s="51">
        <f>IFERROR(IF(A121="","",MAX(0,V121-R121)*AA121),"")</f>
        <v/>
      </c>
      <c r="AC121" s="51">
        <f>IFERROR(IF(A121="","",V121-R121-X121-Z121-AB121),"")</f>
        <v/>
      </c>
      <c r="AD121" s="49" t="n"/>
      <c r="AE121" s="51">
        <f>IFERROR(IF(A121="","",MAX(0,V121+U121-R121-AD121)),"")</f>
        <v/>
      </c>
      <c r="AF121" s="27">
        <f>IFERROR(IF(A121="","",IF(OR(L121="Inquiry",L121="Tentative",L121="Canceled"),"Not Due",IF(AE121=0,"Paid","Balance Due"))),"")</f>
        <v/>
      </c>
      <c r="AG121" s="25" t="n"/>
      <c r="AH121" s="31" t="n"/>
      <c r="AI121" s="27">
        <f>IFERROR(IF(A121="","",IF(OR(F121="",G121=""),"Missing Date",IF(G121&lt;=F121,"Invalid Date","OK"))),"")</f>
        <v/>
      </c>
      <c r="AJ121" s="27">
        <f>IFERROR(IF(OR(A121="",B121="",F121="",G121="",L121="Canceled"),"",IF(COUNTIFS($B$4:$B$153,B121,$F$4:$F$153,"&lt;"&amp;G121,$G$4:$G$153,"&gt;"&amp;F121,$A$4:$A$153,"&lt;&gt;"&amp;A121,$L$4:$L$153,"&lt;&gt;Canceled")&gt;0,"Possible Overlap","OK")),"")</f>
        <v/>
      </c>
      <c r="AK121" s="27">
        <f>IFERROR(IF(COUNTA(A121:G121)=0,"",IF(A121="","Missing Reservation ID",IF(B121="","Missing Property",IF(AND(AE121&gt;='Assumptions'!$B$115,L121&lt;&gt;"Canceled"),"Review Balance",IF(OR(L121="Inquiry",L121="Tentative"),"Review Status","OK"))))),"")</f>
        <v/>
      </c>
    </row>
    <row r="122">
      <c r="A122" s="25" t="n"/>
      <c r="B122" s="25" t="n"/>
      <c r="C122" s="25" t="n"/>
      <c r="D122" s="25" t="n"/>
      <c r="E122" s="26" t="n"/>
      <c r="F122" s="26" t="n"/>
      <c r="G122" s="26" t="n"/>
      <c r="H122" s="27">
        <f>IFERROR(IF(OR(F122="",G122=""),"",MAX(0,G122-F122)),"")</f>
        <v/>
      </c>
      <c r="I122" s="25" t="n"/>
      <c r="J122" s="25" t="n"/>
      <c r="K122" s="25" t="n"/>
      <c r="L122" s="25" t="n"/>
      <c r="M122" s="49" t="n"/>
      <c r="N122" s="49" t="n"/>
      <c r="O122" s="49" t="n"/>
      <c r="P122" s="49" t="n"/>
      <c r="Q122" s="49" t="n"/>
      <c r="R122" s="49" t="n"/>
      <c r="S122" s="50">
        <f>IFERROR(IF(B122="","",VLOOKUP(B122,'Assumptions'!$B$5:$K$104,7,FALSE)),"")</f>
        <v/>
      </c>
      <c r="T122" s="51">
        <f>IFERROR(IF(A122="","",MAX(0,M122-Q122+(N122+O122+P122)*VLOOKUP(B122,'Assumptions'!$B$5:$K$104,8,FALSE))),"")</f>
        <v/>
      </c>
      <c r="U122" s="51">
        <f>IFERROR(IF(A122="","",T122*S122),"")</f>
        <v/>
      </c>
      <c r="V122" s="51">
        <f>IFERROR(IF(A122="","",MAX(0,M122+N122+O122+P122-Q122)),"")</f>
        <v/>
      </c>
      <c r="W122" s="50">
        <f>IFERROR(IF(D122="","",VLOOKUP(D122,'Assumptions'!$U$5:$V$104,2,FALSE)),"")</f>
        <v/>
      </c>
      <c r="X122" s="51">
        <f>IFERROR(IF(A122="","",V122*W122),"")</f>
        <v/>
      </c>
      <c r="Y122" s="50">
        <f>IFERROR(IF(B122="","",VLOOKUP(B122,'Assumptions'!$B$5:$K$104,9,FALSE)),"")</f>
        <v/>
      </c>
      <c r="Z122" s="51">
        <f>IFERROR(IF(A122="","",(V122+U122)*Y122),"")</f>
        <v/>
      </c>
      <c r="AA122" s="50">
        <f>IFERROR(IF(B122="","",VLOOKUP(B122,'Assumptions'!$B$5:$K$104,10,FALSE)),"")</f>
        <v/>
      </c>
      <c r="AB122" s="51">
        <f>IFERROR(IF(A122="","",MAX(0,V122-R122)*AA122),"")</f>
        <v/>
      </c>
      <c r="AC122" s="51">
        <f>IFERROR(IF(A122="","",V122-R122-X122-Z122-AB122),"")</f>
        <v/>
      </c>
      <c r="AD122" s="49" t="n"/>
      <c r="AE122" s="51">
        <f>IFERROR(IF(A122="","",MAX(0,V122+U122-R122-AD122)),"")</f>
        <v/>
      </c>
      <c r="AF122" s="27">
        <f>IFERROR(IF(A122="","",IF(OR(L122="Inquiry",L122="Tentative",L122="Canceled"),"Not Due",IF(AE122=0,"Paid","Balance Due"))),"")</f>
        <v/>
      </c>
      <c r="AG122" s="25" t="n"/>
      <c r="AH122" s="31" t="n"/>
      <c r="AI122" s="27">
        <f>IFERROR(IF(A122="","",IF(OR(F122="",G122=""),"Missing Date",IF(G122&lt;=F122,"Invalid Date","OK"))),"")</f>
        <v/>
      </c>
      <c r="AJ122" s="27">
        <f>IFERROR(IF(OR(A122="",B122="",F122="",G122="",L122="Canceled"),"",IF(COUNTIFS($B$4:$B$153,B122,$F$4:$F$153,"&lt;"&amp;G122,$G$4:$G$153,"&gt;"&amp;F122,$A$4:$A$153,"&lt;&gt;"&amp;A122,$L$4:$L$153,"&lt;&gt;Canceled")&gt;0,"Possible Overlap","OK")),"")</f>
        <v/>
      </c>
      <c r="AK122" s="27">
        <f>IFERROR(IF(COUNTA(A122:G122)=0,"",IF(A122="","Missing Reservation ID",IF(B122="","Missing Property",IF(AND(AE122&gt;='Assumptions'!$B$115,L122&lt;&gt;"Canceled"),"Review Balance",IF(OR(L122="Inquiry",L122="Tentative"),"Review Status","OK"))))),"")</f>
        <v/>
      </c>
    </row>
    <row r="123">
      <c r="A123" s="25" t="n"/>
      <c r="B123" s="25" t="n"/>
      <c r="C123" s="25" t="n"/>
      <c r="D123" s="25" t="n"/>
      <c r="E123" s="26" t="n"/>
      <c r="F123" s="26" t="n"/>
      <c r="G123" s="26" t="n"/>
      <c r="H123" s="27">
        <f>IFERROR(IF(OR(F123="",G123=""),"",MAX(0,G123-F123)),"")</f>
        <v/>
      </c>
      <c r="I123" s="25" t="n"/>
      <c r="J123" s="25" t="n"/>
      <c r="K123" s="25" t="n"/>
      <c r="L123" s="25" t="n"/>
      <c r="M123" s="49" t="n"/>
      <c r="N123" s="49" t="n"/>
      <c r="O123" s="49" t="n"/>
      <c r="P123" s="49" t="n"/>
      <c r="Q123" s="49" t="n"/>
      <c r="R123" s="49" t="n"/>
      <c r="S123" s="50">
        <f>IFERROR(IF(B123="","",VLOOKUP(B123,'Assumptions'!$B$5:$K$104,7,FALSE)),"")</f>
        <v/>
      </c>
      <c r="T123" s="51">
        <f>IFERROR(IF(A123="","",MAX(0,M123-Q123+(N123+O123+P123)*VLOOKUP(B123,'Assumptions'!$B$5:$K$104,8,FALSE))),"")</f>
        <v/>
      </c>
      <c r="U123" s="51">
        <f>IFERROR(IF(A123="","",T123*S123),"")</f>
        <v/>
      </c>
      <c r="V123" s="51">
        <f>IFERROR(IF(A123="","",MAX(0,M123+N123+O123+P123-Q123)),"")</f>
        <v/>
      </c>
      <c r="W123" s="50">
        <f>IFERROR(IF(D123="","",VLOOKUP(D123,'Assumptions'!$U$5:$V$104,2,FALSE)),"")</f>
        <v/>
      </c>
      <c r="X123" s="51">
        <f>IFERROR(IF(A123="","",V123*W123),"")</f>
        <v/>
      </c>
      <c r="Y123" s="50">
        <f>IFERROR(IF(B123="","",VLOOKUP(B123,'Assumptions'!$B$5:$K$104,9,FALSE)),"")</f>
        <v/>
      </c>
      <c r="Z123" s="51">
        <f>IFERROR(IF(A123="","",(V123+U123)*Y123),"")</f>
        <v/>
      </c>
      <c r="AA123" s="50">
        <f>IFERROR(IF(B123="","",VLOOKUP(B123,'Assumptions'!$B$5:$K$104,10,FALSE)),"")</f>
        <v/>
      </c>
      <c r="AB123" s="51">
        <f>IFERROR(IF(A123="","",MAX(0,V123-R123)*AA123),"")</f>
        <v/>
      </c>
      <c r="AC123" s="51">
        <f>IFERROR(IF(A123="","",V123-R123-X123-Z123-AB123),"")</f>
        <v/>
      </c>
      <c r="AD123" s="49" t="n"/>
      <c r="AE123" s="51">
        <f>IFERROR(IF(A123="","",MAX(0,V123+U123-R123-AD123)),"")</f>
        <v/>
      </c>
      <c r="AF123" s="27">
        <f>IFERROR(IF(A123="","",IF(OR(L123="Inquiry",L123="Tentative",L123="Canceled"),"Not Due",IF(AE123=0,"Paid","Balance Due"))),"")</f>
        <v/>
      </c>
      <c r="AG123" s="25" t="n"/>
      <c r="AH123" s="31" t="n"/>
      <c r="AI123" s="27">
        <f>IFERROR(IF(A123="","",IF(OR(F123="",G123=""),"Missing Date",IF(G123&lt;=F123,"Invalid Date","OK"))),"")</f>
        <v/>
      </c>
      <c r="AJ123" s="27">
        <f>IFERROR(IF(OR(A123="",B123="",F123="",G123="",L123="Canceled"),"",IF(COUNTIFS($B$4:$B$153,B123,$F$4:$F$153,"&lt;"&amp;G123,$G$4:$G$153,"&gt;"&amp;F123,$A$4:$A$153,"&lt;&gt;"&amp;A123,$L$4:$L$153,"&lt;&gt;Canceled")&gt;0,"Possible Overlap","OK")),"")</f>
        <v/>
      </c>
      <c r="AK123" s="27">
        <f>IFERROR(IF(COUNTA(A123:G123)=0,"",IF(A123="","Missing Reservation ID",IF(B123="","Missing Property",IF(AND(AE123&gt;='Assumptions'!$B$115,L123&lt;&gt;"Canceled"),"Review Balance",IF(OR(L123="Inquiry",L123="Tentative"),"Review Status","OK"))))),"")</f>
        <v/>
      </c>
    </row>
    <row r="124">
      <c r="A124" s="25" t="n"/>
      <c r="B124" s="25" t="n"/>
      <c r="C124" s="25" t="n"/>
      <c r="D124" s="25" t="n"/>
      <c r="E124" s="26" t="n"/>
      <c r="F124" s="26" t="n"/>
      <c r="G124" s="26" t="n"/>
      <c r="H124" s="27">
        <f>IFERROR(IF(OR(F124="",G124=""),"",MAX(0,G124-F124)),"")</f>
        <v/>
      </c>
      <c r="I124" s="25" t="n"/>
      <c r="J124" s="25" t="n"/>
      <c r="K124" s="25" t="n"/>
      <c r="L124" s="25" t="n"/>
      <c r="M124" s="49" t="n"/>
      <c r="N124" s="49" t="n"/>
      <c r="O124" s="49" t="n"/>
      <c r="P124" s="49" t="n"/>
      <c r="Q124" s="49" t="n"/>
      <c r="R124" s="49" t="n"/>
      <c r="S124" s="50">
        <f>IFERROR(IF(B124="","",VLOOKUP(B124,'Assumptions'!$B$5:$K$104,7,FALSE)),"")</f>
        <v/>
      </c>
      <c r="T124" s="51">
        <f>IFERROR(IF(A124="","",MAX(0,M124-Q124+(N124+O124+P124)*VLOOKUP(B124,'Assumptions'!$B$5:$K$104,8,FALSE))),"")</f>
        <v/>
      </c>
      <c r="U124" s="51">
        <f>IFERROR(IF(A124="","",T124*S124),"")</f>
        <v/>
      </c>
      <c r="V124" s="51">
        <f>IFERROR(IF(A124="","",MAX(0,M124+N124+O124+P124-Q124)),"")</f>
        <v/>
      </c>
      <c r="W124" s="50">
        <f>IFERROR(IF(D124="","",VLOOKUP(D124,'Assumptions'!$U$5:$V$104,2,FALSE)),"")</f>
        <v/>
      </c>
      <c r="X124" s="51">
        <f>IFERROR(IF(A124="","",V124*W124),"")</f>
        <v/>
      </c>
      <c r="Y124" s="50">
        <f>IFERROR(IF(B124="","",VLOOKUP(B124,'Assumptions'!$B$5:$K$104,9,FALSE)),"")</f>
        <v/>
      </c>
      <c r="Z124" s="51">
        <f>IFERROR(IF(A124="","",(V124+U124)*Y124),"")</f>
        <v/>
      </c>
      <c r="AA124" s="50">
        <f>IFERROR(IF(B124="","",VLOOKUP(B124,'Assumptions'!$B$5:$K$104,10,FALSE)),"")</f>
        <v/>
      </c>
      <c r="AB124" s="51">
        <f>IFERROR(IF(A124="","",MAX(0,V124-R124)*AA124),"")</f>
        <v/>
      </c>
      <c r="AC124" s="51">
        <f>IFERROR(IF(A124="","",V124-R124-X124-Z124-AB124),"")</f>
        <v/>
      </c>
      <c r="AD124" s="49" t="n"/>
      <c r="AE124" s="51">
        <f>IFERROR(IF(A124="","",MAX(0,V124+U124-R124-AD124)),"")</f>
        <v/>
      </c>
      <c r="AF124" s="27">
        <f>IFERROR(IF(A124="","",IF(OR(L124="Inquiry",L124="Tentative",L124="Canceled"),"Not Due",IF(AE124=0,"Paid","Balance Due"))),"")</f>
        <v/>
      </c>
      <c r="AG124" s="25" t="n"/>
      <c r="AH124" s="31" t="n"/>
      <c r="AI124" s="27">
        <f>IFERROR(IF(A124="","",IF(OR(F124="",G124=""),"Missing Date",IF(G124&lt;=F124,"Invalid Date","OK"))),"")</f>
        <v/>
      </c>
      <c r="AJ124" s="27">
        <f>IFERROR(IF(OR(A124="",B124="",F124="",G124="",L124="Canceled"),"",IF(COUNTIFS($B$4:$B$153,B124,$F$4:$F$153,"&lt;"&amp;G124,$G$4:$G$153,"&gt;"&amp;F124,$A$4:$A$153,"&lt;&gt;"&amp;A124,$L$4:$L$153,"&lt;&gt;Canceled")&gt;0,"Possible Overlap","OK")),"")</f>
        <v/>
      </c>
      <c r="AK124" s="27">
        <f>IFERROR(IF(COUNTA(A124:G124)=0,"",IF(A124="","Missing Reservation ID",IF(B124="","Missing Property",IF(AND(AE124&gt;='Assumptions'!$B$115,L124&lt;&gt;"Canceled"),"Review Balance",IF(OR(L124="Inquiry",L124="Tentative"),"Review Status","OK"))))),"")</f>
        <v/>
      </c>
    </row>
    <row r="125">
      <c r="A125" s="25" t="n"/>
      <c r="B125" s="25" t="n"/>
      <c r="C125" s="25" t="n"/>
      <c r="D125" s="25" t="n"/>
      <c r="E125" s="26" t="n"/>
      <c r="F125" s="26" t="n"/>
      <c r="G125" s="26" t="n"/>
      <c r="H125" s="27">
        <f>IFERROR(IF(OR(F125="",G125=""),"",MAX(0,G125-F125)),"")</f>
        <v/>
      </c>
      <c r="I125" s="25" t="n"/>
      <c r="J125" s="25" t="n"/>
      <c r="K125" s="25" t="n"/>
      <c r="L125" s="25" t="n"/>
      <c r="M125" s="49" t="n"/>
      <c r="N125" s="49" t="n"/>
      <c r="O125" s="49" t="n"/>
      <c r="P125" s="49" t="n"/>
      <c r="Q125" s="49" t="n"/>
      <c r="R125" s="49" t="n"/>
      <c r="S125" s="50">
        <f>IFERROR(IF(B125="","",VLOOKUP(B125,'Assumptions'!$B$5:$K$104,7,FALSE)),"")</f>
        <v/>
      </c>
      <c r="T125" s="51">
        <f>IFERROR(IF(A125="","",MAX(0,M125-Q125+(N125+O125+P125)*VLOOKUP(B125,'Assumptions'!$B$5:$K$104,8,FALSE))),"")</f>
        <v/>
      </c>
      <c r="U125" s="51">
        <f>IFERROR(IF(A125="","",T125*S125),"")</f>
        <v/>
      </c>
      <c r="V125" s="51">
        <f>IFERROR(IF(A125="","",MAX(0,M125+N125+O125+P125-Q125)),"")</f>
        <v/>
      </c>
      <c r="W125" s="50">
        <f>IFERROR(IF(D125="","",VLOOKUP(D125,'Assumptions'!$U$5:$V$104,2,FALSE)),"")</f>
        <v/>
      </c>
      <c r="X125" s="51">
        <f>IFERROR(IF(A125="","",V125*W125),"")</f>
        <v/>
      </c>
      <c r="Y125" s="50">
        <f>IFERROR(IF(B125="","",VLOOKUP(B125,'Assumptions'!$B$5:$K$104,9,FALSE)),"")</f>
        <v/>
      </c>
      <c r="Z125" s="51">
        <f>IFERROR(IF(A125="","",(V125+U125)*Y125),"")</f>
        <v/>
      </c>
      <c r="AA125" s="50">
        <f>IFERROR(IF(B125="","",VLOOKUP(B125,'Assumptions'!$B$5:$K$104,10,FALSE)),"")</f>
        <v/>
      </c>
      <c r="AB125" s="51">
        <f>IFERROR(IF(A125="","",MAX(0,V125-R125)*AA125),"")</f>
        <v/>
      </c>
      <c r="AC125" s="51">
        <f>IFERROR(IF(A125="","",V125-R125-X125-Z125-AB125),"")</f>
        <v/>
      </c>
      <c r="AD125" s="49" t="n"/>
      <c r="AE125" s="51">
        <f>IFERROR(IF(A125="","",MAX(0,V125+U125-R125-AD125)),"")</f>
        <v/>
      </c>
      <c r="AF125" s="27">
        <f>IFERROR(IF(A125="","",IF(OR(L125="Inquiry",L125="Tentative",L125="Canceled"),"Not Due",IF(AE125=0,"Paid","Balance Due"))),"")</f>
        <v/>
      </c>
      <c r="AG125" s="25" t="n"/>
      <c r="AH125" s="31" t="n"/>
      <c r="AI125" s="27">
        <f>IFERROR(IF(A125="","",IF(OR(F125="",G125=""),"Missing Date",IF(G125&lt;=F125,"Invalid Date","OK"))),"")</f>
        <v/>
      </c>
      <c r="AJ125" s="27">
        <f>IFERROR(IF(OR(A125="",B125="",F125="",G125="",L125="Canceled"),"",IF(COUNTIFS($B$4:$B$153,B125,$F$4:$F$153,"&lt;"&amp;G125,$G$4:$G$153,"&gt;"&amp;F125,$A$4:$A$153,"&lt;&gt;"&amp;A125,$L$4:$L$153,"&lt;&gt;Canceled")&gt;0,"Possible Overlap","OK")),"")</f>
        <v/>
      </c>
      <c r="AK125" s="27">
        <f>IFERROR(IF(COUNTA(A125:G125)=0,"",IF(A125="","Missing Reservation ID",IF(B125="","Missing Property",IF(AND(AE125&gt;='Assumptions'!$B$115,L125&lt;&gt;"Canceled"),"Review Balance",IF(OR(L125="Inquiry",L125="Tentative"),"Review Status","OK"))))),"")</f>
        <v/>
      </c>
    </row>
    <row r="126">
      <c r="A126" s="25" t="n"/>
      <c r="B126" s="25" t="n"/>
      <c r="C126" s="25" t="n"/>
      <c r="D126" s="25" t="n"/>
      <c r="E126" s="26" t="n"/>
      <c r="F126" s="26" t="n"/>
      <c r="G126" s="26" t="n"/>
      <c r="H126" s="27">
        <f>IFERROR(IF(OR(F126="",G126=""),"",MAX(0,G126-F126)),"")</f>
        <v/>
      </c>
      <c r="I126" s="25" t="n"/>
      <c r="J126" s="25" t="n"/>
      <c r="K126" s="25" t="n"/>
      <c r="L126" s="25" t="n"/>
      <c r="M126" s="49" t="n"/>
      <c r="N126" s="49" t="n"/>
      <c r="O126" s="49" t="n"/>
      <c r="P126" s="49" t="n"/>
      <c r="Q126" s="49" t="n"/>
      <c r="R126" s="49" t="n"/>
      <c r="S126" s="50">
        <f>IFERROR(IF(B126="","",VLOOKUP(B126,'Assumptions'!$B$5:$K$104,7,FALSE)),"")</f>
        <v/>
      </c>
      <c r="T126" s="51">
        <f>IFERROR(IF(A126="","",MAX(0,M126-Q126+(N126+O126+P126)*VLOOKUP(B126,'Assumptions'!$B$5:$K$104,8,FALSE))),"")</f>
        <v/>
      </c>
      <c r="U126" s="51">
        <f>IFERROR(IF(A126="","",T126*S126),"")</f>
        <v/>
      </c>
      <c r="V126" s="51">
        <f>IFERROR(IF(A126="","",MAX(0,M126+N126+O126+P126-Q126)),"")</f>
        <v/>
      </c>
      <c r="W126" s="50">
        <f>IFERROR(IF(D126="","",VLOOKUP(D126,'Assumptions'!$U$5:$V$104,2,FALSE)),"")</f>
        <v/>
      </c>
      <c r="X126" s="51">
        <f>IFERROR(IF(A126="","",V126*W126),"")</f>
        <v/>
      </c>
      <c r="Y126" s="50">
        <f>IFERROR(IF(B126="","",VLOOKUP(B126,'Assumptions'!$B$5:$K$104,9,FALSE)),"")</f>
        <v/>
      </c>
      <c r="Z126" s="51">
        <f>IFERROR(IF(A126="","",(V126+U126)*Y126),"")</f>
        <v/>
      </c>
      <c r="AA126" s="50">
        <f>IFERROR(IF(B126="","",VLOOKUP(B126,'Assumptions'!$B$5:$K$104,10,FALSE)),"")</f>
        <v/>
      </c>
      <c r="AB126" s="51">
        <f>IFERROR(IF(A126="","",MAX(0,V126-R126)*AA126),"")</f>
        <v/>
      </c>
      <c r="AC126" s="51">
        <f>IFERROR(IF(A126="","",V126-R126-X126-Z126-AB126),"")</f>
        <v/>
      </c>
      <c r="AD126" s="49" t="n"/>
      <c r="AE126" s="51">
        <f>IFERROR(IF(A126="","",MAX(0,V126+U126-R126-AD126)),"")</f>
        <v/>
      </c>
      <c r="AF126" s="27">
        <f>IFERROR(IF(A126="","",IF(OR(L126="Inquiry",L126="Tentative",L126="Canceled"),"Not Due",IF(AE126=0,"Paid","Balance Due"))),"")</f>
        <v/>
      </c>
      <c r="AG126" s="25" t="n"/>
      <c r="AH126" s="31" t="n"/>
      <c r="AI126" s="27">
        <f>IFERROR(IF(A126="","",IF(OR(F126="",G126=""),"Missing Date",IF(G126&lt;=F126,"Invalid Date","OK"))),"")</f>
        <v/>
      </c>
      <c r="AJ126" s="27">
        <f>IFERROR(IF(OR(A126="",B126="",F126="",G126="",L126="Canceled"),"",IF(COUNTIFS($B$4:$B$153,B126,$F$4:$F$153,"&lt;"&amp;G126,$G$4:$G$153,"&gt;"&amp;F126,$A$4:$A$153,"&lt;&gt;"&amp;A126,$L$4:$L$153,"&lt;&gt;Canceled")&gt;0,"Possible Overlap","OK")),"")</f>
        <v/>
      </c>
      <c r="AK126" s="27">
        <f>IFERROR(IF(COUNTA(A126:G126)=0,"",IF(A126="","Missing Reservation ID",IF(B126="","Missing Property",IF(AND(AE126&gt;='Assumptions'!$B$115,L126&lt;&gt;"Canceled"),"Review Balance",IF(OR(L126="Inquiry",L126="Tentative"),"Review Status","OK"))))),"")</f>
        <v/>
      </c>
    </row>
    <row r="127">
      <c r="A127" s="25" t="n"/>
      <c r="B127" s="25" t="n"/>
      <c r="C127" s="25" t="n"/>
      <c r="D127" s="25" t="n"/>
      <c r="E127" s="26" t="n"/>
      <c r="F127" s="26" t="n"/>
      <c r="G127" s="26" t="n"/>
      <c r="H127" s="27">
        <f>IFERROR(IF(OR(F127="",G127=""),"",MAX(0,G127-F127)),"")</f>
        <v/>
      </c>
      <c r="I127" s="25" t="n"/>
      <c r="J127" s="25" t="n"/>
      <c r="K127" s="25" t="n"/>
      <c r="L127" s="25" t="n"/>
      <c r="M127" s="49" t="n"/>
      <c r="N127" s="49" t="n"/>
      <c r="O127" s="49" t="n"/>
      <c r="P127" s="49" t="n"/>
      <c r="Q127" s="49" t="n"/>
      <c r="R127" s="49" t="n"/>
      <c r="S127" s="50">
        <f>IFERROR(IF(B127="","",VLOOKUP(B127,'Assumptions'!$B$5:$K$104,7,FALSE)),"")</f>
        <v/>
      </c>
      <c r="T127" s="51">
        <f>IFERROR(IF(A127="","",MAX(0,M127-Q127+(N127+O127+P127)*VLOOKUP(B127,'Assumptions'!$B$5:$K$104,8,FALSE))),"")</f>
        <v/>
      </c>
      <c r="U127" s="51">
        <f>IFERROR(IF(A127="","",T127*S127),"")</f>
        <v/>
      </c>
      <c r="V127" s="51">
        <f>IFERROR(IF(A127="","",MAX(0,M127+N127+O127+P127-Q127)),"")</f>
        <v/>
      </c>
      <c r="W127" s="50">
        <f>IFERROR(IF(D127="","",VLOOKUP(D127,'Assumptions'!$U$5:$V$104,2,FALSE)),"")</f>
        <v/>
      </c>
      <c r="X127" s="51">
        <f>IFERROR(IF(A127="","",V127*W127),"")</f>
        <v/>
      </c>
      <c r="Y127" s="50">
        <f>IFERROR(IF(B127="","",VLOOKUP(B127,'Assumptions'!$B$5:$K$104,9,FALSE)),"")</f>
        <v/>
      </c>
      <c r="Z127" s="51">
        <f>IFERROR(IF(A127="","",(V127+U127)*Y127),"")</f>
        <v/>
      </c>
      <c r="AA127" s="50">
        <f>IFERROR(IF(B127="","",VLOOKUP(B127,'Assumptions'!$B$5:$K$104,10,FALSE)),"")</f>
        <v/>
      </c>
      <c r="AB127" s="51">
        <f>IFERROR(IF(A127="","",MAX(0,V127-R127)*AA127),"")</f>
        <v/>
      </c>
      <c r="AC127" s="51">
        <f>IFERROR(IF(A127="","",V127-R127-X127-Z127-AB127),"")</f>
        <v/>
      </c>
      <c r="AD127" s="49" t="n"/>
      <c r="AE127" s="51">
        <f>IFERROR(IF(A127="","",MAX(0,V127+U127-R127-AD127)),"")</f>
        <v/>
      </c>
      <c r="AF127" s="27">
        <f>IFERROR(IF(A127="","",IF(OR(L127="Inquiry",L127="Tentative",L127="Canceled"),"Not Due",IF(AE127=0,"Paid","Balance Due"))),"")</f>
        <v/>
      </c>
      <c r="AG127" s="25" t="n"/>
      <c r="AH127" s="31" t="n"/>
      <c r="AI127" s="27">
        <f>IFERROR(IF(A127="","",IF(OR(F127="",G127=""),"Missing Date",IF(G127&lt;=F127,"Invalid Date","OK"))),"")</f>
        <v/>
      </c>
      <c r="AJ127" s="27">
        <f>IFERROR(IF(OR(A127="",B127="",F127="",G127="",L127="Canceled"),"",IF(COUNTIFS($B$4:$B$153,B127,$F$4:$F$153,"&lt;"&amp;G127,$G$4:$G$153,"&gt;"&amp;F127,$A$4:$A$153,"&lt;&gt;"&amp;A127,$L$4:$L$153,"&lt;&gt;Canceled")&gt;0,"Possible Overlap","OK")),"")</f>
        <v/>
      </c>
      <c r="AK127" s="27">
        <f>IFERROR(IF(COUNTA(A127:G127)=0,"",IF(A127="","Missing Reservation ID",IF(B127="","Missing Property",IF(AND(AE127&gt;='Assumptions'!$B$115,L127&lt;&gt;"Canceled"),"Review Balance",IF(OR(L127="Inquiry",L127="Tentative"),"Review Status","OK"))))),"")</f>
        <v/>
      </c>
    </row>
    <row r="128">
      <c r="A128" s="25" t="n"/>
      <c r="B128" s="25" t="n"/>
      <c r="C128" s="25" t="n"/>
      <c r="D128" s="25" t="n"/>
      <c r="E128" s="26" t="n"/>
      <c r="F128" s="26" t="n"/>
      <c r="G128" s="26" t="n"/>
      <c r="H128" s="27">
        <f>IFERROR(IF(OR(F128="",G128=""),"",MAX(0,G128-F128)),"")</f>
        <v/>
      </c>
      <c r="I128" s="25" t="n"/>
      <c r="J128" s="25" t="n"/>
      <c r="K128" s="25" t="n"/>
      <c r="L128" s="25" t="n"/>
      <c r="M128" s="49" t="n"/>
      <c r="N128" s="49" t="n"/>
      <c r="O128" s="49" t="n"/>
      <c r="P128" s="49" t="n"/>
      <c r="Q128" s="49" t="n"/>
      <c r="R128" s="49" t="n"/>
      <c r="S128" s="50">
        <f>IFERROR(IF(B128="","",VLOOKUP(B128,'Assumptions'!$B$5:$K$104,7,FALSE)),"")</f>
        <v/>
      </c>
      <c r="T128" s="51">
        <f>IFERROR(IF(A128="","",MAX(0,M128-Q128+(N128+O128+P128)*VLOOKUP(B128,'Assumptions'!$B$5:$K$104,8,FALSE))),"")</f>
        <v/>
      </c>
      <c r="U128" s="51">
        <f>IFERROR(IF(A128="","",T128*S128),"")</f>
        <v/>
      </c>
      <c r="V128" s="51">
        <f>IFERROR(IF(A128="","",MAX(0,M128+N128+O128+P128-Q128)),"")</f>
        <v/>
      </c>
      <c r="W128" s="50">
        <f>IFERROR(IF(D128="","",VLOOKUP(D128,'Assumptions'!$U$5:$V$104,2,FALSE)),"")</f>
        <v/>
      </c>
      <c r="X128" s="51">
        <f>IFERROR(IF(A128="","",V128*W128),"")</f>
        <v/>
      </c>
      <c r="Y128" s="50">
        <f>IFERROR(IF(B128="","",VLOOKUP(B128,'Assumptions'!$B$5:$K$104,9,FALSE)),"")</f>
        <v/>
      </c>
      <c r="Z128" s="51">
        <f>IFERROR(IF(A128="","",(V128+U128)*Y128),"")</f>
        <v/>
      </c>
      <c r="AA128" s="50">
        <f>IFERROR(IF(B128="","",VLOOKUP(B128,'Assumptions'!$B$5:$K$104,10,FALSE)),"")</f>
        <v/>
      </c>
      <c r="AB128" s="51">
        <f>IFERROR(IF(A128="","",MAX(0,V128-R128)*AA128),"")</f>
        <v/>
      </c>
      <c r="AC128" s="51">
        <f>IFERROR(IF(A128="","",V128-R128-X128-Z128-AB128),"")</f>
        <v/>
      </c>
      <c r="AD128" s="49" t="n"/>
      <c r="AE128" s="51">
        <f>IFERROR(IF(A128="","",MAX(0,V128+U128-R128-AD128)),"")</f>
        <v/>
      </c>
      <c r="AF128" s="27">
        <f>IFERROR(IF(A128="","",IF(OR(L128="Inquiry",L128="Tentative",L128="Canceled"),"Not Due",IF(AE128=0,"Paid","Balance Due"))),"")</f>
        <v/>
      </c>
      <c r="AG128" s="25" t="n"/>
      <c r="AH128" s="31" t="n"/>
      <c r="AI128" s="27">
        <f>IFERROR(IF(A128="","",IF(OR(F128="",G128=""),"Missing Date",IF(G128&lt;=F128,"Invalid Date","OK"))),"")</f>
        <v/>
      </c>
      <c r="AJ128" s="27">
        <f>IFERROR(IF(OR(A128="",B128="",F128="",G128="",L128="Canceled"),"",IF(COUNTIFS($B$4:$B$153,B128,$F$4:$F$153,"&lt;"&amp;G128,$G$4:$G$153,"&gt;"&amp;F128,$A$4:$A$153,"&lt;&gt;"&amp;A128,$L$4:$L$153,"&lt;&gt;Canceled")&gt;0,"Possible Overlap","OK")),"")</f>
        <v/>
      </c>
      <c r="AK128" s="27">
        <f>IFERROR(IF(COUNTA(A128:G128)=0,"",IF(A128="","Missing Reservation ID",IF(B128="","Missing Property",IF(AND(AE128&gt;='Assumptions'!$B$115,L128&lt;&gt;"Canceled"),"Review Balance",IF(OR(L128="Inquiry",L128="Tentative"),"Review Status","OK"))))),"")</f>
        <v/>
      </c>
    </row>
    <row r="129">
      <c r="A129" s="25" t="n"/>
      <c r="B129" s="25" t="n"/>
      <c r="C129" s="25" t="n"/>
      <c r="D129" s="25" t="n"/>
      <c r="E129" s="26" t="n"/>
      <c r="F129" s="26" t="n"/>
      <c r="G129" s="26" t="n"/>
      <c r="H129" s="27">
        <f>IFERROR(IF(OR(F129="",G129=""),"",MAX(0,G129-F129)),"")</f>
        <v/>
      </c>
      <c r="I129" s="25" t="n"/>
      <c r="J129" s="25" t="n"/>
      <c r="K129" s="25" t="n"/>
      <c r="L129" s="25" t="n"/>
      <c r="M129" s="49" t="n"/>
      <c r="N129" s="49" t="n"/>
      <c r="O129" s="49" t="n"/>
      <c r="P129" s="49" t="n"/>
      <c r="Q129" s="49" t="n"/>
      <c r="R129" s="49" t="n"/>
      <c r="S129" s="50">
        <f>IFERROR(IF(B129="","",VLOOKUP(B129,'Assumptions'!$B$5:$K$104,7,FALSE)),"")</f>
        <v/>
      </c>
      <c r="T129" s="51">
        <f>IFERROR(IF(A129="","",MAX(0,M129-Q129+(N129+O129+P129)*VLOOKUP(B129,'Assumptions'!$B$5:$K$104,8,FALSE))),"")</f>
        <v/>
      </c>
      <c r="U129" s="51">
        <f>IFERROR(IF(A129="","",T129*S129),"")</f>
        <v/>
      </c>
      <c r="V129" s="51">
        <f>IFERROR(IF(A129="","",MAX(0,M129+N129+O129+P129-Q129)),"")</f>
        <v/>
      </c>
      <c r="W129" s="50">
        <f>IFERROR(IF(D129="","",VLOOKUP(D129,'Assumptions'!$U$5:$V$104,2,FALSE)),"")</f>
        <v/>
      </c>
      <c r="X129" s="51">
        <f>IFERROR(IF(A129="","",V129*W129),"")</f>
        <v/>
      </c>
      <c r="Y129" s="50">
        <f>IFERROR(IF(B129="","",VLOOKUP(B129,'Assumptions'!$B$5:$K$104,9,FALSE)),"")</f>
        <v/>
      </c>
      <c r="Z129" s="51">
        <f>IFERROR(IF(A129="","",(V129+U129)*Y129),"")</f>
        <v/>
      </c>
      <c r="AA129" s="50">
        <f>IFERROR(IF(B129="","",VLOOKUP(B129,'Assumptions'!$B$5:$K$104,10,FALSE)),"")</f>
        <v/>
      </c>
      <c r="AB129" s="51">
        <f>IFERROR(IF(A129="","",MAX(0,V129-R129)*AA129),"")</f>
        <v/>
      </c>
      <c r="AC129" s="51">
        <f>IFERROR(IF(A129="","",V129-R129-X129-Z129-AB129),"")</f>
        <v/>
      </c>
      <c r="AD129" s="49" t="n"/>
      <c r="AE129" s="51">
        <f>IFERROR(IF(A129="","",MAX(0,V129+U129-R129-AD129)),"")</f>
        <v/>
      </c>
      <c r="AF129" s="27">
        <f>IFERROR(IF(A129="","",IF(OR(L129="Inquiry",L129="Tentative",L129="Canceled"),"Not Due",IF(AE129=0,"Paid","Balance Due"))),"")</f>
        <v/>
      </c>
      <c r="AG129" s="25" t="n"/>
      <c r="AH129" s="31" t="n"/>
      <c r="AI129" s="27">
        <f>IFERROR(IF(A129="","",IF(OR(F129="",G129=""),"Missing Date",IF(G129&lt;=F129,"Invalid Date","OK"))),"")</f>
        <v/>
      </c>
      <c r="AJ129" s="27">
        <f>IFERROR(IF(OR(A129="",B129="",F129="",G129="",L129="Canceled"),"",IF(COUNTIFS($B$4:$B$153,B129,$F$4:$F$153,"&lt;"&amp;G129,$G$4:$G$153,"&gt;"&amp;F129,$A$4:$A$153,"&lt;&gt;"&amp;A129,$L$4:$L$153,"&lt;&gt;Canceled")&gt;0,"Possible Overlap","OK")),"")</f>
        <v/>
      </c>
      <c r="AK129" s="27">
        <f>IFERROR(IF(COUNTA(A129:G129)=0,"",IF(A129="","Missing Reservation ID",IF(B129="","Missing Property",IF(AND(AE129&gt;='Assumptions'!$B$115,L129&lt;&gt;"Canceled"),"Review Balance",IF(OR(L129="Inquiry",L129="Tentative"),"Review Status","OK"))))),"")</f>
        <v/>
      </c>
    </row>
    <row r="130">
      <c r="A130" s="25" t="n"/>
      <c r="B130" s="25" t="n"/>
      <c r="C130" s="25" t="n"/>
      <c r="D130" s="25" t="n"/>
      <c r="E130" s="26" t="n"/>
      <c r="F130" s="26" t="n"/>
      <c r="G130" s="26" t="n"/>
      <c r="H130" s="27">
        <f>IFERROR(IF(OR(F130="",G130=""),"",MAX(0,G130-F130)),"")</f>
        <v/>
      </c>
      <c r="I130" s="25" t="n"/>
      <c r="J130" s="25" t="n"/>
      <c r="K130" s="25" t="n"/>
      <c r="L130" s="25" t="n"/>
      <c r="M130" s="49" t="n"/>
      <c r="N130" s="49" t="n"/>
      <c r="O130" s="49" t="n"/>
      <c r="P130" s="49" t="n"/>
      <c r="Q130" s="49" t="n"/>
      <c r="R130" s="49" t="n"/>
      <c r="S130" s="50">
        <f>IFERROR(IF(B130="","",VLOOKUP(B130,'Assumptions'!$B$5:$K$104,7,FALSE)),"")</f>
        <v/>
      </c>
      <c r="T130" s="51">
        <f>IFERROR(IF(A130="","",MAX(0,M130-Q130+(N130+O130+P130)*VLOOKUP(B130,'Assumptions'!$B$5:$K$104,8,FALSE))),"")</f>
        <v/>
      </c>
      <c r="U130" s="51">
        <f>IFERROR(IF(A130="","",T130*S130),"")</f>
        <v/>
      </c>
      <c r="V130" s="51">
        <f>IFERROR(IF(A130="","",MAX(0,M130+N130+O130+P130-Q130)),"")</f>
        <v/>
      </c>
      <c r="W130" s="50">
        <f>IFERROR(IF(D130="","",VLOOKUP(D130,'Assumptions'!$U$5:$V$104,2,FALSE)),"")</f>
        <v/>
      </c>
      <c r="X130" s="51">
        <f>IFERROR(IF(A130="","",V130*W130),"")</f>
        <v/>
      </c>
      <c r="Y130" s="50">
        <f>IFERROR(IF(B130="","",VLOOKUP(B130,'Assumptions'!$B$5:$K$104,9,FALSE)),"")</f>
        <v/>
      </c>
      <c r="Z130" s="51">
        <f>IFERROR(IF(A130="","",(V130+U130)*Y130),"")</f>
        <v/>
      </c>
      <c r="AA130" s="50">
        <f>IFERROR(IF(B130="","",VLOOKUP(B130,'Assumptions'!$B$5:$K$104,10,FALSE)),"")</f>
        <v/>
      </c>
      <c r="AB130" s="51">
        <f>IFERROR(IF(A130="","",MAX(0,V130-R130)*AA130),"")</f>
        <v/>
      </c>
      <c r="AC130" s="51">
        <f>IFERROR(IF(A130="","",V130-R130-X130-Z130-AB130),"")</f>
        <v/>
      </c>
      <c r="AD130" s="49" t="n"/>
      <c r="AE130" s="51">
        <f>IFERROR(IF(A130="","",MAX(0,V130+U130-R130-AD130)),"")</f>
        <v/>
      </c>
      <c r="AF130" s="27">
        <f>IFERROR(IF(A130="","",IF(OR(L130="Inquiry",L130="Tentative",L130="Canceled"),"Not Due",IF(AE130=0,"Paid","Balance Due"))),"")</f>
        <v/>
      </c>
      <c r="AG130" s="25" t="n"/>
      <c r="AH130" s="31" t="n"/>
      <c r="AI130" s="27">
        <f>IFERROR(IF(A130="","",IF(OR(F130="",G130=""),"Missing Date",IF(G130&lt;=F130,"Invalid Date","OK"))),"")</f>
        <v/>
      </c>
      <c r="AJ130" s="27">
        <f>IFERROR(IF(OR(A130="",B130="",F130="",G130="",L130="Canceled"),"",IF(COUNTIFS($B$4:$B$153,B130,$F$4:$F$153,"&lt;"&amp;G130,$G$4:$G$153,"&gt;"&amp;F130,$A$4:$A$153,"&lt;&gt;"&amp;A130,$L$4:$L$153,"&lt;&gt;Canceled")&gt;0,"Possible Overlap","OK")),"")</f>
        <v/>
      </c>
      <c r="AK130" s="27">
        <f>IFERROR(IF(COUNTA(A130:G130)=0,"",IF(A130="","Missing Reservation ID",IF(B130="","Missing Property",IF(AND(AE130&gt;='Assumptions'!$B$115,L130&lt;&gt;"Canceled"),"Review Balance",IF(OR(L130="Inquiry",L130="Tentative"),"Review Status","OK"))))),"")</f>
        <v/>
      </c>
    </row>
    <row r="131">
      <c r="A131" s="25" t="n"/>
      <c r="B131" s="25" t="n"/>
      <c r="C131" s="25" t="n"/>
      <c r="D131" s="25" t="n"/>
      <c r="E131" s="26" t="n"/>
      <c r="F131" s="26" t="n"/>
      <c r="G131" s="26" t="n"/>
      <c r="H131" s="27">
        <f>IFERROR(IF(OR(F131="",G131=""),"",MAX(0,G131-F131)),"")</f>
        <v/>
      </c>
      <c r="I131" s="25" t="n"/>
      <c r="J131" s="25" t="n"/>
      <c r="K131" s="25" t="n"/>
      <c r="L131" s="25" t="n"/>
      <c r="M131" s="49" t="n"/>
      <c r="N131" s="49" t="n"/>
      <c r="O131" s="49" t="n"/>
      <c r="P131" s="49" t="n"/>
      <c r="Q131" s="49" t="n"/>
      <c r="R131" s="49" t="n"/>
      <c r="S131" s="50">
        <f>IFERROR(IF(B131="","",VLOOKUP(B131,'Assumptions'!$B$5:$K$104,7,FALSE)),"")</f>
        <v/>
      </c>
      <c r="T131" s="51">
        <f>IFERROR(IF(A131="","",MAX(0,M131-Q131+(N131+O131+P131)*VLOOKUP(B131,'Assumptions'!$B$5:$K$104,8,FALSE))),"")</f>
        <v/>
      </c>
      <c r="U131" s="51">
        <f>IFERROR(IF(A131="","",T131*S131),"")</f>
        <v/>
      </c>
      <c r="V131" s="51">
        <f>IFERROR(IF(A131="","",MAX(0,M131+N131+O131+P131-Q131)),"")</f>
        <v/>
      </c>
      <c r="W131" s="50">
        <f>IFERROR(IF(D131="","",VLOOKUP(D131,'Assumptions'!$U$5:$V$104,2,FALSE)),"")</f>
        <v/>
      </c>
      <c r="X131" s="51">
        <f>IFERROR(IF(A131="","",V131*W131),"")</f>
        <v/>
      </c>
      <c r="Y131" s="50">
        <f>IFERROR(IF(B131="","",VLOOKUP(B131,'Assumptions'!$B$5:$K$104,9,FALSE)),"")</f>
        <v/>
      </c>
      <c r="Z131" s="51">
        <f>IFERROR(IF(A131="","",(V131+U131)*Y131),"")</f>
        <v/>
      </c>
      <c r="AA131" s="50">
        <f>IFERROR(IF(B131="","",VLOOKUP(B131,'Assumptions'!$B$5:$K$104,10,FALSE)),"")</f>
        <v/>
      </c>
      <c r="AB131" s="51">
        <f>IFERROR(IF(A131="","",MAX(0,V131-R131)*AA131),"")</f>
        <v/>
      </c>
      <c r="AC131" s="51">
        <f>IFERROR(IF(A131="","",V131-R131-X131-Z131-AB131),"")</f>
        <v/>
      </c>
      <c r="AD131" s="49" t="n"/>
      <c r="AE131" s="51">
        <f>IFERROR(IF(A131="","",MAX(0,V131+U131-R131-AD131)),"")</f>
        <v/>
      </c>
      <c r="AF131" s="27">
        <f>IFERROR(IF(A131="","",IF(OR(L131="Inquiry",L131="Tentative",L131="Canceled"),"Not Due",IF(AE131=0,"Paid","Balance Due"))),"")</f>
        <v/>
      </c>
      <c r="AG131" s="25" t="n"/>
      <c r="AH131" s="31" t="n"/>
      <c r="AI131" s="27">
        <f>IFERROR(IF(A131="","",IF(OR(F131="",G131=""),"Missing Date",IF(G131&lt;=F131,"Invalid Date","OK"))),"")</f>
        <v/>
      </c>
      <c r="AJ131" s="27">
        <f>IFERROR(IF(OR(A131="",B131="",F131="",G131="",L131="Canceled"),"",IF(COUNTIFS($B$4:$B$153,B131,$F$4:$F$153,"&lt;"&amp;G131,$G$4:$G$153,"&gt;"&amp;F131,$A$4:$A$153,"&lt;&gt;"&amp;A131,$L$4:$L$153,"&lt;&gt;Canceled")&gt;0,"Possible Overlap","OK")),"")</f>
        <v/>
      </c>
      <c r="AK131" s="27">
        <f>IFERROR(IF(COUNTA(A131:G131)=0,"",IF(A131="","Missing Reservation ID",IF(B131="","Missing Property",IF(AND(AE131&gt;='Assumptions'!$B$115,L131&lt;&gt;"Canceled"),"Review Balance",IF(OR(L131="Inquiry",L131="Tentative"),"Review Status","OK"))))),"")</f>
        <v/>
      </c>
    </row>
    <row r="132">
      <c r="A132" s="25" t="n"/>
      <c r="B132" s="25" t="n"/>
      <c r="C132" s="25" t="n"/>
      <c r="D132" s="25" t="n"/>
      <c r="E132" s="26" t="n"/>
      <c r="F132" s="26" t="n"/>
      <c r="G132" s="26" t="n"/>
      <c r="H132" s="27">
        <f>IFERROR(IF(OR(F132="",G132=""),"",MAX(0,G132-F132)),"")</f>
        <v/>
      </c>
      <c r="I132" s="25" t="n"/>
      <c r="J132" s="25" t="n"/>
      <c r="K132" s="25" t="n"/>
      <c r="L132" s="25" t="n"/>
      <c r="M132" s="49" t="n"/>
      <c r="N132" s="49" t="n"/>
      <c r="O132" s="49" t="n"/>
      <c r="P132" s="49" t="n"/>
      <c r="Q132" s="49" t="n"/>
      <c r="R132" s="49" t="n"/>
      <c r="S132" s="50">
        <f>IFERROR(IF(B132="","",VLOOKUP(B132,'Assumptions'!$B$5:$K$104,7,FALSE)),"")</f>
        <v/>
      </c>
      <c r="T132" s="51">
        <f>IFERROR(IF(A132="","",MAX(0,M132-Q132+(N132+O132+P132)*VLOOKUP(B132,'Assumptions'!$B$5:$K$104,8,FALSE))),"")</f>
        <v/>
      </c>
      <c r="U132" s="51">
        <f>IFERROR(IF(A132="","",T132*S132),"")</f>
        <v/>
      </c>
      <c r="V132" s="51">
        <f>IFERROR(IF(A132="","",MAX(0,M132+N132+O132+P132-Q132)),"")</f>
        <v/>
      </c>
      <c r="W132" s="50">
        <f>IFERROR(IF(D132="","",VLOOKUP(D132,'Assumptions'!$U$5:$V$104,2,FALSE)),"")</f>
        <v/>
      </c>
      <c r="X132" s="51">
        <f>IFERROR(IF(A132="","",V132*W132),"")</f>
        <v/>
      </c>
      <c r="Y132" s="50">
        <f>IFERROR(IF(B132="","",VLOOKUP(B132,'Assumptions'!$B$5:$K$104,9,FALSE)),"")</f>
        <v/>
      </c>
      <c r="Z132" s="51">
        <f>IFERROR(IF(A132="","",(V132+U132)*Y132),"")</f>
        <v/>
      </c>
      <c r="AA132" s="50">
        <f>IFERROR(IF(B132="","",VLOOKUP(B132,'Assumptions'!$B$5:$K$104,10,FALSE)),"")</f>
        <v/>
      </c>
      <c r="AB132" s="51">
        <f>IFERROR(IF(A132="","",MAX(0,V132-R132)*AA132),"")</f>
        <v/>
      </c>
      <c r="AC132" s="51">
        <f>IFERROR(IF(A132="","",V132-R132-X132-Z132-AB132),"")</f>
        <v/>
      </c>
      <c r="AD132" s="49" t="n"/>
      <c r="AE132" s="51">
        <f>IFERROR(IF(A132="","",MAX(0,V132+U132-R132-AD132)),"")</f>
        <v/>
      </c>
      <c r="AF132" s="27">
        <f>IFERROR(IF(A132="","",IF(OR(L132="Inquiry",L132="Tentative",L132="Canceled"),"Not Due",IF(AE132=0,"Paid","Balance Due"))),"")</f>
        <v/>
      </c>
      <c r="AG132" s="25" t="n"/>
      <c r="AH132" s="31" t="n"/>
      <c r="AI132" s="27">
        <f>IFERROR(IF(A132="","",IF(OR(F132="",G132=""),"Missing Date",IF(G132&lt;=F132,"Invalid Date","OK"))),"")</f>
        <v/>
      </c>
      <c r="AJ132" s="27">
        <f>IFERROR(IF(OR(A132="",B132="",F132="",G132="",L132="Canceled"),"",IF(COUNTIFS($B$4:$B$153,B132,$F$4:$F$153,"&lt;"&amp;G132,$G$4:$G$153,"&gt;"&amp;F132,$A$4:$A$153,"&lt;&gt;"&amp;A132,$L$4:$L$153,"&lt;&gt;Canceled")&gt;0,"Possible Overlap","OK")),"")</f>
        <v/>
      </c>
      <c r="AK132" s="27">
        <f>IFERROR(IF(COUNTA(A132:G132)=0,"",IF(A132="","Missing Reservation ID",IF(B132="","Missing Property",IF(AND(AE132&gt;='Assumptions'!$B$115,L132&lt;&gt;"Canceled"),"Review Balance",IF(OR(L132="Inquiry",L132="Tentative"),"Review Status","OK"))))),"")</f>
        <v/>
      </c>
    </row>
    <row r="133">
      <c r="A133" s="25" t="n"/>
      <c r="B133" s="25" t="n"/>
      <c r="C133" s="25" t="n"/>
      <c r="D133" s="25" t="n"/>
      <c r="E133" s="26" t="n"/>
      <c r="F133" s="26" t="n"/>
      <c r="G133" s="26" t="n"/>
      <c r="H133" s="27">
        <f>IFERROR(IF(OR(F133="",G133=""),"",MAX(0,G133-F133)),"")</f>
        <v/>
      </c>
      <c r="I133" s="25" t="n"/>
      <c r="J133" s="25" t="n"/>
      <c r="K133" s="25" t="n"/>
      <c r="L133" s="25" t="n"/>
      <c r="M133" s="49" t="n"/>
      <c r="N133" s="49" t="n"/>
      <c r="O133" s="49" t="n"/>
      <c r="P133" s="49" t="n"/>
      <c r="Q133" s="49" t="n"/>
      <c r="R133" s="49" t="n"/>
      <c r="S133" s="50">
        <f>IFERROR(IF(B133="","",VLOOKUP(B133,'Assumptions'!$B$5:$K$104,7,FALSE)),"")</f>
        <v/>
      </c>
      <c r="T133" s="51">
        <f>IFERROR(IF(A133="","",MAX(0,M133-Q133+(N133+O133+P133)*VLOOKUP(B133,'Assumptions'!$B$5:$K$104,8,FALSE))),"")</f>
        <v/>
      </c>
      <c r="U133" s="51">
        <f>IFERROR(IF(A133="","",T133*S133),"")</f>
        <v/>
      </c>
      <c r="V133" s="51">
        <f>IFERROR(IF(A133="","",MAX(0,M133+N133+O133+P133-Q133)),"")</f>
        <v/>
      </c>
      <c r="W133" s="50">
        <f>IFERROR(IF(D133="","",VLOOKUP(D133,'Assumptions'!$U$5:$V$104,2,FALSE)),"")</f>
        <v/>
      </c>
      <c r="X133" s="51">
        <f>IFERROR(IF(A133="","",V133*W133),"")</f>
        <v/>
      </c>
      <c r="Y133" s="50">
        <f>IFERROR(IF(B133="","",VLOOKUP(B133,'Assumptions'!$B$5:$K$104,9,FALSE)),"")</f>
        <v/>
      </c>
      <c r="Z133" s="51">
        <f>IFERROR(IF(A133="","",(V133+U133)*Y133),"")</f>
        <v/>
      </c>
      <c r="AA133" s="50">
        <f>IFERROR(IF(B133="","",VLOOKUP(B133,'Assumptions'!$B$5:$K$104,10,FALSE)),"")</f>
        <v/>
      </c>
      <c r="AB133" s="51">
        <f>IFERROR(IF(A133="","",MAX(0,V133-R133)*AA133),"")</f>
        <v/>
      </c>
      <c r="AC133" s="51">
        <f>IFERROR(IF(A133="","",V133-R133-X133-Z133-AB133),"")</f>
        <v/>
      </c>
      <c r="AD133" s="49" t="n"/>
      <c r="AE133" s="51">
        <f>IFERROR(IF(A133="","",MAX(0,V133+U133-R133-AD133)),"")</f>
        <v/>
      </c>
      <c r="AF133" s="27">
        <f>IFERROR(IF(A133="","",IF(OR(L133="Inquiry",L133="Tentative",L133="Canceled"),"Not Due",IF(AE133=0,"Paid","Balance Due"))),"")</f>
        <v/>
      </c>
      <c r="AG133" s="25" t="n"/>
      <c r="AH133" s="31" t="n"/>
      <c r="AI133" s="27">
        <f>IFERROR(IF(A133="","",IF(OR(F133="",G133=""),"Missing Date",IF(G133&lt;=F133,"Invalid Date","OK"))),"")</f>
        <v/>
      </c>
      <c r="AJ133" s="27">
        <f>IFERROR(IF(OR(A133="",B133="",F133="",G133="",L133="Canceled"),"",IF(COUNTIFS($B$4:$B$153,B133,$F$4:$F$153,"&lt;"&amp;G133,$G$4:$G$153,"&gt;"&amp;F133,$A$4:$A$153,"&lt;&gt;"&amp;A133,$L$4:$L$153,"&lt;&gt;Canceled")&gt;0,"Possible Overlap","OK")),"")</f>
        <v/>
      </c>
      <c r="AK133" s="27">
        <f>IFERROR(IF(COUNTA(A133:G133)=0,"",IF(A133="","Missing Reservation ID",IF(B133="","Missing Property",IF(AND(AE133&gt;='Assumptions'!$B$115,L133&lt;&gt;"Canceled"),"Review Balance",IF(OR(L133="Inquiry",L133="Tentative"),"Review Status","OK"))))),"")</f>
        <v/>
      </c>
    </row>
    <row r="134">
      <c r="A134" s="25" t="n"/>
      <c r="B134" s="25" t="n"/>
      <c r="C134" s="25" t="n"/>
      <c r="D134" s="25" t="n"/>
      <c r="E134" s="26" t="n"/>
      <c r="F134" s="26" t="n"/>
      <c r="G134" s="26" t="n"/>
      <c r="H134" s="27">
        <f>IFERROR(IF(OR(F134="",G134=""),"",MAX(0,G134-F134)),"")</f>
        <v/>
      </c>
      <c r="I134" s="25" t="n"/>
      <c r="J134" s="25" t="n"/>
      <c r="K134" s="25" t="n"/>
      <c r="L134" s="25" t="n"/>
      <c r="M134" s="49" t="n"/>
      <c r="N134" s="49" t="n"/>
      <c r="O134" s="49" t="n"/>
      <c r="P134" s="49" t="n"/>
      <c r="Q134" s="49" t="n"/>
      <c r="R134" s="49" t="n"/>
      <c r="S134" s="50">
        <f>IFERROR(IF(B134="","",VLOOKUP(B134,'Assumptions'!$B$5:$K$104,7,FALSE)),"")</f>
        <v/>
      </c>
      <c r="T134" s="51">
        <f>IFERROR(IF(A134="","",MAX(0,M134-Q134+(N134+O134+P134)*VLOOKUP(B134,'Assumptions'!$B$5:$K$104,8,FALSE))),"")</f>
        <v/>
      </c>
      <c r="U134" s="51">
        <f>IFERROR(IF(A134="","",T134*S134),"")</f>
        <v/>
      </c>
      <c r="V134" s="51">
        <f>IFERROR(IF(A134="","",MAX(0,M134+N134+O134+P134-Q134)),"")</f>
        <v/>
      </c>
      <c r="W134" s="50">
        <f>IFERROR(IF(D134="","",VLOOKUP(D134,'Assumptions'!$U$5:$V$104,2,FALSE)),"")</f>
        <v/>
      </c>
      <c r="X134" s="51">
        <f>IFERROR(IF(A134="","",V134*W134),"")</f>
        <v/>
      </c>
      <c r="Y134" s="50">
        <f>IFERROR(IF(B134="","",VLOOKUP(B134,'Assumptions'!$B$5:$K$104,9,FALSE)),"")</f>
        <v/>
      </c>
      <c r="Z134" s="51">
        <f>IFERROR(IF(A134="","",(V134+U134)*Y134),"")</f>
        <v/>
      </c>
      <c r="AA134" s="50">
        <f>IFERROR(IF(B134="","",VLOOKUP(B134,'Assumptions'!$B$5:$K$104,10,FALSE)),"")</f>
        <v/>
      </c>
      <c r="AB134" s="51">
        <f>IFERROR(IF(A134="","",MAX(0,V134-R134)*AA134),"")</f>
        <v/>
      </c>
      <c r="AC134" s="51">
        <f>IFERROR(IF(A134="","",V134-R134-X134-Z134-AB134),"")</f>
        <v/>
      </c>
      <c r="AD134" s="49" t="n"/>
      <c r="AE134" s="51">
        <f>IFERROR(IF(A134="","",MAX(0,V134+U134-R134-AD134)),"")</f>
        <v/>
      </c>
      <c r="AF134" s="27">
        <f>IFERROR(IF(A134="","",IF(OR(L134="Inquiry",L134="Tentative",L134="Canceled"),"Not Due",IF(AE134=0,"Paid","Balance Due"))),"")</f>
        <v/>
      </c>
      <c r="AG134" s="25" t="n"/>
      <c r="AH134" s="31" t="n"/>
      <c r="AI134" s="27">
        <f>IFERROR(IF(A134="","",IF(OR(F134="",G134=""),"Missing Date",IF(G134&lt;=F134,"Invalid Date","OK"))),"")</f>
        <v/>
      </c>
      <c r="AJ134" s="27">
        <f>IFERROR(IF(OR(A134="",B134="",F134="",G134="",L134="Canceled"),"",IF(COUNTIFS($B$4:$B$153,B134,$F$4:$F$153,"&lt;"&amp;G134,$G$4:$G$153,"&gt;"&amp;F134,$A$4:$A$153,"&lt;&gt;"&amp;A134,$L$4:$L$153,"&lt;&gt;Canceled")&gt;0,"Possible Overlap","OK")),"")</f>
        <v/>
      </c>
      <c r="AK134" s="27">
        <f>IFERROR(IF(COUNTA(A134:G134)=0,"",IF(A134="","Missing Reservation ID",IF(B134="","Missing Property",IF(AND(AE134&gt;='Assumptions'!$B$115,L134&lt;&gt;"Canceled"),"Review Balance",IF(OR(L134="Inquiry",L134="Tentative"),"Review Status","OK"))))),"")</f>
        <v/>
      </c>
    </row>
    <row r="135">
      <c r="A135" s="25" t="n"/>
      <c r="B135" s="25" t="n"/>
      <c r="C135" s="25" t="n"/>
      <c r="D135" s="25" t="n"/>
      <c r="E135" s="26" t="n"/>
      <c r="F135" s="26" t="n"/>
      <c r="G135" s="26" t="n"/>
      <c r="H135" s="27">
        <f>IFERROR(IF(OR(F135="",G135=""),"",MAX(0,G135-F135)),"")</f>
        <v/>
      </c>
      <c r="I135" s="25" t="n"/>
      <c r="J135" s="25" t="n"/>
      <c r="K135" s="25" t="n"/>
      <c r="L135" s="25" t="n"/>
      <c r="M135" s="49" t="n"/>
      <c r="N135" s="49" t="n"/>
      <c r="O135" s="49" t="n"/>
      <c r="P135" s="49" t="n"/>
      <c r="Q135" s="49" t="n"/>
      <c r="R135" s="49" t="n"/>
      <c r="S135" s="50">
        <f>IFERROR(IF(B135="","",VLOOKUP(B135,'Assumptions'!$B$5:$K$104,7,FALSE)),"")</f>
        <v/>
      </c>
      <c r="T135" s="51">
        <f>IFERROR(IF(A135="","",MAX(0,M135-Q135+(N135+O135+P135)*VLOOKUP(B135,'Assumptions'!$B$5:$K$104,8,FALSE))),"")</f>
        <v/>
      </c>
      <c r="U135" s="51">
        <f>IFERROR(IF(A135="","",T135*S135),"")</f>
        <v/>
      </c>
      <c r="V135" s="51">
        <f>IFERROR(IF(A135="","",MAX(0,M135+N135+O135+P135-Q135)),"")</f>
        <v/>
      </c>
      <c r="W135" s="50">
        <f>IFERROR(IF(D135="","",VLOOKUP(D135,'Assumptions'!$U$5:$V$104,2,FALSE)),"")</f>
        <v/>
      </c>
      <c r="X135" s="51">
        <f>IFERROR(IF(A135="","",V135*W135),"")</f>
        <v/>
      </c>
      <c r="Y135" s="50">
        <f>IFERROR(IF(B135="","",VLOOKUP(B135,'Assumptions'!$B$5:$K$104,9,FALSE)),"")</f>
        <v/>
      </c>
      <c r="Z135" s="51">
        <f>IFERROR(IF(A135="","",(V135+U135)*Y135),"")</f>
        <v/>
      </c>
      <c r="AA135" s="50">
        <f>IFERROR(IF(B135="","",VLOOKUP(B135,'Assumptions'!$B$5:$K$104,10,FALSE)),"")</f>
        <v/>
      </c>
      <c r="AB135" s="51">
        <f>IFERROR(IF(A135="","",MAX(0,V135-R135)*AA135),"")</f>
        <v/>
      </c>
      <c r="AC135" s="51">
        <f>IFERROR(IF(A135="","",V135-R135-X135-Z135-AB135),"")</f>
        <v/>
      </c>
      <c r="AD135" s="49" t="n"/>
      <c r="AE135" s="51">
        <f>IFERROR(IF(A135="","",MAX(0,V135+U135-R135-AD135)),"")</f>
        <v/>
      </c>
      <c r="AF135" s="27">
        <f>IFERROR(IF(A135="","",IF(OR(L135="Inquiry",L135="Tentative",L135="Canceled"),"Not Due",IF(AE135=0,"Paid","Balance Due"))),"")</f>
        <v/>
      </c>
      <c r="AG135" s="25" t="n"/>
      <c r="AH135" s="31" t="n"/>
      <c r="AI135" s="27">
        <f>IFERROR(IF(A135="","",IF(OR(F135="",G135=""),"Missing Date",IF(G135&lt;=F135,"Invalid Date","OK"))),"")</f>
        <v/>
      </c>
      <c r="AJ135" s="27">
        <f>IFERROR(IF(OR(A135="",B135="",F135="",G135="",L135="Canceled"),"",IF(COUNTIFS($B$4:$B$153,B135,$F$4:$F$153,"&lt;"&amp;G135,$G$4:$G$153,"&gt;"&amp;F135,$A$4:$A$153,"&lt;&gt;"&amp;A135,$L$4:$L$153,"&lt;&gt;Canceled")&gt;0,"Possible Overlap","OK")),"")</f>
        <v/>
      </c>
      <c r="AK135" s="27">
        <f>IFERROR(IF(COUNTA(A135:G135)=0,"",IF(A135="","Missing Reservation ID",IF(B135="","Missing Property",IF(AND(AE135&gt;='Assumptions'!$B$115,L135&lt;&gt;"Canceled"),"Review Balance",IF(OR(L135="Inquiry",L135="Tentative"),"Review Status","OK"))))),"")</f>
        <v/>
      </c>
    </row>
    <row r="136">
      <c r="A136" s="25" t="n"/>
      <c r="B136" s="25" t="n"/>
      <c r="C136" s="25" t="n"/>
      <c r="D136" s="25" t="n"/>
      <c r="E136" s="26" t="n"/>
      <c r="F136" s="26" t="n"/>
      <c r="G136" s="26" t="n"/>
      <c r="H136" s="27">
        <f>IFERROR(IF(OR(F136="",G136=""),"",MAX(0,G136-F136)),"")</f>
        <v/>
      </c>
      <c r="I136" s="25" t="n"/>
      <c r="J136" s="25" t="n"/>
      <c r="K136" s="25" t="n"/>
      <c r="L136" s="25" t="n"/>
      <c r="M136" s="49" t="n"/>
      <c r="N136" s="49" t="n"/>
      <c r="O136" s="49" t="n"/>
      <c r="P136" s="49" t="n"/>
      <c r="Q136" s="49" t="n"/>
      <c r="R136" s="49" t="n"/>
      <c r="S136" s="50">
        <f>IFERROR(IF(B136="","",VLOOKUP(B136,'Assumptions'!$B$5:$K$104,7,FALSE)),"")</f>
        <v/>
      </c>
      <c r="T136" s="51">
        <f>IFERROR(IF(A136="","",MAX(0,M136-Q136+(N136+O136+P136)*VLOOKUP(B136,'Assumptions'!$B$5:$K$104,8,FALSE))),"")</f>
        <v/>
      </c>
      <c r="U136" s="51">
        <f>IFERROR(IF(A136="","",T136*S136),"")</f>
        <v/>
      </c>
      <c r="V136" s="51">
        <f>IFERROR(IF(A136="","",MAX(0,M136+N136+O136+P136-Q136)),"")</f>
        <v/>
      </c>
      <c r="W136" s="50">
        <f>IFERROR(IF(D136="","",VLOOKUP(D136,'Assumptions'!$U$5:$V$104,2,FALSE)),"")</f>
        <v/>
      </c>
      <c r="X136" s="51">
        <f>IFERROR(IF(A136="","",V136*W136),"")</f>
        <v/>
      </c>
      <c r="Y136" s="50">
        <f>IFERROR(IF(B136="","",VLOOKUP(B136,'Assumptions'!$B$5:$K$104,9,FALSE)),"")</f>
        <v/>
      </c>
      <c r="Z136" s="51">
        <f>IFERROR(IF(A136="","",(V136+U136)*Y136),"")</f>
        <v/>
      </c>
      <c r="AA136" s="50">
        <f>IFERROR(IF(B136="","",VLOOKUP(B136,'Assumptions'!$B$5:$K$104,10,FALSE)),"")</f>
        <v/>
      </c>
      <c r="AB136" s="51">
        <f>IFERROR(IF(A136="","",MAX(0,V136-R136)*AA136),"")</f>
        <v/>
      </c>
      <c r="AC136" s="51">
        <f>IFERROR(IF(A136="","",V136-R136-X136-Z136-AB136),"")</f>
        <v/>
      </c>
      <c r="AD136" s="49" t="n"/>
      <c r="AE136" s="51">
        <f>IFERROR(IF(A136="","",MAX(0,V136+U136-R136-AD136)),"")</f>
        <v/>
      </c>
      <c r="AF136" s="27">
        <f>IFERROR(IF(A136="","",IF(OR(L136="Inquiry",L136="Tentative",L136="Canceled"),"Not Due",IF(AE136=0,"Paid","Balance Due"))),"")</f>
        <v/>
      </c>
      <c r="AG136" s="25" t="n"/>
      <c r="AH136" s="31" t="n"/>
      <c r="AI136" s="27">
        <f>IFERROR(IF(A136="","",IF(OR(F136="",G136=""),"Missing Date",IF(G136&lt;=F136,"Invalid Date","OK"))),"")</f>
        <v/>
      </c>
      <c r="AJ136" s="27">
        <f>IFERROR(IF(OR(A136="",B136="",F136="",G136="",L136="Canceled"),"",IF(COUNTIFS($B$4:$B$153,B136,$F$4:$F$153,"&lt;"&amp;G136,$G$4:$G$153,"&gt;"&amp;F136,$A$4:$A$153,"&lt;&gt;"&amp;A136,$L$4:$L$153,"&lt;&gt;Canceled")&gt;0,"Possible Overlap","OK")),"")</f>
        <v/>
      </c>
      <c r="AK136" s="27">
        <f>IFERROR(IF(COUNTA(A136:G136)=0,"",IF(A136="","Missing Reservation ID",IF(B136="","Missing Property",IF(AND(AE136&gt;='Assumptions'!$B$115,L136&lt;&gt;"Canceled"),"Review Balance",IF(OR(L136="Inquiry",L136="Tentative"),"Review Status","OK"))))),"")</f>
        <v/>
      </c>
    </row>
    <row r="137">
      <c r="A137" s="25" t="n"/>
      <c r="B137" s="25" t="n"/>
      <c r="C137" s="25" t="n"/>
      <c r="D137" s="25" t="n"/>
      <c r="E137" s="26" t="n"/>
      <c r="F137" s="26" t="n"/>
      <c r="G137" s="26" t="n"/>
      <c r="H137" s="27">
        <f>IFERROR(IF(OR(F137="",G137=""),"",MAX(0,G137-F137)),"")</f>
        <v/>
      </c>
      <c r="I137" s="25" t="n"/>
      <c r="J137" s="25" t="n"/>
      <c r="K137" s="25" t="n"/>
      <c r="L137" s="25" t="n"/>
      <c r="M137" s="49" t="n"/>
      <c r="N137" s="49" t="n"/>
      <c r="O137" s="49" t="n"/>
      <c r="P137" s="49" t="n"/>
      <c r="Q137" s="49" t="n"/>
      <c r="R137" s="49" t="n"/>
      <c r="S137" s="50">
        <f>IFERROR(IF(B137="","",VLOOKUP(B137,'Assumptions'!$B$5:$K$104,7,FALSE)),"")</f>
        <v/>
      </c>
      <c r="T137" s="51">
        <f>IFERROR(IF(A137="","",MAX(0,M137-Q137+(N137+O137+P137)*VLOOKUP(B137,'Assumptions'!$B$5:$K$104,8,FALSE))),"")</f>
        <v/>
      </c>
      <c r="U137" s="51">
        <f>IFERROR(IF(A137="","",T137*S137),"")</f>
        <v/>
      </c>
      <c r="V137" s="51">
        <f>IFERROR(IF(A137="","",MAX(0,M137+N137+O137+P137-Q137)),"")</f>
        <v/>
      </c>
      <c r="W137" s="50">
        <f>IFERROR(IF(D137="","",VLOOKUP(D137,'Assumptions'!$U$5:$V$104,2,FALSE)),"")</f>
        <v/>
      </c>
      <c r="X137" s="51">
        <f>IFERROR(IF(A137="","",V137*W137),"")</f>
        <v/>
      </c>
      <c r="Y137" s="50">
        <f>IFERROR(IF(B137="","",VLOOKUP(B137,'Assumptions'!$B$5:$K$104,9,FALSE)),"")</f>
        <v/>
      </c>
      <c r="Z137" s="51">
        <f>IFERROR(IF(A137="","",(V137+U137)*Y137),"")</f>
        <v/>
      </c>
      <c r="AA137" s="50">
        <f>IFERROR(IF(B137="","",VLOOKUP(B137,'Assumptions'!$B$5:$K$104,10,FALSE)),"")</f>
        <v/>
      </c>
      <c r="AB137" s="51">
        <f>IFERROR(IF(A137="","",MAX(0,V137-R137)*AA137),"")</f>
        <v/>
      </c>
      <c r="AC137" s="51">
        <f>IFERROR(IF(A137="","",V137-R137-X137-Z137-AB137),"")</f>
        <v/>
      </c>
      <c r="AD137" s="49" t="n"/>
      <c r="AE137" s="51">
        <f>IFERROR(IF(A137="","",MAX(0,V137+U137-R137-AD137)),"")</f>
        <v/>
      </c>
      <c r="AF137" s="27">
        <f>IFERROR(IF(A137="","",IF(OR(L137="Inquiry",L137="Tentative",L137="Canceled"),"Not Due",IF(AE137=0,"Paid","Balance Due"))),"")</f>
        <v/>
      </c>
      <c r="AG137" s="25" t="n"/>
      <c r="AH137" s="31" t="n"/>
      <c r="AI137" s="27">
        <f>IFERROR(IF(A137="","",IF(OR(F137="",G137=""),"Missing Date",IF(G137&lt;=F137,"Invalid Date","OK"))),"")</f>
        <v/>
      </c>
      <c r="AJ137" s="27">
        <f>IFERROR(IF(OR(A137="",B137="",F137="",G137="",L137="Canceled"),"",IF(COUNTIFS($B$4:$B$153,B137,$F$4:$F$153,"&lt;"&amp;G137,$G$4:$G$153,"&gt;"&amp;F137,$A$4:$A$153,"&lt;&gt;"&amp;A137,$L$4:$L$153,"&lt;&gt;Canceled")&gt;0,"Possible Overlap","OK")),"")</f>
        <v/>
      </c>
      <c r="AK137" s="27">
        <f>IFERROR(IF(COUNTA(A137:G137)=0,"",IF(A137="","Missing Reservation ID",IF(B137="","Missing Property",IF(AND(AE137&gt;='Assumptions'!$B$115,L137&lt;&gt;"Canceled"),"Review Balance",IF(OR(L137="Inquiry",L137="Tentative"),"Review Status","OK"))))),"")</f>
        <v/>
      </c>
    </row>
    <row r="138">
      <c r="A138" s="25" t="n"/>
      <c r="B138" s="25" t="n"/>
      <c r="C138" s="25" t="n"/>
      <c r="D138" s="25" t="n"/>
      <c r="E138" s="26" t="n"/>
      <c r="F138" s="26" t="n"/>
      <c r="G138" s="26" t="n"/>
      <c r="H138" s="27">
        <f>IFERROR(IF(OR(F138="",G138=""),"",MAX(0,G138-F138)),"")</f>
        <v/>
      </c>
      <c r="I138" s="25" t="n"/>
      <c r="J138" s="25" t="n"/>
      <c r="K138" s="25" t="n"/>
      <c r="L138" s="25" t="n"/>
      <c r="M138" s="49" t="n"/>
      <c r="N138" s="49" t="n"/>
      <c r="O138" s="49" t="n"/>
      <c r="P138" s="49" t="n"/>
      <c r="Q138" s="49" t="n"/>
      <c r="R138" s="49" t="n"/>
      <c r="S138" s="50">
        <f>IFERROR(IF(B138="","",VLOOKUP(B138,'Assumptions'!$B$5:$K$104,7,FALSE)),"")</f>
        <v/>
      </c>
      <c r="T138" s="51">
        <f>IFERROR(IF(A138="","",MAX(0,M138-Q138+(N138+O138+P138)*VLOOKUP(B138,'Assumptions'!$B$5:$K$104,8,FALSE))),"")</f>
        <v/>
      </c>
      <c r="U138" s="51">
        <f>IFERROR(IF(A138="","",T138*S138),"")</f>
        <v/>
      </c>
      <c r="V138" s="51">
        <f>IFERROR(IF(A138="","",MAX(0,M138+N138+O138+P138-Q138)),"")</f>
        <v/>
      </c>
      <c r="W138" s="50">
        <f>IFERROR(IF(D138="","",VLOOKUP(D138,'Assumptions'!$U$5:$V$104,2,FALSE)),"")</f>
        <v/>
      </c>
      <c r="X138" s="51">
        <f>IFERROR(IF(A138="","",V138*W138),"")</f>
        <v/>
      </c>
      <c r="Y138" s="50">
        <f>IFERROR(IF(B138="","",VLOOKUP(B138,'Assumptions'!$B$5:$K$104,9,FALSE)),"")</f>
        <v/>
      </c>
      <c r="Z138" s="51">
        <f>IFERROR(IF(A138="","",(V138+U138)*Y138),"")</f>
        <v/>
      </c>
      <c r="AA138" s="50">
        <f>IFERROR(IF(B138="","",VLOOKUP(B138,'Assumptions'!$B$5:$K$104,10,FALSE)),"")</f>
        <v/>
      </c>
      <c r="AB138" s="51">
        <f>IFERROR(IF(A138="","",MAX(0,V138-R138)*AA138),"")</f>
        <v/>
      </c>
      <c r="AC138" s="51">
        <f>IFERROR(IF(A138="","",V138-R138-X138-Z138-AB138),"")</f>
        <v/>
      </c>
      <c r="AD138" s="49" t="n"/>
      <c r="AE138" s="51">
        <f>IFERROR(IF(A138="","",MAX(0,V138+U138-R138-AD138)),"")</f>
        <v/>
      </c>
      <c r="AF138" s="27">
        <f>IFERROR(IF(A138="","",IF(OR(L138="Inquiry",L138="Tentative",L138="Canceled"),"Not Due",IF(AE138=0,"Paid","Balance Due"))),"")</f>
        <v/>
      </c>
      <c r="AG138" s="25" t="n"/>
      <c r="AH138" s="31" t="n"/>
      <c r="AI138" s="27">
        <f>IFERROR(IF(A138="","",IF(OR(F138="",G138=""),"Missing Date",IF(G138&lt;=F138,"Invalid Date","OK"))),"")</f>
        <v/>
      </c>
      <c r="AJ138" s="27">
        <f>IFERROR(IF(OR(A138="",B138="",F138="",G138="",L138="Canceled"),"",IF(COUNTIFS($B$4:$B$153,B138,$F$4:$F$153,"&lt;"&amp;G138,$G$4:$G$153,"&gt;"&amp;F138,$A$4:$A$153,"&lt;&gt;"&amp;A138,$L$4:$L$153,"&lt;&gt;Canceled")&gt;0,"Possible Overlap","OK")),"")</f>
        <v/>
      </c>
      <c r="AK138" s="27">
        <f>IFERROR(IF(COUNTA(A138:G138)=0,"",IF(A138="","Missing Reservation ID",IF(B138="","Missing Property",IF(AND(AE138&gt;='Assumptions'!$B$115,L138&lt;&gt;"Canceled"),"Review Balance",IF(OR(L138="Inquiry",L138="Tentative"),"Review Status","OK"))))),"")</f>
        <v/>
      </c>
    </row>
    <row r="139">
      <c r="A139" s="25" t="n"/>
      <c r="B139" s="25" t="n"/>
      <c r="C139" s="25" t="n"/>
      <c r="D139" s="25" t="n"/>
      <c r="E139" s="26" t="n"/>
      <c r="F139" s="26" t="n"/>
      <c r="G139" s="26" t="n"/>
      <c r="H139" s="27">
        <f>IFERROR(IF(OR(F139="",G139=""),"",MAX(0,G139-F139)),"")</f>
        <v/>
      </c>
      <c r="I139" s="25" t="n"/>
      <c r="J139" s="25" t="n"/>
      <c r="K139" s="25" t="n"/>
      <c r="L139" s="25" t="n"/>
      <c r="M139" s="49" t="n"/>
      <c r="N139" s="49" t="n"/>
      <c r="O139" s="49" t="n"/>
      <c r="P139" s="49" t="n"/>
      <c r="Q139" s="49" t="n"/>
      <c r="R139" s="49" t="n"/>
      <c r="S139" s="50">
        <f>IFERROR(IF(B139="","",VLOOKUP(B139,'Assumptions'!$B$5:$K$104,7,FALSE)),"")</f>
        <v/>
      </c>
      <c r="T139" s="51">
        <f>IFERROR(IF(A139="","",MAX(0,M139-Q139+(N139+O139+P139)*VLOOKUP(B139,'Assumptions'!$B$5:$K$104,8,FALSE))),"")</f>
        <v/>
      </c>
      <c r="U139" s="51">
        <f>IFERROR(IF(A139="","",T139*S139),"")</f>
        <v/>
      </c>
      <c r="V139" s="51">
        <f>IFERROR(IF(A139="","",MAX(0,M139+N139+O139+P139-Q139)),"")</f>
        <v/>
      </c>
      <c r="W139" s="50">
        <f>IFERROR(IF(D139="","",VLOOKUP(D139,'Assumptions'!$U$5:$V$104,2,FALSE)),"")</f>
        <v/>
      </c>
      <c r="X139" s="51">
        <f>IFERROR(IF(A139="","",V139*W139),"")</f>
        <v/>
      </c>
      <c r="Y139" s="50">
        <f>IFERROR(IF(B139="","",VLOOKUP(B139,'Assumptions'!$B$5:$K$104,9,FALSE)),"")</f>
        <v/>
      </c>
      <c r="Z139" s="51">
        <f>IFERROR(IF(A139="","",(V139+U139)*Y139),"")</f>
        <v/>
      </c>
      <c r="AA139" s="50">
        <f>IFERROR(IF(B139="","",VLOOKUP(B139,'Assumptions'!$B$5:$K$104,10,FALSE)),"")</f>
        <v/>
      </c>
      <c r="AB139" s="51">
        <f>IFERROR(IF(A139="","",MAX(0,V139-R139)*AA139),"")</f>
        <v/>
      </c>
      <c r="AC139" s="51">
        <f>IFERROR(IF(A139="","",V139-R139-X139-Z139-AB139),"")</f>
        <v/>
      </c>
      <c r="AD139" s="49" t="n"/>
      <c r="AE139" s="51">
        <f>IFERROR(IF(A139="","",MAX(0,V139+U139-R139-AD139)),"")</f>
        <v/>
      </c>
      <c r="AF139" s="27">
        <f>IFERROR(IF(A139="","",IF(OR(L139="Inquiry",L139="Tentative",L139="Canceled"),"Not Due",IF(AE139=0,"Paid","Balance Due"))),"")</f>
        <v/>
      </c>
      <c r="AG139" s="25" t="n"/>
      <c r="AH139" s="31" t="n"/>
      <c r="AI139" s="27">
        <f>IFERROR(IF(A139="","",IF(OR(F139="",G139=""),"Missing Date",IF(G139&lt;=F139,"Invalid Date","OK"))),"")</f>
        <v/>
      </c>
      <c r="AJ139" s="27">
        <f>IFERROR(IF(OR(A139="",B139="",F139="",G139="",L139="Canceled"),"",IF(COUNTIFS($B$4:$B$153,B139,$F$4:$F$153,"&lt;"&amp;G139,$G$4:$G$153,"&gt;"&amp;F139,$A$4:$A$153,"&lt;&gt;"&amp;A139,$L$4:$L$153,"&lt;&gt;Canceled")&gt;0,"Possible Overlap","OK")),"")</f>
        <v/>
      </c>
      <c r="AK139" s="27">
        <f>IFERROR(IF(COUNTA(A139:G139)=0,"",IF(A139="","Missing Reservation ID",IF(B139="","Missing Property",IF(AND(AE139&gt;='Assumptions'!$B$115,L139&lt;&gt;"Canceled"),"Review Balance",IF(OR(L139="Inquiry",L139="Tentative"),"Review Status","OK"))))),"")</f>
        <v/>
      </c>
    </row>
    <row r="140">
      <c r="A140" s="25" t="n"/>
      <c r="B140" s="25" t="n"/>
      <c r="C140" s="25" t="n"/>
      <c r="D140" s="25" t="n"/>
      <c r="E140" s="26" t="n"/>
      <c r="F140" s="26" t="n"/>
      <c r="G140" s="26" t="n"/>
      <c r="H140" s="27">
        <f>IFERROR(IF(OR(F140="",G140=""),"",MAX(0,G140-F140)),"")</f>
        <v/>
      </c>
      <c r="I140" s="25" t="n"/>
      <c r="J140" s="25" t="n"/>
      <c r="K140" s="25" t="n"/>
      <c r="L140" s="25" t="n"/>
      <c r="M140" s="49" t="n"/>
      <c r="N140" s="49" t="n"/>
      <c r="O140" s="49" t="n"/>
      <c r="P140" s="49" t="n"/>
      <c r="Q140" s="49" t="n"/>
      <c r="R140" s="49" t="n"/>
      <c r="S140" s="50">
        <f>IFERROR(IF(B140="","",VLOOKUP(B140,'Assumptions'!$B$5:$K$104,7,FALSE)),"")</f>
        <v/>
      </c>
      <c r="T140" s="51">
        <f>IFERROR(IF(A140="","",MAX(0,M140-Q140+(N140+O140+P140)*VLOOKUP(B140,'Assumptions'!$B$5:$K$104,8,FALSE))),"")</f>
        <v/>
      </c>
      <c r="U140" s="51">
        <f>IFERROR(IF(A140="","",T140*S140),"")</f>
        <v/>
      </c>
      <c r="V140" s="51">
        <f>IFERROR(IF(A140="","",MAX(0,M140+N140+O140+P140-Q140)),"")</f>
        <v/>
      </c>
      <c r="W140" s="50">
        <f>IFERROR(IF(D140="","",VLOOKUP(D140,'Assumptions'!$U$5:$V$104,2,FALSE)),"")</f>
        <v/>
      </c>
      <c r="X140" s="51">
        <f>IFERROR(IF(A140="","",V140*W140),"")</f>
        <v/>
      </c>
      <c r="Y140" s="50">
        <f>IFERROR(IF(B140="","",VLOOKUP(B140,'Assumptions'!$B$5:$K$104,9,FALSE)),"")</f>
        <v/>
      </c>
      <c r="Z140" s="51">
        <f>IFERROR(IF(A140="","",(V140+U140)*Y140),"")</f>
        <v/>
      </c>
      <c r="AA140" s="50">
        <f>IFERROR(IF(B140="","",VLOOKUP(B140,'Assumptions'!$B$5:$K$104,10,FALSE)),"")</f>
        <v/>
      </c>
      <c r="AB140" s="51">
        <f>IFERROR(IF(A140="","",MAX(0,V140-R140)*AA140),"")</f>
        <v/>
      </c>
      <c r="AC140" s="51">
        <f>IFERROR(IF(A140="","",V140-R140-X140-Z140-AB140),"")</f>
        <v/>
      </c>
      <c r="AD140" s="49" t="n"/>
      <c r="AE140" s="51">
        <f>IFERROR(IF(A140="","",MAX(0,V140+U140-R140-AD140)),"")</f>
        <v/>
      </c>
      <c r="AF140" s="27">
        <f>IFERROR(IF(A140="","",IF(OR(L140="Inquiry",L140="Tentative",L140="Canceled"),"Not Due",IF(AE140=0,"Paid","Balance Due"))),"")</f>
        <v/>
      </c>
      <c r="AG140" s="25" t="n"/>
      <c r="AH140" s="31" t="n"/>
      <c r="AI140" s="27">
        <f>IFERROR(IF(A140="","",IF(OR(F140="",G140=""),"Missing Date",IF(G140&lt;=F140,"Invalid Date","OK"))),"")</f>
        <v/>
      </c>
      <c r="AJ140" s="27">
        <f>IFERROR(IF(OR(A140="",B140="",F140="",G140="",L140="Canceled"),"",IF(COUNTIFS($B$4:$B$153,B140,$F$4:$F$153,"&lt;"&amp;G140,$G$4:$G$153,"&gt;"&amp;F140,$A$4:$A$153,"&lt;&gt;"&amp;A140,$L$4:$L$153,"&lt;&gt;Canceled")&gt;0,"Possible Overlap","OK")),"")</f>
        <v/>
      </c>
      <c r="AK140" s="27">
        <f>IFERROR(IF(COUNTA(A140:G140)=0,"",IF(A140="","Missing Reservation ID",IF(B140="","Missing Property",IF(AND(AE140&gt;='Assumptions'!$B$115,L140&lt;&gt;"Canceled"),"Review Balance",IF(OR(L140="Inquiry",L140="Tentative"),"Review Status","OK"))))),"")</f>
        <v/>
      </c>
    </row>
    <row r="141">
      <c r="A141" s="25" t="n"/>
      <c r="B141" s="25" t="n"/>
      <c r="C141" s="25" t="n"/>
      <c r="D141" s="25" t="n"/>
      <c r="E141" s="26" t="n"/>
      <c r="F141" s="26" t="n"/>
      <c r="G141" s="26" t="n"/>
      <c r="H141" s="27">
        <f>IFERROR(IF(OR(F141="",G141=""),"",MAX(0,G141-F141)),"")</f>
        <v/>
      </c>
      <c r="I141" s="25" t="n"/>
      <c r="J141" s="25" t="n"/>
      <c r="K141" s="25" t="n"/>
      <c r="L141" s="25" t="n"/>
      <c r="M141" s="49" t="n"/>
      <c r="N141" s="49" t="n"/>
      <c r="O141" s="49" t="n"/>
      <c r="P141" s="49" t="n"/>
      <c r="Q141" s="49" t="n"/>
      <c r="R141" s="49" t="n"/>
      <c r="S141" s="50">
        <f>IFERROR(IF(B141="","",VLOOKUP(B141,'Assumptions'!$B$5:$K$104,7,FALSE)),"")</f>
        <v/>
      </c>
      <c r="T141" s="51">
        <f>IFERROR(IF(A141="","",MAX(0,M141-Q141+(N141+O141+P141)*VLOOKUP(B141,'Assumptions'!$B$5:$K$104,8,FALSE))),"")</f>
        <v/>
      </c>
      <c r="U141" s="51">
        <f>IFERROR(IF(A141="","",T141*S141),"")</f>
        <v/>
      </c>
      <c r="V141" s="51">
        <f>IFERROR(IF(A141="","",MAX(0,M141+N141+O141+P141-Q141)),"")</f>
        <v/>
      </c>
      <c r="W141" s="50">
        <f>IFERROR(IF(D141="","",VLOOKUP(D141,'Assumptions'!$U$5:$V$104,2,FALSE)),"")</f>
        <v/>
      </c>
      <c r="X141" s="51">
        <f>IFERROR(IF(A141="","",V141*W141),"")</f>
        <v/>
      </c>
      <c r="Y141" s="50">
        <f>IFERROR(IF(B141="","",VLOOKUP(B141,'Assumptions'!$B$5:$K$104,9,FALSE)),"")</f>
        <v/>
      </c>
      <c r="Z141" s="51">
        <f>IFERROR(IF(A141="","",(V141+U141)*Y141),"")</f>
        <v/>
      </c>
      <c r="AA141" s="50">
        <f>IFERROR(IF(B141="","",VLOOKUP(B141,'Assumptions'!$B$5:$K$104,10,FALSE)),"")</f>
        <v/>
      </c>
      <c r="AB141" s="51">
        <f>IFERROR(IF(A141="","",MAX(0,V141-R141)*AA141),"")</f>
        <v/>
      </c>
      <c r="AC141" s="51">
        <f>IFERROR(IF(A141="","",V141-R141-X141-Z141-AB141),"")</f>
        <v/>
      </c>
      <c r="AD141" s="49" t="n"/>
      <c r="AE141" s="51">
        <f>IFERROR(IF(A141="","",MAX(0,V141+U141-R141-AD141)),"")</f>
        <v/>
      </c>
      <c r="AF141" s="27">
        <f>IFERROR(IF(A141="","",IF(OR(L141="Inquiry",L141="Tentative",L141="Canceled"),"Not Due",IF(AE141=0,"Paid","Balance Due"))),"")</f>
        <v/>
      </c>
      <c r="AG141" s="25" t="n"/>
      <c r="AH141" s="31" t="n"/>
      <c r="AI141" s="27">
        <f>IFERROR(IF(A141="","",IF(OR(F141="",G141=""),"Missing Date",IF(G141&lt;=F141,"Invalid Date","OK"))),"")</f>
        <v/>
      </c>
      <c r="AJ141" s="27">
        <f>IFERROR(IF(OR(A141="",B141="",F141="",G141="",L141="Canceled"),"",IF(COUNTIFS($B$4:$B$153,B141,$F$4:$F$153,"&lt;"&amp;G141,$G$4:$G$153,"&gt;"&amp;F141,$A$4:$A$153,"&lt;&gt;"&amp;A141,$L$4:$L$153,"&lt;&gt;Canceled")&gt;0,"Possible Overlap","OK")),"")</f>
        <v/>
      </c>
      <c r="AK141" s="27">
        <f>IFERROR(IF(COUNTA(A141:G141)=0,"",IF(A141="","Missing Reservation ID",IF(B141="","Missing Property",IF(AND(AE141&gt;='Assumptions'!$B$115,L141&lt;&gt;"Canceled"),"Review Balance",IF(OR(L141="Inquiry",L141="Tentative"),"Review Status","OK"))))),"")</f>
        <v/>
      </c>
    </row>
    <row r="142">
      <c r="A142" s="25" t="n"/>
      <c r="B142" s="25" t="n"/>
      <c r="C142" s="25" t="n"/>
      <c r="D142" s="25" t="n"/>
      <c r="E142" s="26" t="n"/>
      <c r="F142" s="26" t="n"/>
      <c r="G142" s="26" t="n"/>
      <c r="H142" s="27">
        <f>IFERROR(IF(OR(F142="",G142=""),"",MAX(0,G142-F142)),"")</f>
        <v/>
      </c>
      <c r="I142" s="25" t="n"/>
      <c r="J142" s="25" t="n"/>
      <c r="K142" s="25" t="n"/>
      <c r="L142" s="25" t="n"/>
      <c r="M142" s="49" t="n"/>
      <c r="N142" s="49" t="n"/>
      <c r="O142" s="49" t="n"/>
      <c r="P142" s="49" t="n"/>
      <c r="Q142" s="49" t="n"/>
      <c r="R142" s="49" t="n"/>
      <c r="S142" s="50">
        <f>IFERROR(IF(B142="","",VLOOKUP(B142,'Assumptions'!$B$5:$K$104,7,FALSE)),"")</f>
        <v/>
      </c>
      <c r="T142" s="51">
        <f>IFERROR(IF(A142="","",MAX(0,M142-Q142+(N142+O142+P142)*VLOOKUP(B142,'Assumptions'!$B$5:$K$104,8,FALSE))),"")</f>
        <v/>
      </c>
      <c r="U142" s="51">
        <f>IFERROR(IF(A142="","",T142*S142),"")</f>
        <v/>
      </c>
      <c r="V142" s="51">
        <f>IFERROR(IF(A142="","",MAX(0,M142+N142+O142+P142-Q142)),"")</f>
        <v/>
      </c>
      <c r="W142" s="50">
        <f>IFERROR(IF(D142="","",VLOOKUP(D142,'Assumptions'!$U$5:$V$104,2,FALSE)),"")</f>
        <v/>
      </c>
      <c r="X142" s="51">
        <f>IFERROR(IF(A142="","",V142*W142),"")</f>
        <v/>
      </c>
      <c r="Y142" s="50">
        <f>IFERROR(IF(B142="","",VLOOKUP(B142,'Assumptions'!$B$5:$K$104,9,FALSE)),"")</f>
        <v/>
      </c>
      <c r="Z142" s="51">
        <f>IFERROR(IF(A142="","",(V142+U142)*Y142),"")</f>
        <v/>
      </c>
      <c r="AA142" s="50">
        <f>IFERROR(IF(B142="","",VLOOKUP(B142,'Assumptions'!$B$5:$K$104,10,FALSE)),"")</f>
        <v/>
      </c>
      <c r="AB142" s="51">
        <f>IFERROR(IF(A142="","",MAX(0,V142-R142)*AA142),"")</f>
        <v/>
      </c>
      <c r="AC142" s="51">
        <f>IFERROR(IF(A142="","",V142-R142-X142-Z142-AB142),"")</f>
        <v/>
      </c>
      <c r="AD142" s="49" t="n"/>
      <c r="AE142" s="51">
        <f>IFERROR(IF(A142="","",MAX(0,V142+U142-R142-AD142)),"")</f>
        <v/>
      </c>
      <c r="AF142" s="27">
        <f>IFERROR(IF(A142="","",IF(OR(L142="Inquiry",L142="Tentative",L142="Canceled"),"Not Due",IF(AE142=0,"Paid","Balance Due"))),"")</f>
        <v/>
      </c>
      <c r="AG142" s="25" t="n"/>
      <c r="AH142" s="31" t="n"/>
      <c r="AI142" s="27">
        <f>IFERROR(IF(A142="","",IF(OR(F142="",G142=""),"Missing Date",IF(G142&lt;=F142,"Invalid Date","OK"))),"")</f>
        <v/>
      </c>
      <c r="AJ142" s="27">
        <f>IFERROR(IF(OR(A142="",B142="",F142="",G142="",L142="Canceled"),"",IF(COUNTIFS($B$4:$B$153,B142,$F$4:$F$153,"&lt;"&amp;G142,$G$4:$G$153,"&gt;"&amp;F142,$A$4:$A$153,"&lt;&gt;"&amp;A142,$L$4:$L$153,"&lt;&gt;Canceled")&gt;0,"Possible Overlap","OK")),"")</f>
        <v/>
      </c>
      <c r="AK142" s="27">
        <f>IFERROR(IF(COUNTA(A142:G142)=0,"",IF(A142="","Missing Reservation ID",IF(B142="","Missing Property",IF(AND(AE142&gt;='Assumptions'!$B$115,L142&lt;&gt;"Canceled"),"Review Balance",IF(OR(L142="Inquiry",L142="Tentative"),"Review Status","OK"))))),"")</f>
        <v/>
      </c>
    </row>
    <row r="143">
      <c r="A143" s="25" t="n"/>
      <c r="B143" s="25" t="n"/>
      <c r="C143" s="25" t="n"/>
      <c r="D143" s="25" t="n"/>
      <c r="E143" s="26" t="n"/>
      <c r="F143" s="26" t="n"/>
      <c r="G143" s="26" t="n"/>
      <c r="H143" s="27">
        <f>IFERROR(IF(OR(F143="",G143=""),"",MAX(0,G143-F143)),"")</f>
        <v/>
      </c>
      <c r="I143" s="25" t="n"/>
      <c r="J143" s="25" t="n"/>
      <c r="K143" s="25" t="n"/>
      <c r="L143" s="25" t="n"/>
      <c r="M143" s="49" t="n"/>
      <c r="N143" s="49" t="n"/>
      <c r="O143" s="49" t="n"/>
      <c r="P143" s="49" t="n"/>
      <c r="Q143" s="49" t="n"/>
      <c r="R143" s="49" t="n"/>
      <c r="S143" s="50">
        <f>IFERROR(IF(B143="","",VLOOKUP(B143,'Assumptions'!$B$5:$K$104,7,FALSE)),"")</f>
        <v/>
      </c>
      <c r="T143" s="51">
        <f>IFERROR(IF(A143="","",MAX(0,M143-Q143+(N143+O143+P143)*VLOOKUP(B143,'Assumptions'!$B$5:$K$104,8,FALSE))),"")</f>
        <v/>
      </c>
      <c r="U143" s="51">
        <f>IFERROR(IF(A143="","",T143*S143),"")</f>
        <v/>
      </c>
      <c r="V143" s="51">
        <f>IFERROR(IF(A143="","",MAX(0,M143+N143+O143+P143-Q143)),"")</f>
        <v/>
      </c>
      <c r="W143" s="50">
        <f>IFERROR(IF(D143="","",VLOOKUP(D143,'Assumptions'!$U$5:$V$104,2,FALSE)),"")</f>
        <v/>
      </c>
      <c r="X143" s="51">
        <f>IFERROR(IF(A143="","",V143*W143),"")</f>
        <v/>
      </c>
      <c r="Y143" s="50">
        <f>IFERROR(IF(B143="","",VLOOKUP(B143,'Assumptions'!$B$5:$K$104,9,FALSE)),"")</f>
        <v/>
      </c>
      <c r="Z143" s="51">
        <f>IFERROR(IF(A143="","",(V143+U143)*Y143),"")</f>
        <v/>
      </c>
      <c r="AA143" s="50">
        <f>IFERROR(IF(B143="","",VLOOKUP(B143,'Assumptions'!$B$5:$K$104,10,FALSE)),"")</f>
        <v/>
      </c>
      <c r="AB143" s="51">
        <f>IFERROR(IF(A143="","",MAX(0,V143-R143)*AA143),"")</f>
        <v/>
      </c>
      <c r="AC143" s="51">
        <f>IFERROR(IF(A143="","",V143-R143-X143-Z143-AB143),"")</f>
        <v/>
      </c>
      <c r="AD143" s="49" t="n"/>
      <c r="AE143" s="51">
        <f>IFERROR(IF(A143="","",MAX(0,V143+U143-R143-AD143)),"")</f>
        <v/>
      </c>
      <c r="AF143" s="27">
        <f>IFERROR(IF(A143="","",IF(OR(L143="Inquiry",L143="Tentative",L143="Canceled"),"Not Due",IF(AE143=0,"Paid","Balance Due"))),"")</f>
        <v/>
      </c>
      <c r="AG143" s="25" t="n"/>
      <c r="AH143" s="31" t="n"/>
      <c r="AI143" s="27">
        <f>IFERROR(IF(A143="","",IF(OR(F143="",G143=""),"Missing Date",IF(G143&lt;=F143,"Invalid Date","OK"))),"")</f>
        <v/>
      </c>
      <c r="AJ143" s="27">
        <f>IFERROR(IF(OR(A143="",B143="",F143="",G143="",L143="Canceled"),"",IF(COUNTIFS($B$4:$B$153,B143,$F$4:$F$153,"&lt;"&amp;G143,$G$4:$G$153,"&gt;"&amp;F143,$A$4:$A$153,"&lt;&gt;"&amp;A143,$L$4:$L$153,"&lt;&gt;Canceled")&gt;0,"Possible Overlap","OK")),"")</f>
        <v/>
      </c>
      <c r="AK143" s="27">
        <f>IFERROR(IF(COUNTA(A143:G143)=0,"",IF(A143="","Missing Reservation ID",IF(B143="","Missing Property",IF(AND(AE143&gt;='Assumptions'!$B$115,L143&lt;&gt;"Canceled"),"Review Balance",IF(OR(L143="Inquiry",L143="Tentative"),"Review Status","OK"))))),"")</f>
        <v/>
      </c>
    </row>
    <row r="144">
      <c r="A144" s="25" t="n"/>
      <c r="B144" s="25" t="n"/>
      <c r="C144" s="25" t="n"/>
      <c r="D144" s="25" t="n"/>
      <c r="E144" s="26" t="n"/>
      <c r="F144" s="26" t="n"/>
      <c r="G144" s="26" t="n"/>
      <c r="H144" s="27">
        <f>IFERROR(IF(OR(F144="",G144=""),"",MAX(0,G144-F144)),"")</f>
        <v/>
      </c>
      <c r="I144" s="25" t="n"/>
      <c r="J144" s="25" t="n"/>
      <c r="K144" s="25" t="n"/>
      <c r="L144" s="25" t="n"/>
      <c r="M144" s="49" t="n"/>
      <c r="N144" s="49" t="n"/>
      <c r="O144" s="49" t="n"/>
      <c r="P144" s="49" t="n"/>
      <c r="Q144" s="49" t="n"/>
      <c r="R144" s="49" t="n"/>
      <c r="S144" s="50">
        <f>IFERROR(IF(B144="","",VLOOKUP(B144,'Assumptions'!$B$5:$K$104,7,FALSE)),"")</f>
        <v/>
      </c>
      <c r="T144" s="51">
        <f>IFERROR(IF(A144="","",MAX(0,M144-Q144+(N144+O144+P144)*VLOOKUP(B144,'Assumptions'!$B$5:$K$104,8,FALSE))),"")</f>
        <v/>
      </c>
      <c r="U144" s="51">
        <f>IFERROR(IF(A144="","",T144*S144),"")</f>
        <v/>
      </c>
      <c r="V144" s="51">
        <f>IFERROR(IF(A144="","",MAX(0,M144+N144+O144+P144-Q144)),"")</f>
        <v/>
      </c>
      <c r="W144" s="50">
        <f>IFERROR(IF(D144="","",VLOOKUP(D144,'Assumptions'!$U$5:$V$104,2,FALSE)),"")</f>
        <v/>
      </c>
      <c r="X144" s="51">
        <f>IFERROR(IF(A144="","",V144*W144),"")</f>
        <v/>
      </c>
      <c r="Y144" s="50">
        <f>IFERROR(IF(B144="","",VLOOKUP(B144,'Assumptions'!$B$5:$K$104,9,FALSE)),"")</f>
        <v/>
      </c>
      <c r="Z144" s="51">
        <f>IFERROR(IF(A144="","",(V144+U144)*Y144),"")</f>
        <v/>
      </c>
      <c r="AA144" s="50">
        <f>IFERROR(IF(B144="","",VLOOKUP(B144,'Assumptions'!$B$5:$K$104,10,FALSE)),"")</f>
        <v/>
      </c>
      <c r="AB144" s="51">
        <f>IFERROR(IF(A144="","",MAX(0,V144-R144)*AA144),"")</f>
        <v/>
      </c>
      <c r="AC144" s="51">
        <f>IFERROR(IF(A144="","",V144-R144-X144-Z144-AB144),"")</f>
        <v/>
      </c>
      <c r="AD144" s="49" t="n"/>
      <c r="AE144" s="51">
        <f>IFERROR(IF(A144="","",MAX(0,V144+U144-R144-AD144)),"")</f>
        <v/>
      </c>
      <c r="AF144" s="27">
        <f>IFERROR(IF(A144="","",IF(OR(L144="Inquiry",L144="Tentative",L144="Canceled"),"Not Due",IF(AE144=0,"Paid","Balance Due"))),"")</f>
        <v/>
      </c>
      <c r="AG144" s="25" t="n"/>
      <c r="AH144" s="31" t="n"/>
      <c r="AI144" s="27">
        <f>IFERROR(IF(A144="","",IF(OR(F144="",G144=""),"Missing Date",IF(G144&lt;=F144,"Invalid Date","OK"))),"")</f>
        <v/>
      </c>
      <c r="AJ144" s="27">
        <f>IFERROR(IF(OR(A144="",B144="",F144="",G144="",L144="Canceled"),"",IF(COUNTIFS($B$4:$B$153,B144,$F$4:$F$153,"&lt;"&amp;G144,$G$4:$G$153,"&gt;"&amp;F144,$A$4:$A$153,"&lt;&gt;"&amp;A144,$L$4:$L$153,"&lt;&gt;Canceled")&gt;0,"Possible Overlap","OK")),"")</f>
        <v/>
      </c>
      <c r="AK144" s="27">
        <f>IFERROR(IF(COUNTA(A144:G144)=0,"",IF(A144="","Missing Reservation ID",IF(B144="","Missing Property",IF(AND(AE144&gt;='Assumptions'!$B$115,L144&lt;&gt;"Canceled"),"Review Balance",IF(OR(L144="Inquiry",L144="Tentative"),"Review Status","OK"))))),"")</f>
        <v/>
      </c>
    </row>
    <row r="145">
      <c r="A145" s="25" t="n"/>
      <c r="B145" s="25" t="n"/>
      <c r="C145" s="25" t="n"/>
      <c r="D145" s="25" t="n"/>
      <c r="E145" s="26" t="n"/>
      <c r="F145" s="26" t="n"/>
      <c r="G145" s="26" t="n"/>
      <c r="H145" s="27">
        <f>IFERROR(IF(OR(F145="",G145=""),"",MAX(0,G145-F145)),"")</f>
        <v/>
      </c>
      <c r="I145" s="25" t="n"/>
      <c r="J145" s="25" t="n"/>
      <c r="K145" s="25" t="n"/>
      <c r="L145" s="25" t="n"/>
      <c r="M145" s="49" t="n"/>
      <c r="N145" s="49" t="n"/>
      <c r="O145" s="49" t="n"/>
      <c r="P145" s="49" t="n"/>
      <c r="Q145" s="49" t="n"/>
      <c r="R145" s="49" t="n"/>
      <c r="S145" s="50">
        <f>IFERROR(IF(B145="","",VLOOKUP(B145,'Assumptions'!$B$5:$K$104,7,FALSE)),"")</f>
        <v/>
      </c>
      <c r="T145" s="51">
        <f>IFERROR(IF(A145="","",MAX(0,M145-Q145+(N145+O145+P145)*VLOOKUP(B145,'Assumptions'!$B$5:$K$104,8,FALSE))),"")</f>
        <v/>
      </c>
      <c r="U145" s="51">
        <f>IFERROR(IF(A145="","",T145*S145),"")</f>
        <v/>
      </c>
      <c r="V145" s="51">
        <f>IFERROR(IF(A145="","",MAX(0,M145+N145+O145+P145-Q145)),"")</f>
        <v/>
      </c>
      <c r="W145" s="50">
        <f>IFERROR(IF(D145="","",VLOOKUP(D145,'Assumptions'!$U$5:$V$104,2,FALSE)),"")</f>
        <v/>
      </c>
      <c r="X145" s="51">
        <f>IFERROR(IF(A145="","",V145*W145),"")</f>
        <v/>
      </c>
      <c r="Y145" s="50">
        <f>IFERROR(IF(B145="","",VLOOKUP(B145,'Assumptions'!$B$5:$K$104,9,FALSE)),"")</f>
        <v/>
      </c>
      <c r="Z145" s="51">
        <f>IFERROR(IF(A145="","",(V145+U145)*Y145),"")</f>
        <v/>
      </c>
      <c r="AA145" s="50">
        <f>IFERROR(IF(B145="","",VLOOKUP(B145,'Assumptions'!$B$5:$K$104,10,FALSE)),"")</f>
        <v/>
      </c>
      <c r="AB145" s="51">
        <f>IFERROR(IF(A145="","",MAX(0,V145-R145)*AA145),"")</f>
        <v/>
      </c>
      <c r="AC145" s="51">
        <f>IFERROR(IF(A145="","",V145-R145-X145-Z145-AB145),"")</f>
        <v/>
      </c>
      <c r="AD145" s="49" t="n"/>
      <c r="AE145" s="51">
        <f>IFERROR(IF(A145="","",MAX(0,V145+U145-R145-AD145)),"")</f>
        <v/>
      </c>
      <c r="AF145" s="27">
        <f>IFERROR(IF(A145="","",IF(OR(L145="Inquiry",L145="Tentative",L145="Canceled"),"Not Due",IF(AE145=0,"Paid","Balance Due"))),"")</f>
        <v/>
      </c>
      <c r="AG145" s="25" t="n"/>
      <c r="AH145" s="31" t="n"/>
      <c r="AI145" s="27">
        <f>IFERROR(IF(A145="","",IF(OR(F145="",G145=""),"Missing Date",IF(G145&lt;=F145,"Invalid Date","OK"))),"")</f>
        <v/>
      </c>
      <c r="AJ145" s="27">
        <f>IFERROR(IF(OR(A145="",B145="",F145="",G145="",L145="Canceled"),"",IF(COUNTIFS($B$4:$B$153,B145,$F$4:$F$153,"&lt;"&amp;G145,$G$4:$G$153,"&gt;"&amp;F145,$A$4:$A$153,"&lt;&gt;"&amp;A145,$L$4:$L$153,"&lt;&gt;Canceled")&gt;0,"Possible Overlap","OK")),"")</f>
        <v/>
      </c>
      <c r="AK145" s="27">
        <f>IFERROR(IF(COUNTA(A145:G145)=0,"",IF(A145="","Missing Reservation ID",IF(B145="","Missing Property",IF(AND(AE145&gt;='Assumptions'!$B$115,L145&lt;&gt;"Canceled"),"Review Balance",IF(OR(L145="Inquiry",L145="Tentative"),"Review Status","OK"))))),"")</f>
        <v/>
      </c>
    </row>
    <row r="146">
      <c r="A146" s="25" t="n"/>
      <c r="B146" s="25" t="n"/>
      <c r="C146" s="25" t="n"/>
      <c r="D146" s="25" t="n"/>
      <c r="E146" s="26" t="n"/>
      <c r="F146" s="26" t="n"/>
      <c r="G146" s="26" t="n"/>
      <c r="H146" s="27">
        <f>IFERROR(IF(OR(F146="",G146=""),"",MAX(0,G146-F146)),"")</f>
        <v/>
      </c>
      <c r="I146" s="25" t="n"/>
      <c r="J146" s="25" t="n"/>
      <c r="K146" s="25" t="n"/>
      <c r="L146" s="25" t="n"/>
      <c r="M146" s="49" t="n"/>
      <c r="N146" s="49" t="n"/>
      <c r="O146" s="49" t="n"/>
      <c r="P146" s="49" t="n"/>
      <c r="Q146" s="49" t="n"/>
      <c r="R146" s="49" t="n"/>
      <c r="S146" s="50">
        <f>IFERROR(IF(B146="","",VLOOKUP(B146,'Assumptions'!$B$5:$K$104,7,FALSE)),"")</f>
        <v/>
      </c>
      <c r="T146" s="51">
        <f>IFERROR(IF(A146="","",MAX(0,M146-Q146+(N146+O146+P146)*VLOOKUP(B146,'Assumptions'!$B$5:$K$104,8,FALSE))),"")</f>
        <v/>
      </c>
      <c r="U146" s="51">
        <f>IFERROR(IF(A146="","",T146*S146),"")</f>
        <v/>
      </c>
      <c r="V146" s="51">
        <f>IFERROR(IF(A146="","",MAX(0,M146+N146+O146+P146-Q146)),"")</f>
        <v/>
      </c>
      <c r="W146" s="50">
        <f>IFERROR(IF(D146="","",VLOOKUP(D146,'Assumptions'!$U$5:$V$104,2,FALSE)),"")</f>
        <v/>
      </c>
      <c r="X146" s="51">
        <f>IFERROR(IF(A146="","",V146*W146),"")</f>
        <v/>
      </c>
      <c r="Y146" s="50">
        <f>IFERROR(IF(B146="","",VLOOKUP(B146,'Assumptions'!$B$5:$K$104,9,FALSE)),"")</f>
        <v/>
      </c>
      <c r="Z146" s="51">
        <f>IFERROR(IF(A146="","",(V146+U146)*Y146),"")</f>
        <v/>
      </c>
      <c r="AA146" s="50">
        <f>IFERROR(IF(B146="","",VLOOKUP(B146,'Assumptions'!$B$5:$K$104,10,FALSE)),"")</f>
        <v/>
      </c>
      <c r="AB146" s="51">
        <f>IFERROR(IF(A146="","",MAX(0,V146-R146)*AA146),"")</f>
        <v/>
      </c>
      <c r="AC146" s="51">
        <f>IFERROR(IF(A146="","",V146-R146-X146-Z146-AB146),"")</f>
        <v/>
      </c>
      <c r="AD146" s="49" t="n"/>
      <c r="AE146" s="51">
        <f>IFERROR(IF(A146="","",MAX(0,V146+U146-R146-AD146)),"")</f>
        <v/>
      </c>
      <c r="AF146" s="27">
        <f>IFERROR(IF(A146="","",IF(OR(L146="Inquiry",L146="Tentative",L146="Canceled"),"Not Due",IF(AE146=0,"Paid","Balance Due"))),"")</f>
        <v/>
      </c>
      <c r="AG146" s="25" t="n"/>
      <c r="AH146" s="31" t="n"/>
      <c r="AI146" s="27">
        <f>IFERROR(IF(A146="","",IF(OR(F146="",G146=""),"Missing Date",IF(G146&lt;=F146,"Invalid Date","OK"))),"")</f>
        <v/>
      </c>
      <c r="AJ146" s="27">
        <f>IFERROR(IF(OR(A146="",B146="",F146="",G146="",L146="Canceled"),"",IF(COUNTIFS($B$4:$B$153,B146,$F$4:$F$153,"&lt;"&amp;G146,$G$4:$G$153,"&gt;"&amp;F146,$A$4:$A$153,"&lt;&gt;"&amp;A146,$L$4:$L$153,"&lt;&gt;Canceled")&gt;0,"Possible Overlap","OK")),"")</f>
        <v/>
      </c>
      <c r="AK146" s="27">
        <f>IFERROR(IF(COUNTA(A146:G146)=0,"",IF(A146="","Missing Reservation ID",IF(B146="","Missing Property",IF(AND(AE146&gt;='Assumptions'!$B$115,L146&lt;&gt;"Canceled"),"Review Balance",IF(OR(L146="Inquiry",L146="Tentative"),"Review Status","OK"))))),"")</f>
        <v/>
      </c>
    </row>
    <row r="147">
      <c r="A147" s="25" t="n"/>
      <c r="B147" s="25" t="n"/>
      <c r="C147" s="25" t="n"/>
      <c r="D147" s="25" t="n"/>
      <c r="E147" s="26" t="n"/>
      <c r="F147" s="26" t="n"/>
      <c r="G147" s="26" t="n"/>
      <c r="H147" s="27">
        <f>IFERROR(IF(OR(F147="",G147=""),"",MAX(0,G147-F147)),"")</f>
        <v/>
      </c>
      <c r="I147" s="25" t="n"/>
      <c r="J147" s="25" t="n"/>
      <c r="K147" s="25" t="n"/>
      <c r="L147" s="25" t="n"/>
      <c r="M147" s="49" t="n"/>
      <c r="N147" s="49" t="n"/>
      <c r="O147" s="49" t="n"/>
      <c r="P147" s="49" t="n"/>
      <c r="Q147" s="49" t="n"/>
      <c r="R147" s="49" t="n"/>
      <c r="S147" s="50">
        <f>IFERROR(IF(B147="","",VLOOKUP(B147,'Assumptions'!$B$5:$K$104,7,FALSE)),"")</f>
        <v/>
      </c>
      <c r="T147" s="51">
        <f>IFERROR(IF(A147="","",MAX(0,M147-Q147+(N147+O147+P147)*VLOOKUP(B147,'Assumptions'!$B$5:$K$104,8,FALSE))),"")</f>
        <v/>
      </c>
      <c r="U147" s="51">
        <f>IFERROR(IF(A147="","",T147*S147),"")</f>
        <v/>
      </c>
      <c r="V147" s="51">
        <f>IFERROR(IF(A147="","",MAX(0,M147+N147+O147+P147-Q147)),"")</f>
        <v/>
      </c>
      <c r="W147" s="50">
        <f>IFERROR(IF(D147="","",VLOOKUP(D147,'Assumptions'!$U$5:$V$104,2,FALSE)),"")</f>
        <v/>
      </c>
      <c r="X147" s="51">
        <f>IFERROR(IF(A147="","",V147*W147),"")</f>
        <v/>
      </c>
      <c r="Y147" s="50">
        <f>IFERROR(IF(B147="","",VLOOKUP(B147,'Assumptions'!$B$5:$K$104,9,FALSE)),"")</f>
        <v/>
      </c>
      <c r="Z147" s="51">
        <f>IFERROR(IF(A147="","",(V147+U147)*Y147),"")</f>
        <v/>
      </c>
      <c r="AA147" s="50">
        <f>IFERROR(IF(B147="","",VLOOKUP(B147,'Assumptions'!$B$5:$K$104,10,FALSE)),"")</f>
        <v/>
      </c>
      <c r="AB147" s="51">
        <f>IFERROR(IF(A147="","",MAX(0,V147-R147)*AA147),"")</f>
        <v/>
      </c>
      <c r="AC147" s="51">
        <f>IFERROR(IF(A147="","",V147-R147-X147-Z147-AB147),"")</f>
        <v/>
      </c>
      <c r="AD147" s="49" t="n"/>
      <c r="AE147" s="51">
        <f>IFERROR(IF(A147="","",MAX(0,V147+U147-R147-AD147)),"")</f>
        <v/>
      </c>
      <c r="AF147" s="27">
        <f>IFERROR(IF(A147="","",IF(OR(L147="Inquiry",L147="Tentative",L147="Canceled"),"Not Due",IF(AE147=0,"Paid","Balance Due"))),"")</f>
        <v/>
      </c>
      <c r="AG147" s="25" t="n"/>
      <c r="AH147" s="31" t="n"/>
      <c r="AI147" s="27">
        <f>IFERROR(IF(A147="","",IF(OR(F147="",G147=""),"Missing Date",IF(G147&lt;=F147,"Invalid Date","OK"))),"")</f>
        <v/>
      </c>
      <c r="AJ147" s="27">
        <f>IFERROR(IF(OR(A147="",B147="",F147="",G147="",L147="Canceled"),"",IF(COUNTIFS($B$4:$B$153,B147,$F$4:$F$153,"&lt;"&amp;G147,$G$4:$G$153,"&gt;"&amp;F147,$A$4:$A$153,"&lt;&gt;"&amp;A147,$L$4:$L$153,"&lt;&gt;Canceled")&gt;0,"Possible Overlap","OK")),"")</f>
        <v/>
      </c>
      <c r="AK147" s="27">
        <f>IFERROR(IF(COUNTA(A147:G147)=0,"",IF(A147="","Missing Reservation ID",IF(B147="","Missing Property",IF(AND(AE147&gt;='Assumptions'!$B$115,L147&lt;&gt;"Canceled"),"Review Balance",IF(OR(L147="Inquiry",L147="Tentative"),"Review Status","OK"))))),"")</f>
        <v/>
      </c>
    </row>
    <row r="148">
      <c r="A148" s="25" t="n"/>
      <c r="B148" s="25" t="n"/>
      <c r="C148" s="25" t="n"/>
      <c r="D148" s="25" t="n"/>
      <c r="E148" s="26" t="n"/>
      <c r="F148" s="26" t="n"/>
      <c r="G148" s="26" t="n"/>
      <c r="H148" s="27">
        <f>IFERROR(IF(OR(F148="",G148=""),"",MAX(0,G148-F148)),"")</f>
        <v/>
      </c>
      <c r="I148" s="25" t="n"/>
      <c r="J148" s="25" t="n"/>
      <c r="K148" s="25" t="n"/>
      <c r="L148" s="25" t="n"/>
      <c r="M148" s="49" t="n"/>
      <c r="N148" s="49" t="n"/>
      <c r="O148" s="49" t="n"/>
      <c r="P148" s="49" t="n"/>
      <c r="Q148" s="49" t="n"/>
      <c r="R148" s="49" t="n"/>
      <c r="S148" s="50">
        <f>IFERROR(IF(B148="","",VLOOKUP(B148,'Assumptions'!$B$5:$K$104,7,FALSE)),"")</f>
        <v/>
      </c>
      <c r="T148" s="51">
        <f>IFERROR(IF(A148="","",MAX(0,M148-Q148+(N148+O148+P148)*VLOOKUP(B148,'Assumptions'!$B$5:$K$104,8,FALSE))),"")</f>
        <v/>
      </c>
      <c r="U148" s="51">
        <f>IFERROR(IF(A148="","",T148*S148),"")</f>
        <v/>
      </c>
      <c r="V148" s="51">
        <f>IFERROR(IF(A148="","",MAX(0,M148+N148+O148+P148-Q148)),"")</f>
        <v/>
      </c>
      <c r="W148" s="50">
        <f>IFERROR(IF(D148="","",VLOOKUP(D148,'Assumptions'!$U$5:$V$104,2,FALSE)),"")</f>
        <v/>
      </c>
      <c r="X148" s="51">
        <f>IFERROR(IF(A148="","",V148*W148),"")</f>
        <v/>
      </c>
      <c r="Y148" s="50">
        <f>IFERROR(IF(B148="","",VLOOKUP(B148,'Assumptions'!$B$5:$K$104,9,FALSE)),"")</f>
        <v/>
      </c>
      <c r="Z148" s="51">
        <f>IFERROR(IF(A148="","",(V148+U148)*Y148),"")</f>
        <v/>
      </c>
      <c r="AA148" s="50">
        <f>IFERROR(IF(B148="","",VLOOKUP(B148,'Assumptions'!$B$5:$K$104,10,FALSE)),"")</f>
        <v/>
      </c>
      <c r="AB148" s="51">
        <f>IFERROR(IF(A148="","",MAX(0,V148-R148)*AA148),"")</f>
        <v/>
      </c>
      <c r="AC148" s="51">
        <f>IFERROR(IF(A148="","",V148-R148-X148-Z148-AB148),"")</f>
        <v/>
      </c>
      <c r="AD148" s="49" t="n"/>
      <c r="AE148" s="51">
        <f>IFERROR(IF(A148="","",MAX(0,V148+U148-R148-AD148)),"")</f>
        <v/>
      </c>
      <c r="AF148" s="27">
        <f>IFERROR(IF(A148="","",IF(OR(L148="Inquiry",L148="Tentative",L148="Canceled"),"Not Due",IF(AE148=0,"Paid","Balance Due"))),"")</f>
        <v/>
      </c>
      <c r="AG148" s="25" t="n"/>
      <c r="AH148" s="31" t="n"/>
      <c r="AI148" s="27">
        <f>IFERROR(IF(A148="","",IF(OR(F148="",G148=""),"Missing Date",IF(G148&lt;=F148,"Invalid Date","OK"))),"")</f>
        <v/>
      </c>
      <c r="AJ148" s="27">
        <f>IFERROR(IF(OR(A148="",B148="",F148="",G148="",L148="Canceled"),"",IF(COUNTIFS($B$4:$B$153,B148,$F$4:$F$153,"&lt;"&amp;G148,$G$4:$G$153,"&gt;"&amp;F148,$A$4:$A$153,"&lt;&gt;"&amp;A148,$L$4:$L$153,"&lt;&gt;Canceled")&gt;0,"Possible Overlap","OK")),"")</f>
        <v/>
      </c>
      <c r="AK148" s="27">
        <f>IFERROR(IF(COUNTA(A148:G148)=0,"",IF(A148="","Missing Reservation ID",IF(B148="","Missing Property",IF(AND(AE148&gt;='Assumptions'!$B$115,L148&lt;&gt;"Canceled"),"Review Balance",IF(OR(L148="Inquiry",L148="Tentative"),"Review Status","OK"))))),"")</f>
        <v/>
      </c>
    </row>
    <row r="149">
      <c r="A149" s="25" t="n"/>
      <c r="B149" s="25" t="n"/>
      <c r="C149" s="25" t="n"/>
      <c r="D149" s="25" t="n"/>
      <c r="E149" s="26" t="n"/>
      <c r="F149" s="26" t="n"/>
      <c r="G149" s="26" t="n"/>
      <c r="H149" s="27">
        <f>IFERROR(IF(OR(F149="",G149=""),"",MAX(0,G149-F149)),"")</f>
        <v/>
      </c>
      <c r="I149" s="25" t="n"/>
      <c r="J149" s="25" t="n"/>
      <c r="K149" s="25" t="n"/>
      <c r="L149" s="25" t="n"/>
      <c r="M149" s="49" t="n"/>
      <c r="N149" s="49" t="n"/>
      <c r="O149" s="49" t="n"/>
      <c r="P149" s="49" t="n"/>
      <c r="Q149" s="49" t="n"/>
      <c r="R149" s="49" t="n"/>
      <c r="S149" s="50">
        <f>IFERROR(IF(B149="","",VLOOKUP(B149,'Assumptions'!$B$5:$K$104,7,FALSE)),"")</f>
        <v/>
      </c>
      <c r="T149" s="51">
        <f>IFERROR(IF(A149="","",MAX(0,M149-Q149+(N149+O149+P149)*VLOOKUP(B149,'Assumptions'!$B$5:$K$104,8,FALSE))),"")</f>
        <v/>
      </c>
      <c r="U149" s="51">
        <f>IFERROR(IF(A149="","",T149*S149),"")</f>
        <v/>
      </c>
      <c r="V149" s="51">
        <f>IFERROR(IF(A149="","",MAX(0,M149+N149+O149+P149-Q149)),"")</f>
        <v/>
      </c>
      <c r="W149" s="50">
        <f>IFERROR(IF(D149="","",VLOOKUP(D149,'Assumptions'!$U$5:$V$104,2,FALSE)),"")</f>
        <v/>
      </c>
      <c r="X149" s="51">
        <f>IFERROR(IF(A149="","",V149*W149),"")</f>
        <v/>
      </c>
      <c r="Y149" s="50">
        <f>IFERROR(IF(B149="","",VLOOKUP(B149,'Assumptions'!$B$5:$K$104,9,FALSE)),"")</f>
        <v/>
      </c>
      <c r="Z149" s="51">
        <f>IFERROR(IF(A149="","",(V149+U149)*Y149),"")</f>
        <v/>
      </c>
      <c r="AA149" s="50">
        <f>IFERROR(IF(B149="","",VLOOKUP(B149,'Assumptions'!$B$5:$K$104,10,FALSE)),"")</f>
        <v/>
      </c>
      <c r="AB149" s="51">
        <f>IFERROR(IF(A149="","",MAX(0,V149-R149)*AA149),"")</f>
        <v/>
      </c>
      <c r="AC149" s="51">
        <f>IFERROR(IF(A149="","",V149-R149-X149-Z149-AB149),"")</f>
        <v/>
      </c>
      <c r="AD149" s="49" t="n"/>
      <c r="AE149" s="51">
        <f>IFERROR(IF(A149="","",MAX(0,V149+U149-R149-AD149)),"")</f>
        <v/>
      </c>
      <c r="AF149" s="27">
        <f>IFERROR(IF(A149="","",IF(OR(L149="Inquiry",L149="Tentative",L149="Canceled"),"Not Due",IF(AE149=0,"Paid","Balance Due"))),"")</f>
        <v/>
      </c>
      <c r="AG149" s="25" t="n"/>
      <c r="AH149" s="31" t="n"/>
      <c r="AI149" s="27">
        <f>IFERROR(IF(A149="","",IF(OR(F149="",G149=""),"Missing Date",IF(G149&lt;=F149,"Invalid Date","OK"))),"")</f>
        <v/>
      </c>
      <c r="AJ149" s="27">
        <f>IFERROR(IF(OR(A149="",B149="",F149="",G149="",L149="Canceled"),"",IF(COUNTIFS($B$4:$B$153,B149,$F$4:$F$153,"&lt;"&amp;G149,$G$4:$G$153,"&gt;"&amp;F149,$A$4:$A$153,"&lt;&gt;"&amp;A149,$L$4:$L$153,"&lt;&gt;Canceled")&gt;0,"Possible Overlap","OK")),"")</f>
        <v/>
      </c>
      <c r="AK149" s="27">
        <f>IFERROR(IF(COUNTA(A149:G149)=0,"",IF(A149="","Missing Reservation ID",IF(B149="","Missing Property",IF(AND(AE149&gt;='Assumptions'!$B$115,L149&lt;&gt;"Canceled"),"Review Balance",IF(OR(L149="Inquiry",L149="Tentative"),"Review Status","OK"))))),"")</f>
        <v/>
      </c>
    </row>
    <row r="150">
      <c r="A150" s="25" t="n"/>
      <c r="B150" s="25" t="n"/>
      <c r="C150" s="25" t="n"/>
      <c r="D150" s="25" t="n"/>
      <c r="E150" s="26" t="n"/>
      <c r="F150" s="26" t="n"/>
      <c r="G150" s="26" t="n"/>
      <c r="H150" s="27">
        <f>IFERROR(IF(OR(F150="",G150=""),"",MAX(0,G150-F150)),"")</f>
        <v/>
      </c>
      <c r="I150" s="25" t="n"/>
      <c r="J150" s="25" t="n"/>
      <c r="K150" s="25" t="n"/>
      <c r="L150" s="25" t="n"/>
      <c r="M150" s="49" t="n"/>
      <c r="N150" s="49" t="n"/>
      <c r="O150" s="49" t="n"/>
      <c r="P150" s="49" t="n"/>
      <c r="Q150" s="49" t="n"/>
      <c r="R150" s="49" t="n"/>
      <c r="S150" s="50">
        <f>IFERROR(IF(B150="","",VLOOKUP(B150,'Assumptions'!$B$5:$K$104,7,FALSE)),"")</f>
        <v/>
      </c>
      <c r="T150" s="51">
        <f>IFERROR(IF(A150="","",MAX(0,M150-Q150+(N150+O150+P150)*VLOOKUP(B150,'Assumptions'!$B$5:$K$104,8,FALSE))),"")</f>
        <v/>
      </c>
      <c r="U150" s="51">
        <f>IFERROR(IF(A150="","",T150*S150),"")</f>
        <v/>
      </c>
      <c r="V150" s="51">
        <f>IFERROR(IF(A150="","",MAX(0,M150+N150+O150+P150-Q150)),"")</f>
        <v/>
      </c>
      <c r="W150" s="50">
        <f>IFERROR(IF(D150="","",VLOOKUP(D150,'Assumptions'!$U$5:$V$104,2,FALSE)),"")</f>
        <v/>
      </c>
      <c r="X150" s="51">
        <f>IFERROR(IF(A150="","",V150*W150),"")</f>
        <v/>
      </c>
      <c r="Y150" s="50">
        <f>IFERROR(IF(B150="","",VLOOKUP(B150,'Assumptions'!$B$5:$K$104,9,FALSE)),"")</f>
        <v/>
      </c>
      <c r="Z150" s="51">
        <f>IFERROR(IF(A150="","",(V150+U150)*Y150),"")</f>
        <v/>
      </c>
      <c r="AA150" s="50">
        <f>IFERROR(IF(B150="","",VLOOKUP(B150,'Assumptions'!$B$5:$K$104,10,FALSE)),"")</f>
        <v/>
      </c>
      <c r="AB150" s="51">
        <f>IFERROR(IF(A150="","",MAX(0,V150-R150)*AA150),"")</f>
        <v/>
      </c>
      <c r="AC150" s="51">
        <f>IFERROR(IF(A150="","",V150-R150-X150-Z150-AB150),"")</f>
        <v/>
      </c>
      <c r="AD150" s="49" t="n"/>
      <c r="AE150" s="51">
        <f>IFERROR(IF(A150="","",MAX(0,V150+U150-R150-AD150)),"")</f>
        <v/>
      </c>
      <c r="AF150" s="27">
        <f>IFERROR(IF(A150="","",IF(OR(L150="Inquiry",L150="Tentative",L150="Canceled"),"Not Due",IF(AE150=0,"Paid","Balance Due"))),"")</f>
        <v/>
      </c>
      <c r="AG150" s="25" t="n"/>
      <c r="AH150" s="31" t="n"/>
      <c r="AI150" s="27">
        <f>IFERROR(IF(A150="","",IF(OR(F150="",G150=""),"Missing Date",IF(G150&lt;=F150,"Invalid Date","OK"))),"")</f>
        <v/>
      </c>
      <c r="AJ150" s="27">
        <f>IFERROR(IF(OR(A150="",B150="",F150="",G150="",L150="Canceled"),"",IF(COUNTIFS($B$4:$B$153,B150,$F$4:$F$153,"&lt;"&amp;G150,$G$4:$G$153,"&gt;"&amp;F150,$A$4:$A$153,"&lt;&gt;"&amp;A150,$L$4:$L$153,"&lt;&gt;Canceled")&gt;0,"Possible Overlap","OK")),"")</f>
        <v/>
      </c>
      <c r="AK150" s="27">
        <f>IFERROR(IF(COUNTA(A150:G150)=0,"",IF(A150="","Missing Reservation ID",IF(B150="","Missing Property",IF(AND(AE150&gt;='Assumptions'!$B$115,L150&lt;&gt;"Canceled"),"Review Balance",IF(OR(L150="Inquiry",L150="Tentative"),"Review Status","OK"))))),"")</f>
        <v/>
      </c>
    </row>
    <row r="151">
      <c r="A151" s="25" t="n"/>
      <c r="B151" s="25" t="n"/>
      <c r="C151" s="25" t="n"/>
      <c r="D151" s="25" t="n"/>
      <c r="E151" s="26" t="n"/>
      <c r="F151" s="26" t="n"/>
      <c r="G151" s="26" t="n"/>
      <c r="H151" s="27">
        <f>IFERROR(IF(OR(F151="",G151=""),"",MAX(0,G151-F151)),"")</f>
        <v/>
      </c>
      <c r="I151" s="25" t="n"/>
      <c r="J151" s="25" t="n"/>
      <c r="K151" s="25" t="n"/>
      <c r="L151" s="25" t="n"/>
      <c r="M151" s="49" t="n"/>
      <c r="N151" s="49" t="n"/>
      <c r="O151" s="49" t="n"/>
      <c r="P151" s="49" t="n"/>
      <c r="Q151" s="49" t="n"/>
      <c r="R151" s="49" t="n"/>
      <c r="S151" s="50">
        <f>IFERROR(IF(B151="","",VLOOKUP(B151,'Assumptions'!$B$5:$K$104,7,FALSE)),"")</f>
        <v/>
      </c>
      <c r="T151" s="51">
        <f>IFERROR(IF(A151="","",MAX(0,M151-Q151+(N151+O151+P151)*VLOOKUP(B151,'Assumptions'!$B$5:$K$104,8,FALSE))),"")</f>
        <v/>
      </c>
      <c r="U151" s="51">
        <f>IFERROR(IF(A151="","",T151*S151),"")</f>
        <v/>
      </c>
      <c r="V151" s="51">
        <f>IFERROR(IF(A151="","",MAX(0,M151+N151+O151+P151-Q151)),"")</f>
        <v/>
      </c>
      <c r="W151" s="50">
        <f>IFERROR(IF(D151="","",VLOOKUP(D151,'Assumptions'!$U$5:$V$104,2,FALSE)),"")</f>
        <v/>
      </c>
      <c r="X151" s="51">
        <f>IFERROR(IF(A151="","",V151*W151),"")</f>
        <v/>
      </c>
      <c r="Y151" s="50">
        <f>IFERROR(IF(B151="","",VLOOKUP(B151,'Assumptions'!$B$5:$K$104,9,FALSE)),"")</f>
        <v/>
      </c>
      <c r="Z151" s="51">
        <f>IFERROR(IF(A151="","",(V151+U151)*Y151),"")</f>
        <v/>
      </c>
      <c r="AA151" s="50">
        <f>IFERROR(IF(B151="","",VLOOKUP(B151,'Assumptions'!$B$5:$K$104,10,FALSE)),"")</f>
        <v/>
      </c>
      <c r="AB151" s="51">
        <f>IFERROR(IF(A151="","",MAX(0,V151-R151)*AA151),"")</f>
        <v/>
      </c>
      <c r="AC151" s="51">
        <f>IFERROR(IF(A151="","",V151-R151-X151-Z151-AB151),"")</f>
        <v/>
      </c>
      <c r="AD151" s="49" t="n"/>
      <c r="AE151" s="51">
        <f>IFERROR(IF(A151="","",MAX(0,V151+U151-R151-AD151)),"")</f>
        <v/>
      </c>
      <c r="AF151" s="27">
        <f>IFERROR(IF(A151="","",IF(OR(L151="Inquiry",L151="Tentative",L151="Canceled"),"Not Due",IF(AE151=0,"Paid","Balance Due"))),"")</f>
        <v/>
      </c>
      <c r="AG151" s="25" t="n"/>
      <c r="AH151" s="31" t="n"/>
      <c r="AI151" s="27">
        <f>IFERROR(IF(A151="","",IF(OR(F151="",G151=""),"Missing Date",IF(G151&lt;=F151,"Invalid Date","OK"))),"")</f>
        <v/>
      </c>
      <c r="AJ151" s="27">
        <f>IFERROR(IF(OR(A151="",B151="",F151="",G151="",L151="Canceled"),"",IF(COUNTIFS($B$4:$B$153,B151,$F$4:$F$153,"&lt;"&amp;G151,$G$4:$G$153,"&gt;"&amp;F151,$A$4:$A$153,"&lt;&gt;"&amp;A151,$L$4:$L$153,"&lt;&gt;Canceled")&gt;0,"Possible Overlap","OK")),"")</f>
        <v/>
      </c>
      <c r="AK151" s="27">
        <f>IFERROR(IF(COUNTA(A151:G151)=0,"",IF(A151="","Missing Reservation ID",IF(B151="","Missing Property",IF(AND(AE151&gt;='Assumptions'!$B$115,L151&lt;&gt;"Canceled"),"Review Balance",IF(OR(L151="Inquiry",L151="Tentative"),"Review Status","OK"))))),"")</f>
        <v/>
      </c>
    </row>
    <row r="152">
      <c r="A152" s="25" t="n"/>
      <c r="B152" s="25" t="n"/>
      <c r="C152" s="25" t="n"/>
      <c r="D152" s="25" t="n"/>
      <c r="E152" s="26" t="n"/>
      <c r="F152" s="26" t="n"/>
      <c r="G152" s="26" t="n"/>
      <c r="H152" s="27">
        <f>IFERROR(IF(OR(F152="",G152=""),"",MAX(0,G152-F152)),"")</f>
        <v/>
      </c>
      <c r="I152" s="25" t="n"/>
      <c r="J152" s="25" t="n"/>
      <c r="K152" s="25" t="n"/>
      <c r="L152" s="25" t="n"/>
      <c r="M152" s="49" t="n"/>
      <c r="N152" s="49" t="n"/>
      <c r="O152" s="49" t="n"/>
      <c r="P152" s="49" t="n"/>
      <c r="Q152" s="49" t="n"/>
      <c r="R152" s="49" t="n"/>
      <c r="S152" s="50">
        <f>IFERROR(IF(B152="","",VLOOKUP(B152,'Assumptions'!$B$5:$K$104,7,FALSE)),"")</f>
        <v/>
      </c>
      <c r="T152" s="51">
        <f>IFERROR(IF(A152="","",MAX(0,M152-Q152+(N152+O152+P152)*VLOOKUP(B152,'Assumptions'!$B$5:$K$104,8,FALSE))),"")</f>
        <v/>
      </c>
      <c r="U152" s="51">
        <f>IFERROR(IF(A152="","",T152*S152),"")</f>
        <v/>
      </c>
      <c r="V152" s="51">
        <f>IFERROR(IF(A152="","",MAX(0,M152+N152+O152+P152-Q152)),"")</f>
        <v/>
      </c>
      <c r="W152" s="50">
        <f>IFERROR(IF(D152="","",VLOOKUP(D152,'Assumptions'!$U$5:$V$104,2,FALSE)),"")</f>
        <v/>
      </c>
      <c r="X152" s="51">
        <f>IFERROR(IF(A152="","",V152*W152),"")</f>
        <v/>
      </c>
      <c r="Y152" s="50">
        <f>IFERROR(IF(B152="","",VLOOKUP(B152,'Assumptions'!$B$5:$K$104,9,FALSE)),"")</f>
        <v/>
      </c>
      <c r="Z152" s="51">
        <f>IFERROR(IF(A152="","",(V152+U152)*Y152),"")</f>
        <v/>
      </c>
      <c r="AA152" s="50">
        <f>IFERROR(IF(B152="","",VLOOKUP(B152,'Assumptions'!$B$5:$K$104,10,FALSE)),"")</f>
        <v/>
      </c>
      <c r="AB152" s="51">
        <f>IFERROR(IF(A152="","",MAX(0,V152-R152)*AA152),"")</f>
        <v/>
      </c>
      <c r="AC152" s="51">
        <f>IFERROR(IF(A152="","",V152-R152-X152-Z152-AB152),"")</f>
        <v/>
      </c>
      <c r="AD152" s="49" t="n"/>
      <c r="AE152" s="51">
        <f>IFERROR(IF(A152="","",MAX(0,V152+U152-R152-AD152)),"")</f>
        <v/>
      </c>
      <c r="AF152" s="27">
        <f>IFERROR(IF(A152="","",IF(OR(L152="Inquiry",L152="Tentative",L152="Canceled"),"Not Due",IF(AE152=0,"Paid","Balance Due"))),"")</f>
        <v/>
      </c>
      <c r="AG152" s="25" t="n"/>
      <c r="AH152" s="31" t="n"/>
      <c r="AI152" s="27">
        <f>IFERROR(IF(A152="","",IF(OR(F152="",G152=""),"Missing Date",IF(G152&lt;=F152,"Invalid Date","OK"))),"")</f>
        <v/>
      </c>
      <c r="AJ152" s="27">
        <f>IFERROR(IF(OR(A152="",B152="",F152="",G152="",L152="Canceled"),"",IF(COUNTIFS($B$4:$B$153,B152,$F$4:$F$153,"&lt;"&amp;G152,$G$4:$G$153,"&gt;"&amp;F152,$A$4:$A$153,"&lt;&gt;"&amp;A152,$L$4:$L$153,"&lt;&gt;Canceled")&gt;0,"Possible Overlap","OK")),"")</f>
        <v/>
      </c>
      <c r="AK152" s="27">
        <f>IFERROR(IF(COUNTA(A152:G152)=0,"",IF(A152="","Missing Reservation ID",IF(B152="","Missing Property",IF(AND(AE152&gt;='Assumptions'!$B$115,L152&lt;&gt;"Canceled"),"Review Balance",IF(OR(L152="Inquiry",L152="Tentative"),"Review Status","OK"))))),"")</f>
        <v/>
      </c>
    </row>
    <row r="153">
      <c r="A153" s="25" t="n"/>
      <c r="B153" s="25" t="n"/>
      <c r="C153" s="25" t="n"/>
      <c r="D153" s="25" t="n"/>
      <c r="E153" s="26" t="n"/>
      <c r="F153" s="26" t="n"/>
      <c r="G153" s="26" t="n"/>
      <c r="H153" s="27">
        <f>IFERROR(IF(OR(F153="",G153=""),"",MAX(0,G153-F153)),"")</f>
        <v/>
      </c>
      <c r="I153" s="25" t="n"/>
      <c r="J153" s="25" t="n"/>
      <c r="K153" s="25" t="n"/>
      <c r="L153" s="25" t="n"/>
      <c r="M153" s="49" t="n"/>
      <c r="N153" s="49" t="n"/>
      <c r="O153" s="49" t="n"/>
      <c r="P153" s="49" t="n"/>
      <c r="Q153" s="49" t="n"/>
      <c r="R153" s="49" t="n"/>
      <c r="S153" s="50">
        <f>IFERROR(IF(B153="","",VLOOKUP(B153,'Assumptions'!$B$5:$K$104,7,FALSE)),"")</f>
        <v/>
      </c>
      <c r="T153" s="51">
        <f>IFERROR(IF(A153="","",MAX(0,M153-Q153+(N153+O153+P153)*VLOOKUP(B153,'Assumptions'!$B$5:$K$104,8,FALSE))),"")</f>
        <v/>
      </c>
      <c r="U153" s="51">
        <f>IFERROR(IF(A153="","",T153*S153),"")</f>
        <v/>
      </c>
      <c r="V153" s="51">
        <f>IFERROR(IF(A153="","",MAX(0,M153+N153+O153+P153-Q153)),"")</f>
        <v/>
      </c>
      <c r="W153" s="50">
        <f>IFERROR(IF(D153="","",VLOOKUP(D153,'Assumptions'!$U$5:$V$104,2,FALSE)),"")</f>
        <v/>
      </c>
      <c r="X153" s="51">
        <f>IFERROR(IF(A153="","",V153*W153),"")</f>
        <v/>
      </c>
      <c r="Y153" s="50">
        <f>IFERROR(IF(B153="","",VLOOKUP(B153,'Assumptions'!$B$5:$K$104,9,FALSE)),"")</f>
        <v/>
      </c>
      <c r="Z153" s="51">
        <f>IFERROR(IF(A153="","",(V153+U153)*Y153),"")</f>
        <v/>
      </c>
      <c r="AA153" s="50">
        <f>IFERROR(IF(B153="","",VLOOKUP(B153,'Assumptions'!$B$5:$K$104,10,FALSE)),"")</f>
        <v/>
      </c>
      <c r="AB153" s="51">
        <f>IFERROR(IF(A153="","",MAX(0,V153-R153)*AA153),"")</f>
        <v/>
      </c>
      <c r="AC153" s="51">
        <f>IFERROR(IF(A153="","",V153-R153-X153-Z153-AB153),"")</f>
        <v/>
      </c>
      <c r="AD153" s="49" t="n"/>
      <c r="AE153" s="51">
        <f>IFERROR(IF(A153="","",MAX(0,V153+U153-R153-AD153)),"")</f>
        <v/>
      </c>
      <c r="AF153" s="27">
        <f>IFERROR(IF(A153="","",IF(OR(L153="Inquiry",L153="Tentative",L153="Canceled"),"Not Due",IF(AE153=0,"Paid","Balance Due"))),"")</f>
        <v/>
      </c>
      <c r="AG153" s="25" t="n"/>
      <c r="AH153" s="31" t="n"/>
      <c r="AI153" s="27">
        <f>IFERROR(IF(A153="","",IF(OR(F153="",G153=""),"Missing Date",IF(G153&lt;=F153,"Invalid Date","OK"))),"")</f>
        <v/>
      </c>
      <c r="AJ153" s="27">
        <f>IFERROR(IF(OR(A153="",B153="",F153="",G153="",L153="Canceled"),"",IF(COUNTIFS($B$4:$B$153,B153,$F$4:$F$153,"&lt;"&amp;G153,$G$4:$G$153,"&gt;"&amp;F153,$A$4:$A$153,"&lt;&gt;"&amp;A153,$L$4:$L$153,"&lt;&gt;Canceled")&gt;0,"Possible Overlap","OK")),"")</f>
        <v/>
      </c>
      <c r="AK153" s="27">
        <f>IFERROR(IF(COUNTA(A153:G153)=0,"",IF(A153="","Missing Reservation ID",IF(B153="","Missing Property",IF(AND(AE153&gt;='Assumptions'!$B$115,L153&lt;&gt;"Canceled"),"Review Balance",IF(OR(L153="Inquiry",L153="Tentative"),"Review Status","OK"))))),"")</f>
        <v/>
      </c>
    </row>
  </sheetData>
  <autoFilter ref="A3:AK153"/>
  <mergeCells count="2">
    <mergeCell ref="A1:AK1"/>
    <mergeCell ref="A2:AK2"/>
  </mergeCells>
  <conditionalFormatting sqref="AE4:AE153">
    <cfRule type="cellIs" priority="1" operator="greaterThan" dxfId="2">
      <formula>0</formula>
    </cfRule>
  </conditionalFormatting>
  <conditionalFormatting sqref="AI4:AI153">
    <cfRule type="expression" priority="2" dxfId="3">
      <formula>AI4="Invalid Date"</formula>
    </cfRule>
  </conditionalFormatting>
  <conditionalFormatting sqref="AJ4:AJ153">
    <cfRule type="expression" priority="3" dxfId="3">
      <formula>AJ4="Possible Overlap"</formula>
    </cfRule>
  </conditionalFormatting>
  <conditionalFormatting sqref="A4:AK153">
    <cfRule type="expression" priority="4" dxfId="4">
      <formula>$L4="Canceled"</formula>
    </cfRule>
    <cfRule type="expression" priority="5" dxfId="5">
      <formula>AND($L4="Completed",$AE4=0)</formula>
    </cfRule>
  </conditionalFormatting>
  <conditionalFormatting sqref="AC4:AC153">
    <cfRule type="cellIs" priority="6" operator="lessThan" dxfId="6">
      <formula>0</formula>
    </cfRule>
  </conditionalFormatting>
  <dataValidations count="9">
    <dataValidation sqref="B4:B153" showDropDown="0" showInputMessage="1" showErrorMessage="1" allowBlank="0" errorTitle="Invalid Selection" error="Select a value from the list." promptTitle="Property" prompt="Select an active property." type="list">
      <formula1>'Assumptions'!$B$5:$B$104</formula1>
    </dataValidation>
    <dataValidation sqref="D4:D153" showDropDown="0" showInputMessage="1" showErrorMessage="1" allowBlank="0" errorTitle="Invalid Selection" error="Select a value from the list." promptTitle="Booking Channel" prompt="Select the manual booking source." type="list">
      <formula1>"Direct,Airbnb,Vrbo,Booking.com,Corporate,Other"</formula1>
    </dataValidation>
    <dataValidation sqref="L4:L153" showDropDown="0" showInputMessage="1" showErrorMessage="1" allowBlank="0" errorTitle="Invalid Selection" error="Select a value from the list." promptTitle="Reservation Status" prompt="Select the current reservation status." type="list">
      <formula1>'Assumptions'!$U$109:$U$115</formula1>
    </dataValidation>
    <dataValidation sqref="E4:G153" showDropDown="0" showInputMessage="0" showErrorMessage="1" allowBlank="0" errorTitle="Invalid Date" error="Enter a valid date between 1/1/2000 and 12/31/2100." type="date" operator="between">
      <formula1>DATE(2000,1,1)</formula1>
      <formula2>DATE(2100,12,31)</formula2>
    </dataValidation>
    <dataValidation sqref="I4:I153" showDropDown="0" showInputMessage="0" showErrorMessage="1" allowBlank="0" errorTitle="Invalid Whole Number" error="Enter a whole number within the allowed range." type="whole" operator="between">
      <formula1>1</formula1>
      <formula2>20</formula2>
    </dataValidation>
    <dataValidation sqref="J4:J153" showDropDown="0" showInputMessage="0" showErrorMessage="1" allowBlank="0" errorTitle="Invalid Whole Number" error="Enter a whole number within the allowed range." type="whole" operator="between">
      <formula1>0</formula1>
      <formula2>20</formula2>
    </dataValidation>
    <dataValidation sqref="K4:K153" showDropDown="0" showInputMessage="0" showErrorMessage="1" allowBlank="0" errorTitle="Invalid Whole Number" error="Enter a whole number within the allowed range." type="whole" operator="between">
      <formula1>0</formula1>
      <formula2>10</formula2>
    </dataValidation>
    <dataValidation sqref="M4:R153" showDropDown="0" showInputMessage="0" showErrorMessage="1" allowBlank="0" errorTitle="Invalid Number" error="Enter a valid nonnegative number within the allowed range." type="decimal" operator="greaterThanOrEqual">
      <formula1>0</formula1>
    </dataValidation>
    <dataValidation sqref="AD4:AD153" showDropDown="0" showInputMessage="0" showErrorMessage="1" allowBlank="0" errorTitle="Invalid Number" error="Enter a valid nonnegative number within the allowed range." type="decimal" operator="greaterThanOrEqual">
      <formula1>0</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W153"/>
  <sheetViews>
    <sheetView showGridLines="0" zoomScale="70" zoomScaleNormal="70" workbookViewId="0">
      <pane ySplit="3" topLeftCell="A4" activePane="bottomLeft" state="frozen"/>
      <selection pane="bottomLeft" activeCell="A1" sqref="A1"/>
    </sheetView>
  </sheetViews>
  <sheetFormatPr baseColWidth="8" defaultRowHeight="15"/>
  <cols>
    <col width="17" customWidth="1" min="1" max="1"/>
    <col width="15" customWidth="1" min="2" max="2"/>
    <col width="24" customWidth="1" min="3" max="3"/>
    <col width="24" customWidth="1" min="4" max="4"/>
    <col width="25" customWidth="1" min="5" max="5"/>
    <col width="18" customWidth="1" min="6" max="6"/>
    <col width="18" customWidth="1" min="7" max="7"/>
    <col width="20" customWidth="1" min="8" max="8"/>
    <col width="32" customWidth="1" min="9" max="9"/>
    <col width="12" customWidth="1" min="10" max="10"/>
    <col width="14" customWidth="1" min="11" max="11"/>
    <col width="14" customWidth="1" min="12" max="12"/>
    <col width="14" customWidth="1" min="13" max="13"/>
    <col width="12" customWidth="1" min="14" max="14"/>
    <col width="16" customWidth="1" min="15" max="15"/>
    <col width="14" customWidth="1" min="16" max="16"/>
    <col width="14" customWidth="1" min="17" max="17"/>
    <col width="22" customWidth="1" min="18" max="18"/>
    <col width="21" customWidth="1" min="19" max="19"/>
    <col width="16" customWidth="1" min="20" max="20"/>
    <col width="18" customWidth="1" min="21" max="21"/>
    <col width="20" customWidth="1" min="22" max="22"/>
    <col width="32" customWidth="1" min="23" max="23"/>
  </cols>
  <sheetData>
    <row r="1" ht="28" customHeight="1">
      <c r="A1" s="1" t="inlineStr">
        <is>
          <t>Property Operating Expenses</t>
        </is>
      </c>
    </row>
    <row r="2" ht="30" customHeight="1">
      <c r="A2" s="2" t="inlineStr">
        <is>
          <t>Enter one row per expense. Use the Property value “Shared Portfolio” for costs that are not assigned to one rental.</t>
        </is>
      </c>
    </row>
    <row r="3">
      <c r="A3" s="10" t="inlineStr">
        <is>
          <t>Expense ID</t>
        </is>
      </c>
      <c r="B3" s="10" t="inlineStr">
        <is>
          <t>Expense Date</t>
        </is>
      </c>
      <c r="C3" s="10" t="inlineStr">
        <is>
          <t>Property</t>
        </is>
      </c>
      <c r="D3" s="10" t="inlineStr">
        <is>
          <t>Vendor</t>
        </is>
      </c>
      <c r="E3" s="10" t="inlineStr">
        <is>
          <t>Expense Category</t>
        </is>
      </c>
      <c r="F3" s="10" t="inlineStr">
        <is>
          <t>Expense Type</t>
        </is>
      </c>
      <c r="G3" s="10" t="inlineStr">
        <is>
          <t>Payment Method</t>
        </is>
      </c>
      <c r="H3" s="10" t="inlineStr">
        <is>
          <t>Reference Number</t>
        </is>
      </c>
      <c r="I3" s="10" t="inlineStr">
        <is>
          <t>Description</t>
        </is>
      </c>
      <c r="J3" s="10" t="inlineStr">
        <is>
          <t>Quantity</t>
        </is>
      </c>
      <c r="K3" s="10" t="inlineStr">
        <is>
          <t>Unit Cost</t>
        </is>
      </c>
      <c r="L3" s="10" t="inlineStr">
        <is>
          <t>Subtotal</t>
        </is>
      </c>
      <c r="M3" s="10" t="inlineStr">
        <is>
          <t>Sales Tax</t>
        </is>
      </c>
      <c r="N3" s="10" t="inlineStr">
        <is>
          <t>Tip</t>
        </is>
      </c>
      <c r="O3" s="10" t="inlineStr">
        <is>
          <t>Total Expense</t>
        </is>
      </c>
      <c r="P3" s="10" t="inlineStr">
        <is>
          <t>Labor Hours</t>
        </is>
      </c>
      <c r="Q3" s="10" t="inlineStr">
        <is>
          <t>Labor Cost</t>
        </is>
      </c>
      <c r="R3" s="10" t="inlineStr">
        <is>
          <t>Operating Expense Amount</t>
        </is>
      </c>
      <c r="S3" s="10" t="inlineStr">
        <is>
          <t>Capital Expense Amount</t>
        </is>
      </c>
      <c r="T3" s="10" t="inlineStr">
        <is>
          <t>Status</t>
        </is>
      </c>
      <c r="U3" s="10" t="inlineStr">
        <is>
          <t>Receipt Available</t>
        </is>
      </c>
      <c r="V3" s="10" t="inlineStr">
        <is>
          <t>Review Flag</t>
        </is>
      </c>
      <c r="W3" s="10" t="inlineStr">
        <is>
          <t>Notes</t>
        </is>
      </c>
    </row>
    <row r="4">
      <c r="A4" s="25" t="inlineStr">
        <is>
          <t>EXP-2026-001</t>
        </is>
      </c>
      <c r="B4" s="26" t="n">
        <v>46067</v>
      </c>
      <c r="C4" s="25" t="inlineStr">
        <is>
          <t>Harbor View Cottage</t>
        </is>
      </c>
      <c r="D4" s="25" t="inlineStr">
        <is>
          <t>Seaside Turnovers LLC</t>
        </is>
      </c>
      <c r="E4" s="25" t="inlineStr">
        <is>
          <t>Cleaning</t>
        </is>
      </c>
      <c r="F4" s="25" t="inlineStr">
        <is>
          <t>Operating</t>
        </is>
      </c>
      <c r="G4" s="25" t="inlineStr">
        <is>
          <t>ACH</t>
        </is>
      </c>
      <c r="H4" s="25" t="inlineStr">
        <is>
          <t>INV-2101</t>
        </is>
      </c>
      <c r="I4" s="31" t="inlineStr">
        <is>
          <t>Turnover cleaning</t>
        </is>
      </c>
      <c r="J4" s="32" t="n">
        <v>1</v>
      </c>
      <c r="K4" s="49" t="n">
        <v>185</v>
      </c>
      <c r="L4" s="51">
        <f>IFERROR(IF(A4="","",IF(OR(J4="",K4=""),"",J4*K4)),"")</f>
        <v/>
      </c>
      <c r="M4" s="49" t="n">
        <v>0</v>
      </c>
      <c r="N4" s="49" t="n">
        <v>30</v>
      </c>
      <c r="O4" s="51">
        <f>IFERROR(IF(A4="","",L4+M4+N4),"")</f>
        <v/>
      </c>
      <c r="P4" s="32" t="n">
        <v>0</v>
      </c>
      <c r="Q4" s="49" t="n">
        <v>185</v>
      </c>
      <c r="R4" s="51">
        <f>IFERROR(IF(A4="","",IF(F4="Operating",O4,0)),"")</f>
        <v/>
      </c>
      <c r="S4" s="51">
        <f>IFERROR(IF(A4="","",IF(F4="Capital",O4,0)),"")</f>
        <v/>
      </c>
      <c r="T4" s="25" t="inlineStr">
        <is>
          <t>Paid</t>
        </is>
      </c>
      <c r="U4" s="25" t="inlineStr">
        <is>
          <t>Yes</t>
        </is>
      </c>
      <c r="V4" s="27">
        <f>IFERROR(IF(A4="","",IF(D4="","Missing Vendor",IF(E4="","Missing Category",IF(O4&gt;'Assumptions'!$B$114,"High Expense",IF(AND(U4="No",T4&lt;&gt;"Canceled",T4&lt;&gt;"Excluded"),"Missing Receipt","OK"))))),"")</f>
        <v/>
      </c>
      <c r="W4" s="31" t="inlineStr">
        <is>
          <t>Routine turnover</t>
        </is>
      </c>
    </row>
    <row r="5">
      <c r="A5" s="25" t="inlineStr">
        <is>
          <t>EXP-2026-002</t>
        </is>
      </c>
      <c r="B5" s="26" t="n">
        <v>46086</v>
      </c>
      <c r="C5" s="25" t="inlineStr">
        <is>
          <t>Blue Ridge Cabin</t>
        </is>
      </c>
      <c r="D5" s="25" t="inlineStr">
        <is>
          <t>Mountain Home Services</t>
        </is>
      </c>
      <c r="E5" s="25" t="inlineStr">
        <is>
          <t>Repairs and Maintenance</t>
        </is>
      </c>
      <c r="F5" s="25" t="inlineStr">
        <is>
          <t>Operating</t>
        </is>
      </c>
      <c r="G5" s="25" t="inlineStr">
        <is>
          <t>Credit Card</t>
        </is>
      </c>
      <c r="H5" s="25" t="inlineStr">
        <is>
          <t>INV-3288</t>
        </is>
      </c>
      <c r="I5" s="31" t="inlineStr">
        <is>
          <t>HVAC repair</t>
        </is>
      </c>
      <c r="J5" s="32" t="n">
        <v>1</v>
      </c>
      <c r="K5" s="49" t="n">
        <v>1450</v>
      </c>
      <c r="L5" s="51">
        <f>IFERROR(IF(A5="","",IF(OR(J5="",K5=""),"",J5*K5)),"")</f>
        <v/>
      </c>
      <c r="M5" s="49" t="n">
        <v>0</v>
      </c>
      <c r="N5" s="49" t="n">
        <v>0</v>
      </c>
      <c r="O5" s="51">
        <f>IFERROR(IF(A5="","",L5+M5+N5),"")</f>
        <v/>
      </c>
      <c r="P5" s="32" t="n">
        <v>4</v>
      </c>
      <c r="Q5" s="49" t="n">
        <v>600</v>
      </c>
      <c r="R5" s="51">
        <f>IFERROR(IF(A5="","",IF(F5="Operating",O5,0)),"")</f>
        <v/>
      </c>
      <c r="S5" s="51">
        <f>IFERROR(IF(A5="","",IF(F5="Capital",O5,0)),"")</f>
        <v/>
      </c>
      <c r="T5" s="25" t="inlineStr">
        <is>
          <t>Paid</t>
        </is>
      </c>
      <c r="U5" s="25" t="inlineStr">
        <is>
          <t>Yes</t>
        </is>
      </c>
      <c r="V5" s="27">
        <f>IFERROR(IF(A5="","",IF(D5="","Missing Vendor",IF(E5="","Missing Category",IF(O5&gt;'Assumptions'!$B$114,"High Expense",IF(AND(U5="No",T5&lt;&gt;"Canceled",T5&lt;&gt;"Excluded"),"Missing Receipt","OK"))))),"")</f>
        <v/>
      </c>
      <c r="W5" s="31" t="inlineStr">
        <is>
          <t>High-cost repair</t>
        </is>
      </c>
    </row>
    <row r="6">
      <c r="A6" s="25" t="inlineStr">
        <is>
          <t>EXP-2026-003</t>
        </is>
      </c>
      <c r="B6" s="26" t="n">
        <v>46124</v>
      </c>
      <c r="C6" s="25" t="inlineStr">
        <is>
          <t>Desert Bloom Casita</t>
        </is>
      </c>
      <c r="D6" s="25" t="inlineStr">
        <is>
          <t>Sonoran Utility Co.</t>
        </is>
      </c>
      <c r="E6" s="25" t="inlineStr">
        <is>
          <t>Utilities</t>
        </is>
      </c>
      <c r="F6" s="25" t="inlineStr">
        <is>
          <t>Operating</t>
        </is>
      </c>
      <c r="G6" s="25" t="inlineStr">
        <is>
          <t>ACH</t>
        </is>
      </c>
      <c r="H6" s="25" t="inlineStr">
        <is>
          <t>UTIL-0412</t>
        </is>
      </c>
      <c r="I6" s="31" t="inlineStr">
        <is>
          <t>Electricity bill</t>
        </is>
      </c>
      <c r="J6" s="32" t="n">
        <v>1</v>
      </c>
      <c r="K6" s="49" t="n">
        <v>238</v>
      </c>
      <c r="L6" s="51">
        <f>IFERROR(IF(A6="","",IF(OR(J6="",K6=""),"",J6*K6)),"")</f>
        <v/>
      </c>
      <c r="M6" s="49" t="n">
        <v>0</v>
      </c>
      <c r="N6" s="49" t="n">
        <v>0</v>
      </c>
      <c r="O6" s="51">
        <f>IFERROR(IF(A6="","",L6+M6+N6),"")</f>
        <v/>
      </c>
      <c r="P6" s="32" t="n">
        <v>0</v>
      </c>
      <c r="Q6" s="49" t="n">
        <v>0</v>
      </c>
      <c r="R6" s="51">
        <f>IFERROR(IF(A6="","",IF(F6="Operating",O6,0)),"")</f>
        <v/>
      </c>
      <c r="S6" s="51">
        <f>IFERROR(IF(A6="","",IF(F6="Capital",O6,0)),"")</f>
        <v/>
      </c>
      <c r="T6" s="25" t="inlineStr">
        <is>
          <t>Paid</t>
        </is>
      </c>
      <c r="U6" s="25" t="inlineStr">
        <is>
          <t>Not Required</t>
        </is>
      </c>
      <c r="V6" s="27">
        <f>IFERROR(IF(A6="","",IF(D6="","Missing Vendor",IF(E6="","Missing Category",IF(O6&gt;'Assumptions'!$B$114,"High Expense",IF(AND(U6="No",T6&lt;&gt;"Canceled",T6&lt;&gt;"Excluded"),"Missing Receipt","OK"))))),"")</f>
        <v/>
      </c>
      <c r="W6" s="31" t="inlineStr">
        <is>
          <t>Monthly electric service</t>
        </is>
      </c>
    </row>
    <row r="7">
      <c r="A7" s="25" t="inlineStr">
        <is>
          <t>EXP-2026-004</t>
        </is>
      </c>
      <c r="B7" s="26" t="n">
        <v>46144</v>
      </c>
      <c r="C7" s="25" t="inlineStr">
        <is>
          <t>Harbor View Cottage</t>
        </is>
      </c>
      <c r="D7" s="25" t="inlineStr">
        <is>
          <t>Coastal Fiber Network</t>
        </is>
      </c>
      <c r="E7" s="25" t="inlineStr">
        <is>
          <t>Internet and Television</t>
        </is>
      </c>
      <c r="F7" s="25" t="inlineStr">
        <is>
          <t>Operating</t>
        </is>
      </c>
      <c r="G7" s="25" t="inlineStr">
        <is>
          <t>Credit Card</t>
        </is>
      </c>
      <c r="H7" s="25" t="inlineStr">
        <is>
          <t>NET-0502</t>
        </is>
      </c>
      <c r="I7" s="31" t="inlineStr">
        <is>
          <t>Wi-Fi service</t>
        </is>
      </c>
      <c r="J7" s="32" t="n">
        <v>1</v>
      </c>
      <c r="K7" s="49" t="n">
        <v>119</v>
      </c>
      <c r="L7" s="51">
        <f>IFERROR(IF(A7="","",IF(OR(J7="",K7=""),"",J7*K7)),"")</f>
        <v/>
      </c>
      <c r="M7" s="49" t="n">
        <v>0</v>
      </c>
      <c r="N7" s="49" t="n">
        <v>0</v>
      </c>
      <c r="O7" s="51">
        <f>IFERROR(IF(A7="","",L7+M7+N7),"")</f>
        <v/>
      </c>
      <c r="P7" s="32" t="n">
        <v>0</v>
      </c>
      <c r="Q7" s="49" t="n">
        <v>0</v>
      </c>
      <c r="R7" s="51">
        <f>IFERROR(IF(A7="","",IF(F7="Operating",O7,0)),"")</f>
        <v/>
      </c>
      <c r="S7" s="51">
        <f>IFERROR(IF(A7="","",IF(F7="Capital",O7,0)),"")</f>
        <v/>
      </c>
      <c r="T7" s="25" t="inlineStr">
        <is>
          <t>Paid</t>
        </is>
      </c>
      <c r="U7" s="25" t="inlineStr">
        <is>
          <t>Not Required</t>
        </is>
      </c>
      <c r="V7" s="27">
        <f>IFERROR(IF(A7="","",IF(D7="","Missing Vendor",IF(E7="","Missing Category",IF(O7&gt;'Assumptions'!$B$114,"High Expense",IF(AND(U7="No",T7&lt;&gt;"Canceled",T7&lt;&gt;"Excluded"),"Missing Receipt","OK"))))),"")</f>
        <v/>
      </c>
      <c r="W7" s="31" t="inlineStr">
        <is>
          <t>Monthly service</t>
        </is>
      </c>
    </row>
    <row r="8">
      <c r="A8" s="25" t="inlineStr">
        <is>
          <t>EXP-2026-005</t>
        </is>
      </c>
      <c r="B8" s="26" t="n">
        <v>46160</v>
      </c>
      <c r="C8" s="25" t="inlineStr">
        <is>
          <t>Blue Ridge Cabin</t>
        </is>
      </c>
      <c r="D8" s="25" t="inlineStr">
        <is>
          <t>StayReady Supply</t>
        </is>
      </c>
      <c r="E8" s="25" t="inlineStr">
        <is>
          <t>Supplies</t>
        </is>
      </c>
      <c r="F8" s="25" t="inlineStr">
        <is>
          <t>Operating</t>
        </is>
      </c>
      <c r="G8" s="25" t="inlineStr">
        <is>
          <t>Debit Card</t>
        </is>
      </c>
      <c r="H8" s="25" t="inlineStr">
        <is>
          <t>SR-5518</t>
        </is>
      </c>
      <c r="I8" s="31" t="inlineStr">
        <is>
          <t>Guest welcome supplies</t>
        </is>
      </c>
      <c r="J8" s="32" t="n">
        <v>12</v>
      </c>
      <c r="K8" s="49" t="n">
        <v>14.5</v>
      </c>
      <c r="L8" s="51">
        <f>IFERROR(IF(A8="","",IF(OR(J8="",K8=""),"",J8*K8)),"")</f>
        <v/>
      </c>
      <c r="M8" s="49" t="n">
        <v>12.18</v>
      </c>
      <c r="N8" s="49" t="n">
        <v>0</v>
      </c>
      <c r="O8" s="51">
        <f>IFERROR(IF(A8="","",L8+M8+N8),"")</f>
        <v/>
      </c>
      <c r="P8" s="32" t="n">
        <v>0</v>
      </c>
      <c r="Q8" s="49" t="n">
        <v>0</v>
      </c>
      <c r="R8" s="51">
        <f>IFERROR(IF(A8="","",IF(F8="Operating",O8,0)),"")</f>
        <v/>
      </c>
      <c r="S8" s="51">
        <f>IFERROR(IF(A8="","",IF(F8="Capital",O8,0)),"")</f>
        <v/>
      </c>
      <c r="T8" s="25" t="inlineStr">
        <is>
          <t>Paid</t>
        </is>
      </c>
      <c r="U8" s="25" t="inlineStr">
        <is>
          <t>No</t>
        </is>
      </c>
      <c r="V8" s="27">
        <f>IFERROR(IF(A8="","",IF(D8="","Missing Vendor",IF(E8="","Missing Category",IF(O8&gt;'Assumptions'!$B$114,"High Expense",IF(AND(U8="No",T8&lt;&gt;"Canceled",T8&lt;&gt;"Excluded"),"Missing Receipt","OK"))))),"")</f>
        <v/>
      </c>
      <c r="W8" s="31" t="inlineStr">
        <is>
          <t>Receipt needs follow-up</t>
        </is>
      </c>
    </row>
    <row r="9">
      <c r="A9" s="25" t="inlineStr">
        <is>
          <t>EXP-2026-006</t>
        </is>
      </c>
      <c r="B9" s="26" t="n">
        <v>46183</v>
      </c>
      <c r="C9" s="25" t="inlineStr">
        <is>
          <t>Desert Bloom Casita</t>
        </is>
      </c>
      <c r="D9" s="25" t="inlineStr">
        <is>
          <t>Desert Edge Landscaping</t>
        </is>
      </c>
      <c r="E9" s="25" t="inlineStr">
        <is>
          <t>Landscaping</t>
        </is>
      </c>
      <c r="F9" s="25" t="inlineStr">
        <is>
          <t>Operating</t>
        </is>
      </c>
      <c r="G9" s="25" t="inlineStr">
        <is>
          <t>Check</t>
        </is>
      </c>
      <c r="H9" s="25" t="inlineStr">
        <is>
          <t>LAND-610</t>
        </is>
      </c>
      <c r="I9" s="31" t="inlineStr">
        <is>
          <t>Landscape service</t>
        </is>
      </c>
      <c r="J9" s="32" t="n">
        <v>1</v>
      </c>
      <c r="K9" s="49" t="n">
        <v>325</v>
      </c>
      <c r="L9" s="51">
        <f>IFERROR(IF(A9="","",IF(OR(J9="",K9=""),"",J9*K9)),"")</f>
        <v/>
      </c>
      <c r="M9" s="49" t="n">
        <v>0</v>
      </c>
      <c r="N9" s="49" t="n">
        <v>35</v>
      </c>
      <c r="O9" s="51">
        <f>IFERROR(IF(A9="","",L9+M9+N9),"")</f>
        <v/>
      </c>
      <c r="P9" s="32" t="n">
        <v>0</v>
      </c>
      <c r="Q9" s="49" t="n">
        <v>0</v>
      </c>
      <c r="R9" s="51">
        <f>IFERROR(IF(A9="","",IF(F9="Operating",O9,0)),"")</f>
        <v/>
      </c>
      <c r="S9" s="51">
        <f>IFERROR(IF(A9="","",IF(F9="Capital",O9,0)),"")</f>
        <v/>
      </c>
      <c r="T9" s="25" t="inlineStr">
        <is>
          <t>Paid</t>
        </is>
      </c>
      <c r="U9" s="25" t="inlineStr">
        <is>
          <t>Yes</t>
        </is>
      </c>
      <c r="V9" s="27">
        <f>IFERROR(IF(A9="","",IF(D9="","Missing Vendor",IF(E9="","Missing Category",IF(O9&gt;'Assumptions'!$B$114,"High Expense",IF(AND(U9="No",T9&lt;&gt;"Canceled",T9&lt;&gt;"Excluded"),"Missing Receipt","OK"))))),"")</f>
        <v/>
      </c>
      <c r="W9" s="31" t="inlineStr">
        <is>
          <t>Seasonal service</t>
        </is>
      </c>
    </row>
    <row r="10">
      <c r="A10" s="25" t="inlineStr">
        <is>
          <t>EXP-2026-007</t>
        </is>
      </c>
      <c r="B10" s="26" t="n">
        <v>46210</v>
      </c>
      <c r="C10" s="25" t="inlineStr">
        <is>
          <t>Shared Portfolio</t>
        </is>
      </c>
      <c r="D10" s="25" t="inlineStr">
        <is>
          <t>Sunset Lens Studio</t>
        </is>
      </c>
      <c r="E10" s="25" t="inlineStr">
        <is>
          <t>Marketing</t>
        </is>
      </c>
      <c r="F10" s="25" t="inlineStr">
        <is>
          <t>Operating</t>
        </is>
      </c>
      <c r="G10" s="25" t="inlineStr">
        <is>
          <t>Credit Card</t>
        </is>
      </c>
      <c r="H10" s="25" t="inlineStr">
        <is>
          <t>PHOTO-707</t>
        </is>
      </c>
      <c r="I10" s="31" t="inlineStr">
        <is>
          <t>Booking photography</t>
        </is>
      </c>
      <c r="J10" s="32" t="n">
        <v>1</v>
      </c>
      <c r="K10" s="49" t="n">
        <v>875</v>
      </c>
      <c r="L10" s="51">
        <f>IFERROR(IF(A10="","",IF(OR(J10="",K10=""),"",J10*K10)),"")</f>
        <v/>
      </c>
      <c r="M10" s="49" t="n">
        <v>0</v>
      </c>
      <c r="N10" s="49" t="n">
        <v>0</v>
      </c>
      <c r="O10" s="51">
        <f>IFERROR(IF(A10="","",L10+M10+N10),"")</f>
        <v/>
      </c>
      <c r="P10" s="32" t="n">
        <v>0</v>
      </c>
      <c r="Q10" s="49" t="n">
        <v>0</v>
      </c>
      <c r="R10" s="51">
        <f>IFERROR(IF(A10="","",IF(F10="Operating",O10,0)),"")</f>
        <v/>
      </c>
      <c r="S10" s="51">
        <f>IFERROR(IF(A10="","",IF(F10="Capital",O10,0)),"")</f>
        <v/>
      </c>
      <c r="T10" s="25" t="inlineStr">
        <is>
          <t>Paid</t>
        </is>
      </c>
      <c r="U10" s="25" t="inlineStr">
        <is>
          <t>Yes</t>
        </is>
      </c>
      <c r="V10" s="27">
        <f>IFERROR(IF(A10="","",IF(D10="","Missing Vendor",IF(E10="","Missing Category",IF(O10&gt;'Assumptions'!$B$114,"High Expense",IF(AND(U10="No",T10&lt;&gt;"Canceled",T10&lt;&gt;"Excluded"),"Missing Receipt","OK"))))),"")</f>
        <v/>
      </c>
      <c r="W10" s="31" t="inlineStr">
        <is>
          <t>Portfolio marketing</t>
        </is>
      </c>
    </row>
    <row r="11">
      <c r="A11" s="25" t="inlineStr">
        <is>
          <t>EXP-2026-008</t>
        </is>
      </c>
      <c r="B11" s="26" t="n">
        <v>46250</v>
      </c>
      <c r="C11" s="25" t="inlineStr">
        <is>
          <t>Harbor View Cottage</t>
        </is>
      </c>
      <c r="D11" s="25" t="inlineStr">
        <is>
          <t>Seaside Turnovers LLC</t>
        </is>
      </c>
      <c r="E11" s="25" t="inlineStr">
        <is>
          <t>Labor</t>
        </is>
      </c>
      <c r="F11" s="25" t="inlineStr">
        <is>
          <t>Operating</t>
        </is>
      </c>
      <c r="G11" s="25" t="inlineStr">
        <is>
          <t>ACH</t>
        </is>
      </c>
      <c r="H11" s="25" t="inlineStr">
        <is>
          <t>LAB-816</t>
        </is>
      </c>
      <c r="I11" s="31" t="inlineStr">
        <is>
          <t>Cleaner labor</t>
        </is>
      </c>
      <c r="J11" s="32" t="n">
        <v>1</v>
      </c>
      <c r="K11" s="49" t="n">
        <v>420</v>
      </c>
      <c r="L11" s="51">
        <f>IFERROR(IF(A11="","",IF(OR(J11="",K11=""),"",J11*K11)),"")</f>
        <v/>
      </c>
      <c r="M11" s="49" t="n">
        <v>0</v>
      </c>
      <c r="N11" s="49" t="n">
        <v>0</v>
      </c>
      <c r="O11" s="51">
        <f>IFERROR(IF(A11="","",L11+M11+N11),"")</f>
        <v/>
      </c>
      <c r="P11" s="32" t="n">
        <v>16</v>
      </c>
      <c r="Q11" s="49" t="n">
        <v>420</v>
      </c>
      <c r="R11" s="51">
        <f>IFERROR(IF(A11="","",IF(F11="Operating",O11,0)),"")</f>
        <v/>
      </c>
      <c r="S11" s="51">
        <f>IFERROR(IF(A11="","",IF(F11="Capital",O11,0)),"")</f>
        <v/>
      </c>
      <c r="T11" s="25" t="inlineStr">
        <is>
          <t>Pending</t>
        </is>
      </c>
      <c r="U11" s="25" t="inlineStr">
        <is>
          <t>Yes</t>
        </is>
      </c>
      <c r="V11" s="27">
        <f>IFERROR(IF(A11="","",IF(D11="","Missing Vendor",IF(E11="","Missing Category",IF(O11&gt;'Assumptions'!$B$114,"High Expense",IF(AND(U11="No",T11&lt;&gt;"Canceled",T11&lt;&gt;"Excluded"),"Missing Receipt","OK"))))),"")</f>
        <v/>
      </c>
      <c r="W11" s="31" t="inlineStr">
        <is>
          <t>Pending cleaner invoice</t>
        </is>
      </c>
    </row>
    <row r="12">
      <c r="A12" s="25" t="inlineStr">
        <is>
          <t>EXP-2026-009</t>
        </is>
      </c>
      <c r="B12" s="26" t="n">
        <v>46266</v>
      </c>
      <c r="C12" s="25" t="inlineStr">
        <is>
          <t>Blue Ridge Cabin</t>
        </is>
      </c>
      <c r="D12" s="25" t="inlineStr">
        <is>
          <t>ClearPath Bookkeeping</t>
        </is>
      </c>
      <c r="E12" s="25" t="inlineStr">
        <is>
          <t>Insurance</t>
        </is>
      </c>
      <c r="F12" s="25" t="inlineStr">
        <is>
          <t>Operating</t>
        </is>
      </c>
      <c r="G12" s="25" t="inlineStr">
        <is>
          <t>ACH</t>
        </is>
      </c>
      <c r="H12" s="25" t="inlineStr">
        <is>
          <t>INS-901</t>
        </is>
      </c>
      <c r="I12" s="31" t="inlineStr">
        <is>
          <t>Property insurance installment</t>
        </is>
      </c>
      <c r="J12" s="32" t="n">
        <v>1</v>
      </c>
      <c r="K12" s="49" t="n">
        <v>680</v>
      </c>
      <c r="L12" s="51">
        <f>IFERROR(IF(A12="","",IF(OR(J12="",K12=""),"",J12*K12)),"")</f>
        <v/>
      </c>
      <c r="M12" s="49" t="n">
        <v>0</v>
      </c>
      <c r="N12" s="49" t="n">
        <v>0</v>
      </c>
      <c r="O12" s="51">
        <f>IFERROR(IF(A12="","",L12+M12+N12),"")</f>
        <v/>
      </c>
      <c r="P12" s="32" t="n">
        <v>0</v>
      </c>
      <c r="Q12" s="49" t="n">
        <v>0</v>
      </c>
      <c r="R12" s="51">
        <f>IFERROR(IF(A12="","",IF(F12="Operating",O12,0)),"")</f>
        <v/>
      </c>
      <c r="S12" s="51">
        <f>IFERROR(IF(A12="","",IF(F12="Capital",O12,0)),"")</f>
        <v/>
      </c>
      <c r="T12" s="25" t="inlineStr">
        <is>
          <t>Paid</t>
        </is>
      </c>
      <c r="U12" s="25" t="inlineStr">
        <is>
          <t>Yes</t>
        </is>
      </c>
      <c r="V12" s="27">
        <f>IFERROR(IF(A12="","",IF(D12="","Missing Vendor",IF(E12="","Missing Category",IF(O12&gt;'Assumptions'!$B$114,"High Expense",IF(AND(U12="No",T12&lt;&gt;"Canceled",T12&lt;&gt;"Excluded"),"Missing Receipt","OK"))))),"")</f>
        <v/>
      </c>
      <c r="W12" s="31" t="inlineStr">
        <is>
          <t>Insurance installment</t>
        </is>
      </c>
    </row>
    <row r="13">
      <c r="A13" s="25" t="inlineStr">
        <is>
          <t>EXP-2026-010</t>
        </is>
      </c>
      <c r="B13" s="26" t="n">
        <v>46315</v>
      </c>
      <c r="C13" s="25" t="inlineStr">
        <is>
          <t>Desert Bloom Casita</t>
        </is>
      </c>
      <c r="D13" s="25" t="inlineStr">
        <is>
          <t>Patio Works Co.</t>
        </is>
      </c>
      <c r="E13" s="25" t="inlineStr">
        <is>
          <t>Capital Improvement</t>
        </is>
      </c>
      <c r="F13" s="25" t="inlineStr">
        <is>
          <t>Capital</t>
        </is>
      </c>
      <c r="G13" s="25" t="inlineStr">
        <is>
          <t>Credit Card</t>
        </is>
      </c>
      <c r="H13" s="25" t="inlineStr">
        <is>
          <t>CAP-1020</t>
        </is>
      </c>
      <c r="I13" s="31" t="inlineStr">
        <is>
          <t>Replacement patio furniture</t>
        </is>
      </c>
      <c r="J13" s="32" t="n">
        <v>1</v>
      </c>
      <c r="K13" s="49" t="n">
        <v>2200</v>
      </c>
      <c r="L13" s="51">
        <f>IFERROR(IF(A13="","",IF(OR(J13="",K13=""),"",J13*K13)),"")</f>
        <v/>
      </c>
      <c r="M13" s="49" t="n">
        <v>176</v>
      </c>
      <c r="N13" s="49" t="n">
        <v>0</v>
      </c>
      <c r="O13" s="51">
        <f>IFERROR(IF(A13="","",L13+M13+N13),"")</f>
        <v/>
      </c>
      <c r="P13" s="32" t="n">
        <v>0</v>
      </c>
      <c r="Q13" s="49" t="n">
        <v>0</v>
      </c>
      <c r="R13" s="51">
        <f>IFERROR(IF(A13="","",IF(F13="Operating",O13,0)),"")</f>
        <v/>
      </c>
      <c r="S13" s="51">
        <f>IFERROR(IF(A13="","",IF(F13="Capital",O13,0)),"")</f>
        <v/>
      </c>
      <c r="T13" s="25" t="inlineStr">
        <is>
          <t>Paid</t>
        </is>
      </c>
      <c r="U13" s="25" t="inlineStr">
        <is>
          <t>Yes</t>
        </is>
      </c>
      <c r="V13" s="27">
        <f>IFERROR(IF(A13="","",IF(D13="","Missing Vendor",IF(E13="","Missing Category",IF(O13&gt;'Assumptions'!$B$114,"High Expense",IF(AND(U13="No",T13&lt;&gt;"Canceled",T13&lt;&gt;"Excluded"),"Missing Receipt","OK"))))),"")</f>
        <v/>
      </c>
      <c r="W13" s="31" t="inlineStr">
        <is>
          <t>Capital item excluded from operations</t>
        </is>
      </c>
    </row>
    <row r="14">
      <c r="A14" s="25" t="n"/>
      <c r="B14" s="26" t="n"/>
      <c r="C14" s="25" t="n"/>
      <c r="D14" s="25" t="n"/>
      <c r="E14" s="25" t="n"/>
      <c r="F14" s="25" t="n"/>
      <c r="G14" s="25" t="n"/>
      <c r="H14" s="25" t="n"/>
      <c r="I14" s="31" t="n"/>
      <c r="J14" s="32" t="n"/>
      <c r="K14" s="49" t="n"/>
      <c r="L14" s="51">
        <f>IFERROR(IF(A14="","",IF(OR(J14="",K14=""),"",J14*K14)),"")</f>
        <v/>
      </c>
      <c r="M14" s="49" t="n"/>
      <c r="N14" s="49" t="n"/>
      <c r="O14" s="51">
        <f>IFERROR(IF(A14="","",L14+M14+N14),"")</f>
        <v/>
      </c>
      <c r="P14" s="32" t="n"/>
      <c r="Q14" s="49" t="n"/>
      <c r="R14" s="51">
        <f>IFERROR(IF(A14="","",IF(F14="Operating",O14,0)),"")</f>
        <v/>
      </c>
      <c r="S14" s="51">
        <f>IFERROR(IF(A14="","",IF(F14="Capital",O14,0)),"")</f>
        <v/>
      </c>
      <c r="T14" s="25" t="n"/>
      <c r="U14" s="25" t="n"/>
      <c r="V14" s="27">
        <f>IFERROR(IF(A14="","",IF(D14="","Missing Vendor",IF(E14="","Missing Category",IF(O14&gt;'Assumptions'!$B$114,"High Expense",IF(AND(U14="No",T14&lt;&gt;"Canceled",T14&lt;&gt;"Excluded"),"Missing Receipt","OK"))))),"")</f>
        <v/>
      </c>
      <c r="W14" s="31" t="n"/>
    </row>
    <row r="15">
      <c r="A15" s="25" t="n"/>
      <c r="B15" s="26" t="n"/>
      <c r="C15" s="25" t="n"/>
      <c r="D15" s="25" t="n"/>
      <c r="E15" s="25" t="n"/>
      <c r="F15" s="25" t="n"/>
      <c r="G15" s="25" t="n"/>
      <c r="H15" s="25" t="n"/>
      <c r="I15" s="31" t="n"/>
      <c r="J15" s="32" t="n"/>
      <c r="K15" s="49" t="n"/>
      <c r="L15" s="51">
        <f>IFERROR(IF(A15="","",IF(OR(J15="",K15=""),"",J15*K15)),"")</f>
        <v/>
      </c>
      <c r="M15" s="49" t="n"/>
      <c r="N15" s="49" t="n"/>
      <c r="O15" s="51">
        <f>IFERROR(IF(A15="","",L15+M15+N15),"")</f>
        <v/>
      </c>
      <c r="P15" s="32" t="n"/>
      <c r="Q15" s="49" t="n"/>
      <c r="R15" s="51">
        <f>IFERROR(IF(A15="","",IF(F15="Operating",O15,0)),"")</f>
        <v/>
      </c>
      <c r="S15" s="51">
        <f>IFERROR(IF(A15="","",IF(F15="Capital",O15,0)),"")</f>
        <v/>
      </c>
      <c r="T15" s="25" t="n"/>
      <c r="U15" s="25" t="n"/>
      <c r="V15" s="27">
        <f>IFERROR(IF(A15="","",IF(D15="","Missing Vendor",IF(E15="","Missing Category",IF(O15&gt;'Assumptions'!$B$114,"High Expense",IF(AND(U15="No",T15&lt;&gt;"Canceled",T15&lt;&gt;"Excluded"),"Missing Receipt","OK"))))),"")</f>
        <v/>
      </c>
      <c r="W15" s="31" t="n"/>
    </row>
    <row r="16">
      <c r="A16" s="25" t="n"/>
      <c r="B16" s="26" t="n"/>
      <c r="C16" s="25" t="n"/>
      <c r="D16" s="25" t="n"/>
      <c r="E16" s="25" t="n"/>
      <c r="F16" s="25" t="n"/>
      <c r="G16" s="25" t="n"/>
      <c r="H16" s="25" t="n"/>
      <c r="I16" s="31" t="n"/>
      <c r="J16" s="32" t="n"/>
      <c r="K16" s="49" t="n"/>
      <c r="L16" s="51">
        <f>IFERROR(IF(A16="","",IF(OR(J16="",K16=""),"",J16*K16)),"")</f>
        <v/>
      </c>
      <c r="M16" s="49" t="n"/>
      <c r="N16" s="49" t="n"/>
      <c r="O16" s="51">
        <f>IFERROR(IF(A16="","",L16+M16+N16),"")</f>
        <v/>
      </c>
      <c r="P16" s="32" t="n"/>
      <c r="Q16" s="49" t="n"/>
      <c r="R16" s="51">
        <f>IFERROR(IF(A16="","",IF(F16="Operating",O16,0)),"")</f>
        <v/>
      </c>
      <c r="S16" s="51">
        <f>IFERROR(IF(A16="","",IF(F16="Capital",O16,0)),"")</f>
        <v/>
      </c>
      <c r="T16" s="25" t="n"/>
      <c r="U16" s="25" t="n"/>
      <c r="V16" s="27">
        <f>IFERROR(IF(A16="","",IF(D16="","Missing Vendor",IF(E16="","Missing Category",IF(O16&gt;'Assumptions'!$B$114,"High Expense",IF(AND(U16="No",T16&lt;&gt;"Canceled",T16&lt;&gt;"Excluded"),"Missing Receipt","OK"))))),"")</f>
        <v/>
      </c>
      <c r="W16" s="31" t="n"/>
    </row>
    <row r="17">
      <c r="A17" s="25" t="n"/>
      <c r="B17" s="26" t="n"/>
      <c r="C17" s="25" t="n"/>
      <c r="D17" s="25" t="n"/>
      <c r="E17" s="25" t="n"/>
      <c r="F17" s="25" t="n"/>
      <c r="G17" s="25" t="n"/>
      <c r="H17" s="25" t="n"/>
      <c r="I17" s="31" t="n"/>
      <c r="J17" s="32" t="n"/>
      <c r="K17" s="49" t="n"/>
      <c r="L17" s="51">
        <f>IFERROR(IF(A17="","",IF(OR(J17="",K17=""),"",J17*K17)),"")</f>
        <v/>
      </c>
      <c r="M17" s="49" t="n"/>
      <c r="N17" s="49" t="n"/>
      <c r="O17" s="51">
        <f>IFERROR(IF(A17="","",L17+M17+N17),"")</f>
        <v/>
      </c>
      <c r="P17" s="32" t="n"/>
      <c r="Q17" s="49" t="n"/>
      <c r="R17" s="51">
        <f>IFERROR(IF(A17="","",IF(F17="Operating",O17,0)),"")</f>
        <v/>
      </c>
      <c r="S17" s="51">
        <f>IFERROR(IF(A17="","",IF(F17="Capital",O17,0)),"")</f>
        <v/>
      </c>
      <c r="T17" s="25" t="n"/>
      <c r="U17" s="25" t="n"/>
      <c r="V17" s="27">
        <f>IFERROR(IF(A17="","",IF(D17="","Missing Vendor",IF(E17="","Missing Category",IF(O17&gt;'Assumptions'!$B$114,"High Expense",IF(AND(U17="No",T17&lt;&gt;"Canceled",T17&lt;&gt;"Excluded"),"Missing Receipt","OK"))))),"")</f>
        <v/>
      </c>
      <c r="W17" s="31" t="n"/>
    </row>
    <row r="18">
      <c r="A18" s="25" t="n"/>
      <c r="B18" s="26" t="n"/>
      <c r="C18" s="25" t="n"/>
      <c r="D18" s="25" t="n"/>
      <c r="E18" s="25" t="n"/>
      <c r="F18" s="25" t="n"/>
      <c r="G18" s="25" t="n"/>
      <c r="H18" s="25" t="n"/>
      <c r="I18" s="31" t="n"/>
      <c r="J18" s="32" t="n"/>
      <c r="K18" s="49" t="n"/>
      <c r="L18" s="51">
        <f>IFERROR(IF(A18="","",IF(OR(J18="",K18=""),"",J18*K18)),"")</f>
        <v/>
      </c>
      <c r="M18" s="49" t="n"/>
      <c r="N18" s="49" t="n"/>
      <c r="O18" s="51">
        <f>IFERROR(IF(A18="","",L18+M18+N18),"")</f>
        <v/>
      </c>
      <c r="P18" s="32" t="n"/>
      <c r="Q18" s="49" t="n"/>
      <c r="R18" s="51">
        <f>IFERROR(IF(A18="","",IF(F18="Operating",O18,0)),"")</f>
        <v/>
      </c>
      <c r="S18" s="51">
        <f>IFERROR(IF(A18="","",IF(F18="Capital",O18,0)),"")</f>
        <v/>
      </c>
      <c r="T18" s="25" t="n"/>
      <c r="U18" s="25" t="n"/>
      <c r="V18" s="27">
        <f>IFERROR(IF(A18="","",IF(D18="","Missing Vendor",IF(E18="","Missing Category",IF(O18&gt;'Assumptions'!$B$114,"High Expense",IF(AND(U18="No",T18&lt;&gt;"Canceled",T18&lt;&gt;"Excluded"),"Missing Receipt","OK"))))),"")</f>
        <v/>
      </c>
      <c r="W18" s="31" t="n"/>
    </row>
    <row r="19">
      <c r="A19" s="25" t="n"/>
      <c r="B19" s="26" t="n"/>
      <c r="C19" s="25" t="n"/>
      <c r="D19" s="25" t="n"/>
      <c r="E19" s="25" t="n"/>
      <c r="F19" s="25" t="n"/>
      <c r="G19" s="25" t="n"/>
      <c r="H19" s="25" t="n"/>
      <c r="I19" s="31" t="n"/>
      <c r="J19" s="32" t="n"/>
      <c r="K19" s="49" t="n"/>
      <c r="L19" s="51">
        <f>IFERROR(IF(A19="","",IF(OR(J19="",K19=""),"",J19*K19)),"")</f>
        <v/>
      </c>
      <c r="M19" s="49" t="n"/>
      <c r="N19" s="49" t="n"/>
      <c r="O19" s="51">
        <f>IFERROR(IF(A19="","",L19+M19+N19),"")</f>
        <v/>
      </c>
      <c r="P19" s="32" t="n"/>
      <c r="Q19" s="49" t="n"/>
      <c r="R19" s="51">
        <f>IFERROR(IF(A19="","",IF(F19="Operating",O19,0)),"")</f>
        <v/>
      </c>
      <c r="S19" s="51">
        <f>IFERROR(IF(A19="","",IF(F19="Capital",O19,0)),"")</f>
        <v/>
      </c>
      <c r="T19" s="25" t="n"/>
      <c r="U19" s="25" t="n"/>
      <c r="V19" s="27">
        <f>IFERROR(IF(A19="","",IF(D19="","Missing Vendor",IF(E19="","Missing Category",IF(O19&gt;'Assumptions'!$B$114,"High Expense",IF(AND(U19="No",T19&lt;&gt;"Canceled",T19&lt;&gt;"Excluded"),"Missing Receipt","OK"))))),"")</f>
        <v/>
      </c>
      <c r="W19" s="31" t="n"/>
    </row>
    <row r="20">
      <c r="A20" s="25" t="n"/>
      <c r="B20" s="26" t="n"/>
      <c r="C20" s="25" t="n"/>
      <c r="D20" s="25" t="n"/>
      <c r="E20" s="25" t="n"/>
      <c r="F20" s="25" t="n"/>
      <c r="G20" s="25" t="n"/>
      <c r="H20" s="25" t="n"/>
      <c r="I20" s="31" t="n"/>
      <c r="J20" s="32" t="n"/>
      <c r="K20" s="49" t="n"/>
      <c r="L20" s="51">
        <f>IFERROR(IF(A20="","",IF(OR(J20="",K20=""),"",J20*K20)),"")</f>
        <v/>
      </c>
      <c r="M20" s="49" t="n"/>
      <c r="N20" s="49" t="n"/>
      <c r="O20" s="51">
        <f>IFERROR(IF(A20="","",L20+M20+N20),"")</f>
        <v/>
      </c>
      <c r="P20" s="32" t="n"/>
      <c r="Q20" s="49" t="n"/>
      <c r="R20" s="51">
        <f>IFERROR(IF(A20="","",IF(F20="Operating",O20,0)),"")</f>
        <v/>
      </c>
      <c r="S20" s="51">
        <f>IFERROR(IF(A20="","",IF(F20="Capital",O20,0)),"")</f>
        <v/>
      </c>
      <c r="T20" s="25" t="n"/>
      <c r="U20" s="25" t="n"/>
      <c r="V20" s="27">
        <f>IFERROR(IF(A20="","",IF(D20="","Missing Vendor",IF(E20="","Missing Category",IF(O20&gt;'Assumptions'!$B$114,"High Expense",IF(AND(U20="No",T20&lt;&gt;"Canceled",T20&lt;&gt;"Excluded"),"Missing Receipt","OK"))))),"")</f>
        <v/>
      </c>
      <c r="W20" s="31" t="n"/>
    </row>
    <row r="21">
      <c r="A21" s="25" t="n"/>
      <c r="B21" s="26" t="n"/>
      <c r="C21" s="25" t="n"/>
      <c r="D21" s="25" t="n"/>
      <c r="E21" s="25" t="n"/>
      <c r="F21" s="25" t="n"/>
      <c r="G21" s="25" t="n"/>
      <c r="H21" s="25" t="n"/>
      <c r="I21" s="31" t="n"/>
      <c r="J21" s="32" t="n"/>
      <c r="K21" s="49" t="n"/>
      <c r="L21" s="51">
        <f>IFERROR(IF(A21="","",IF(OR(J21="",K21=""),"",J21*K21)),"")</f>
        <v/>
      </c>
      <c r="M21" s="49" t="n"/>
      <c r="N21" s="49" t="n"/>
      <c r="O21" s="51">
        <f>IFERROR(IF(A21="","",L21+M21+N21),"")</f>
        <v/>
      </c>
      <c r="P21" s="32" t="n"/>
      <c r="Q21" s="49" t="n"/>
      <c r="R21" s="51">
        <f>IFERROR(IF(A21="","",IF(F21="Operating",O21,0)),"")</f>
        <v/>
      </c>
      <c r="S21" s="51">
        <f>IFERROR(IF(A21="","",IF(F21="Capital",O21,0)),"")</f>
        <v/>
      </c>
      <c r="T21" s="25" t="n"/>
      <c r="U21" s="25" t="n"/>
      <c r="V21" s="27">
        <f>IFERROR(IF(A21="","",IF(D21="","Missing Vendor",IF(E21="","Missing Category",IF(O21&gt;'Assumptions'!$B$114,"High Expense",IF(AND(U21="No",T21&lt;&gt;"Canceled",T21&lt;&gt;"Excluded"),"Missing Receipt","OK"))))),"")</f>
        <v/>
      </c>
      <c r="W21" s="31" t="n"/>
    </row>
    <row r="22">
      <c r="A22" s="25" t="n"/>
      <c r="B22" s="26" t="n"/>
      <c r="C22" s="25" t="n"/>
      <c r="D22" s="25" t="n"/>
      <c r="E22" s="25" t="n"/>
      <c r="F22" s="25" t="n"/>
      <c r="G22" s="25" t="n"/>
      <c r="H22" s="25" t="n"/>
      <c r="I22" s="31" t="n"/>
      <c r="J22" s="32" t="n"/>
      <c r="K22" s="49" t="n"/>
      <c r="L22" s="51">
        <f>IFERROR(IF(A22="","",IF(OR(J22="",K22=""),"",J22*K22)),"")</f>
        <v/>
      </c>
      <c r="M22" s="49" t="n"/>
      <c r="N22" s="49" t="n"/>
      <c r="O22" s="51">
        <f>IFERROR(IF(A22="","",L22+M22+N22),"")</f>
        <v/>
      </c>
      <c r="P22" s="32" t="n"/>
      <c r="Q22" s="49" t="n"/>
      <c r="R22" s="51">
        <f>IFERROR(IF(A22="","",IF(F22="Operating",O22,0)),"")</f>
        <v/>
      </c>
      <c r="S22" s="51">
        <f>IFERROR(IF(A22="","",IF(F22="Capital",O22,0)),"")</f>
        <v/>
      </c>
      <c r="T22" s="25" t="n"/>
      <c r="U22" s="25" t="n"/>
      <c r="V22" s="27">
        <f>IFERROR(IF(A22="","",IF(D22="","Missing Vendor",IF(E22="","Missing Category",IF(O22&gt;'Assumptions'!$B$114,"High Expense",IF(AND(U22="No",T22&lt;&gt;"Canceled",T22&lt;&gt;"Excluded"),"Missing Receipt","OK"))))),"")</f>
        <v/>
      </c>
      <c r="W22" s="31" t="n"/>
    </row>
    <row r="23">
      <c r="A23" s="25" t="n"/>
      <c r="B23" s="26" t="n"/>
      <c r="C23" s="25" t="n"/>
      <c r="D23" s="25" t="n"/>
      <c r="E23" s="25" t="n"/>
      <c r="F23" s="25" t="n"/>
      <c r="G23" s="25" t="n"/>
      <c r="H23" s="25" t="n"/>
      <c r="I23" s="31" t="n"/>
      <c r="J23" s="32" t="n"/>
      <c r="K23" s="49" t="n"/>
      <c r="L23" s="51">
        <f>IFERROR(IF(A23="","",IF(OR(J23="",K23=""),"",J23*K23)),"")</f>
        <v/>
      </c>
      <c r="M23" s="49" t="n"/>
      <c r="N23" s="49" t="n"/>
      <c r="O23" s="51">
        <f>IFERROR(IF(A23="","",L23+M23+N23),"")</f>
        <v/>
      </c>
      <c r="P23" s="32" t="n"/>
      <c r="Q23" s="49" t="n"/>
      <c r="R23" s="51">
        <f>IFERROR(IF(A23="","",IF(F23="Operating",O23,0)),"")</f>
        <v/>
      </c>
      <c r="S23" s="51">
        <f>IFERROR(IF(A23="","",IF(F23="Capital",O23,0)),"")</f>
        <v/>
      </c>
      <c r="T23" s="25" t="n"/>
      <c r="U23" s="25" t="n"/>
      <c r="V23" s="27">
        <f>IFERROR(IF(A23="","",IF(D23="","Missing Vendor",IF(E23="","Missing Category",IF(O23&gt;'Assumptions'!$B$114,"High Expense",IF(AND(U23="No",T23&lt;&gt;"Canceled",T23&lt;&gt;"Excluded"),"Missing Receipt","OK"))))),"")</f>
        <v/>
      </c>
      <c r="W23" s="31" t="n"/>
    </row>
    <row r="24">
      <c r="A24" s="25" t="n"/>
      <c r="B24" s="26" t="n"/>
      <c r="C24" s="25" t="n"/>
      <c r="D24" s="25" t="n"/>
      <c r="E24" s="25" t="n"/>
      <c r="F24" s="25" t="n"/>
      <c r="G24" s="25" t="n"/>
      <c r="H24" s="25" t="n"/>
      <c r="I24" s="31" t="n"/>
      <c r="J24" s="32" t="n"/>
      <c r="K24" s="49" t="n"/>
      <c r="L24" s="51">
        <f>IFERROR(IF(A24="","",IF(OR(J24="",K24=""),"",J24*K24)),"")</f>
        <v/>
      </c>
      <c r="M24" s="49" t="n"/>
      <c r="N24" s="49" t="n"/>
      <c r="O24" s="51">
        <f>IFERROR(IF(A24="","",L24+M24+N24),"")</f>
        <v/>
      </c>
      <c r="P24" s="32" t="n"/>
      <c r="Q24" s="49" t="n"/>
      <c r="R24" s="51">
        <f>IFERROR(IF(A24="","",IF(F24="Operating",O24,0)),"")</f>
        <v/>
      </c>
      <c r="S24" s="51">
        <f>IFERROR(IF(A24="","",IF(F24="Capital",O24,0)),"")</f>
        <v/>
      </c>
      <c r="T24" s="25" t="n"/>
      <c r="U24" s="25" t="n"/>
      <c r="V24" s="27">
        <f>IFERROR(IF(A24="","",IF(D24="","Missing Vendor",IF(E24="","Missing Category",IF(O24&gt;'Assumptions'!$B$114,"High Expense",IF(AND(U24="No",T24&lt;&gt;"Canceled",T24&lt;&gt;"Excluded"),"Missing Receipt","OK"))))),"")</f>
        <v/>
      </c>
      <c r="W24" s="31" t="n"/>
    </row>
    <row r="25">
      <c r="A25" s="25" t="n"/>
      <c r="B25" s="26" t="n"/>
      <c r="C25" s="25" t="n"/>
      <c r="D25" s="25" t="n"/>
      <c r="E25" s="25" t="n"/>
      <c r="F25" s="25" t="n"/>
      <c r="G25" s="25" t="n"/>
      <c r="H25" s="25" t="n"/>
      <c r="I25" s="31" t="n"/>
      <c r="J25" s="32" t="n"/>
      <c r="K25" s="49" t="n"/>
      <c r="L25" s="51">
        <f>IFERROR(IF(A25="","",IF(OR(J25="",K25=""),"",J25*K25)),"")</f>
        <v/>
      </c>
      <c r="M25" s="49" t="n"/>
      <c r="N25" s="49" t="n"/>
      <c r="O25" s="51">
        <f>IFERROR(IF(A25="","",L25+M25+N25),"")</f>
        <v/>
      </c>
      <c r="P25" s="32" t="n"/>
      <c r="Q25" s="49" t="n"/>
      <c r="R25" s="51">
        <f>IFERROR(IF(A25="","",IF(F25="Operating",O25,0)),"")</f>
        <v/>
      </c>
      <c r="S25" s="51">
        <f>IFERROR(IF(A25="","",IF(F25="Capital",O25,0)),"")</f>
        <v/>
      </c>
      <c r="T25" s="25" t="n"/>
      <c r="U25" s="25" t="n"/>
      <c r="V25" s="27">
        <f>IFERROR(IF(A25="","",IF(D25="","Missing Vendor",IF(E25="","Missing Category",IF(O25&gt;'Assumptions'!$B$114,"High Expense",IF(AND(U25="No",T25&lt;&gt;"Canceled",T25&lt;&gt;"Excluded"),"Missing Receipt","OK"))))),"")</f>
        <v/>
      </c>
      <c r="W25" s="31" t="n"/>
    </row>
    <row r="26">
      <c r="A26" s="25" t="n"/>
      <c r="B26" s="26" t="n"/>
      <c r="C26" s="25" t="n"/>
      <c r="D26" s="25" t="n"/>
      <c r="E26" s="25" t="n"/>
      <c r="F26" s="25" t="n"/>
      <c r="G26" s="25" t="n"/>
      <c r="H26" s="25" t="n"/>
      <c r="I26" s="31" t="n"/>
      <c r="J26" s="32" t="n"/>
      <c r="K26" s="49" t="n"/>
      <c r="L26" s="51">
        <f>IFERROR(IF(A26="","",IF(OR(J26="",K26=""),"",J26*K26)),"")</f>
        <v/>
      </c>
      <c r="M26" s="49" t="n"/>
      <c r="N26" s="49" t="n"/>
      <c r="O26" s="51">
        <f>IFERROR(IF(A26="","",L26+M26+N26),"")</f>
        <v/>
      </c>
      <c r="P26" s="32" t="n"/>
      <c r="Q26" s="49" t="n"/>
      <c r="R26" s="51">
        <f>IFERROR(IF(A26="","",IF(F26="Operating",O26,0)),"")</f>
        <v/>
      </c>
      <c r="S26" s="51">
        <f>IFERROR(IF(A26="","",IF(F26="Capital",O26,0)),"")</f>
        <v/>
      </c>
      <c r="T26" s="25" t="n"/>
      <c r="U26" s="25" t="n"/>
      <c r="V26" s="27">
        <f>IFERROR(IF(A26="","",IF(D26="","Missing Vendor",IF(E26="","Missing Category",IF(O26&gt;'Assumptions'!$B$114,"High Expense",IF(AND(U26="No",T26&lt;&gt;"Canceled",T26&lt;&gt;"Excluded"),"Missing Receipt","OK"))))),"")</f>
        <v/>
      </c>
      <c r="W26" s="31" t="n"/>
    </row>
    <row r="27">
      <c r="A27" s="25" t="n"/>
      <c r="B27" s="26" t="n"/>
      <c r="C27" s="25" t="n"/>
      <c r="D27" s="25" t="n"/>
      <c r="E27" s="25" t="n"/>
      <c r="F27" s="25" t="n"/>
      <c r="G27" s="25" t="n"/>
      <c r="H27" s="25" t="n"/>
      <c r="I27" s="31" t="n"/>
      <c r="J27" s="32" t="n"/>
      <c r="K27" s="49" t="n"/>
      <c r="L27" s="51">
        <f>IFERROR(IF(A27="","",IF(OR(J27="",K27=""),"",J27*K27)),"")</f>
        <v/>
      </c>
      <c r="M27" s="49" t="n"/>
      <c r="N27" s="49" t="n"/>
      <c r="O27" s="51">
        <f>IFERROR(IF(A27="","",L27+M27+N27),"")</f>
        <v/>
      </c>
      <c r="P27" s="32" t="n"/>
      <c r="Q27" s="49" t="n"/>
      <c r="R27" s="51">
        <f>IFERROR(IF(A27="","",IF(F27="Operating",O27,0)),"")</f>
        <v/>
      </c>
      <c r="S27" s="51">
        <f>IFERROR(IF(A27="","",IF(F27="Capital",O27,0)),"")</f>
        <v/>
      </c>
      <c r="T27" s="25" t="n"/>
      <c r="U27" s="25" t="n"/>
      <c r="V27" s="27">
        <f>IFERROR(IF(A27="","",IF(D27="","Missing Vendor",IF(E27="","Missing Category",IF(O27&gt;'Assumptions'!$B$114,"High Expense",IF(AND(U27="No",T27&lt;&gt;"Canceled",T27&lt;&gt;"Excluded"),"Missing Receipt","OK"))))),"")</f>
        <v/>
      </c>
      <c r="W27" s="31" t="n"/>
    </row>
    <row r="28">
      <c r="A28" s="25" t="n"/>
      <c r="B28" s="26" t="n"/>
      <c r="C28" s="25" t="n"/>
      <c r="D28" s="25" t="n"/>
      <c r="E28" s="25" t="n"/>
      <c r="F28" s="25" t="n"/>
      <c r="G28" s="25" t="n"/>
      <c r="H28" s="25" t="n"/>
      <c r="I28" s="31" t="n"/>
      <c r="J28" s="32" t="n"/>
      <c r="K28" s="49" t="n"/>
      <c r="L28" s="51">
        <f>IFERROR(IF(A28="","",IF(OR(J28="",K28=""),"",J28*K28)),"")</f>
        <v/>
      </c>
      <c r="M28" s="49" t="n"/>
      <c r="N28" s="49" t="n"/>
      <c r="O28" s="51">
        <f>IFERROR(IF(A28="","",L28+M28+N28),"")</f>
        <v/>
      </c>
      <c r="P28" s="32" t="n"/>
      <c r="Q28" s="49" t="n"/>
      <c r="R28" s="51">
        <f>IFERROR(IF(A28="","",IF(F28="Operating",O28,0)),"")</f>
        <v/>
      </c>
      <c r="S28" s="51">
        <f>IFERROR(IF(A28="","",IF(F28="Capital",O28,0)),"")</f>
        <v/>
      </c>
      <c r="T28" s="25" t="n"/>
      <c r="U28" s="25" t="n"/>
      <c r="V28" s="27">
        <f>IFERROR(IF(A28="","",IF(D28="","Missing Vendor",IF(E28="","Missing Category",IF(O28&gt;'Assumptions'!$B$114,"High Expense",IF(AND(U28="No",T28&lt;&gt;"Canceled",T28&lt;&gt;"Excluded"),"Missing Receipt","OK"))))),"")</f>
        <v/>
      </c>
      <c r="W28" s="31" t="n"/>
    </row>
    <row r="29">
      <c r="A29" s="25" t="n"/>
      <c r="B29" s="26" t="n"/>
      <c r="C29" s="25" t="n"/>
      <c r="D29" s="25" t="n"/>
      <c r="E29" s="25" t="n"/>
      <c r="F29" s="25" t="n"/>
      <c r="G29" s="25" t="n"/>
      <c r="H29" s="25" t="n"/>
      <c r="I29" s="31" t="n"/>
      <c r="J29" s="32" t="n"/>
      <c r="K29" s="49" t="n"/>
      <c r="L29" s="51">
        <f>IFERROR(IF(A29="","",IF(OR(J29="",K29=""),"",J29*K29)),"")</f>
        <v/>
      </c>
      <c r="M29" s="49" t="n"/>
      <c r="N29" s="49" t="n"/>
      <c r="O29" s="51">
        <f>IFERROR(IF(A29="","",L29+M29+N29),"")</f>
        <v/>
      </c>
      <c r="P29" s="32" t="n"/>
      <c r="Q29" s="49" t="n"/>
      <c r="R29" s="51">
        <f>IFERROR(IF(A29="","",IF(F29="Operating",O29,0)),"")</f>
        <v/>
      </c>
      <c r="S29" s="51">
        <f>IFERROR(IF(A29="","",IF(F29="Capital",O29,0)),"")</f>
        <v/>
      </c>
      <c r="T29" s="25" t="n"/>
      <c r="U29" s="25" t="n"/>
      <c r="V29" s="27">
        <f>IFERROR(IF(A29="","",IF(D29="","Missing Vendor",IF(E29="","Missing Category",IF(O29&gt;'Assumptions'!$B$114,"High Expense",IF(AND(U29="No",T29&lt;&gt;"Canceled",T29&lt;&gt;"Excluded"),"Missing Receipt","OK"))))),"")</f>
        <v/>
      </c>
      <c r="W29" s="31" t="n"/>
    </row>
    <row r="30">
      <c r="A30" s="25" t="n"/>
      <c r="B30" s="26" t="n"/>
      <c r="C30" s="25" t="n"/>
      <c r="D30" s="25" t="n"/>
      <c r="E30" s="25" t="n"/>
      <c r="F30" s="25" t="n"/>
      <c r="G30" s="25" t="n"/>
      <c r="H30" s="25" t="n"/>
      <c r="I30" s="31" t="n"/>
      <c r="J30" s="32" t="n"/>
      <c r="K30" s="49" t="n"/>
      <c r="L30" s="51">
        <f>IFERROR(IF(A30="","",IF(OR(J30="",K30=""),"",J30*K30)),"")</f>
        <v/>
      </c>
      <c r="M30" s="49" t="n"/>
      <c r="N30" s="49" t="n"/>
      <c r="O30" s="51">
        <f>IFERROR(IF(A30="","",L30+M30+N30),"")</f>
        <v/>
      </c>
      <c r="P30" s="32" t="n"/>
      <c r="Q30" s="49" t="n"/>
      <c r="R30" s="51">
        <f>IFERROR(IF(A30="","",IF(F30="Operating",O30,0)),"")</f>
        <v/>
      </c>
      <c r="S30" s="51">
        <f>IFERROR(IF(A30="","",IF(F30="Capital",O30,0)),"")</f>
        <v/>
      </c>
      <c r="T30" s="25" t="n"/>
      <c r="U30" s="25" t="n"/>
      <c r="V30" s="27">
        <f>IFERROR(IF(A30="","",IF(D30="","Missing Vendor",IF(E30="","Missing Category",IF(O30&gt;'Assumptions'!$B$114,"High Expense",IF(AND(U30="No",T30&lt;&gt;"Canceled",T30&lt;&gt;"Excluded"),"Missing Receipt","OK"))))),"")</f>
        <v/>
      </c>
      <c r="W30" s="31" t="n"/>
    </row>
    <row r="31">
      <c r="A31" s="25" t="n"/>
      <c r="B31" s="26" t="n"/>
      <c r="C31" s="25" t="n"/>
      <c r="D31" s="25" t="n"/>
      <c r="E31" s="25" t="n"/>
      <c r="F31" s="25" t="n"/>
      <c r="G31" s="25" t="n"/>
      <c r="H31" s="25" t="n"/>
      <c r="I31" s="31" t="n"/>
      <c r="J31" s="32" t="n"/>
      <c r="K31" s="49" t="n"/>
      <c r="L31" s="51">
        <f>IFERROR(IF(A31="","",IF(OR(J31="",K31=""),"",J31*K31)),"")</f>
        <v/>
      </c>
      <c r="M31" s="49" t="n"/>
      <c r="N31" s="49" t="n"/>
      <c r="O31" s="51">
        <f>IFERROR(IF(A31="","",L31+M31+N31),"")</f>
        <v/>
      </c>
      <c r="P31" s="32" t="n"/>
      <c r="Q31" s="49" t="n"/>
      <c r="R31" s="51">
        <f>IFERROR(IF(A31="","",IF(F31="Operating",O31,0)),"")</f>
        <v/>
      </c>
      <c r="S31" s="51">
        <f>IFERROR(IF(A31="","",IF(F31="Capital",O31,0)),"")</f>
        <v/>
      </c>
      <c r="T31" s="25" t="n"/>
      <c r="U31" s="25" t="n"/>
      <c r="V31" s="27">
        <f>IFERROR(IF(A31="","",IF(D31="","Missing Vendor",IF(E31="","Missing Category",IF(O31&gt;'Assumptions'!$B$114,"High Expense",IF(AND(U31="No",T31&lt;&gt;"Canceled",T31&lt;&gt;"Excluded"),"Missing Receipt","OK"))))),"")</f>
        <v/>
      </c>
      <c r="W31" s="31" t="n"/>
    </row>
    <row r="32">
      <c r="A32" s="25" t="n"/>
      <c r="B32" s="26" t="n"/>
      <c r="C32" s="25" t="n"/>
      <c r="D32" s="25" t="n"/>
      <c r="E32" s="25" t="n"/>
      <c r="F32" s="25" t="n"/>
      <c r="G32" s="25" t="n"/>
      <c r="H32" s="25" t="n"/>
      <c r="I32" s="31" t="n"/>
      <c r="J32" s="32" t="n"/>
      <c r="K32" s="49" t="n"/>
      <c r="L32" s="51">
        <f>IFERROR(IF(A32="","",IF(OR(J32="",K32=""),"",J32*K32)),"")</f>
        <v/>
      </c>
      <c r="M32" s="49" t="n"/>
      <c r="N32" s="49" t="n"/>
      <c r="O32" s="51">
        <f>IFERROR(IF(A32="","",L32+M32+N32),"")</f>
        <v/>
      </c>
      <c r="P32" s="32" t="n"/>
      <c r="Q32" s="49" t="n"/>
      <c r="R32" s="51">
        <f>IFERROR(IF(A32="","",IF(F32="Operating",O32,0)),"")</f>
        <v/>
      </c>
      <c r="S32" s="51">
        <f>IFERROR(IF(A32="","",IF(F32="Capital",O32,0)),"")</f>
        <v/>
      </c>
      <c r="T32" s="25" t="n"/>
      <c r="U32" s="25" t="n"/>
      <c r="V32" s="27">
        <f>IFERROR(IF(A32="","",IF(D32="","Missing Vendor",IF(E32="","Missing Category",IF(O32&gt;'Assumptions'!$B$114,"High Expense",IF(AND(U32="No",T32&lt;&gt;"Canceled",T32&lt;&gt;"Excluded"),"Missing Receipt","OK"))))),"")</f>
        <v/>
      </c>
      <c r="W32" s="31" t="n"/>
    </row>
    <row r="33">
      <c r="A33" s="25" t="n"/>
      <c r="B33" s="26" t="n"/>
      <c r="C33" s="25" t="n"/>
      <c r="D33" s="25" t="n"/>
      <c r="E33" s="25" t="n"/>
      <c r="F33" s="25" t="n"/>
      <c r="G33" s="25" t="n"/>
      <c r="H33" s="25" t="n"/>
      <c r="I33" s="31" t="n"/>
      <c r="J33" s="32" t="n"/>
      <c r="K33" s="49" t="n"/>
      <c r="L33" s="51">
        <f>IFERROR(IF(A33="","",IF(OR(J33="",K33=""),"",J33*K33)),"")</f>
        <v/>
      </c>
      <c r="M33" s="49" t="n"/>
      <c r="N33" s="49" t="n"/>
      <c r="O33" s="51">
        <f>IFERROR(IF(A33="","",L33+M33+N33),"")</f>
        <v/>
      </c>
      <c r="P33" s="32" t="n"/>
      <c r="Q33" s="49" t="n"/>
      <c r="R33" s="51">
        <f>IFERROR(IF(A33="","",IF(F33="Operating",O33,0)),"")</f>
        <v/>
      </c>
      <c r="S33" s="51">
        <f>IFERROR(IF(A33="","",IF(F33="Capital",O33,0)),"")</f>
        <v/>
      </c>
      <c r="T33" s="25" t="n"/>
      <c r="U33" s="25" t="n"/>
      <c r="V33" s="27">
        <f>IFERROR(IF(A33="","",IF(D33="","Missing Vendor",IF(E33="","Missing Category",IF(O33&gt;'Assumptions'!$B$114,"High Expense",IF(AND(U33="No",T33&lt;&gt;"Canceled",T33&lt;&gt;"Excluded"),"Missing Receipt","OK"))))),"")</f>
        <v/>
      </c>
      <c r="W33" s="31" t="n"/>
    </row>
    <row r="34">
      <c r="A34" s="25" t="n"/>
      <c r="B34" s="26" t="n"/>
      <c r="C34" s="25" t="n"/>
      <c r="D34" s="25" t="n"/>
      <c r="E34" s="25" t="n"/>
      <c r="F34" s="25" t="n"/>
      <c r="G34" s="25" t="n"/>
      <c r="H34" s="25" t="n"/>
      <c r="I34" s="31" t="n"/>
      <c r="J34" s="32" t="n"/>
      <c r="K34" s="49" t="n"/>
      <c r="L34" s="51">
        <f>IFERROR(IF(A34="","",IF(OR(J34="",K34=""),"",J34*K34)),"")</f>
        <v/>
      </c>
      <c r="M34" s="49" t="n"/>
      <c r="N34" s="49" t="n"/>
      <c r="O34" s="51">
        <f>IFERROR(IF(A34="","",L34+M34+N34),"")</f>
        <v/>
      </c>
      <c r="P34" s="32" t="n"/>
      <c r="Q34" s="49" t="n"/>
      <c r="R34" s="51">
        <f>IFERROR(IF(A34="","",IF(F34="Operating",O34,0)),"")</f>
        <v/>
      </c>
      <c r="S34" s="51">
        <f>IFERROR(IF(A34="","",IF(F34="Capital",O34,0)),"")</f>
        <v/>
      </c>
      <c r="T34" s="25" t="n"/>
      <c r="U34" s="25" t="n"/>
      <c r="V34" s="27">
        <f>IFERROR(IF(A34="","",IF(D34="","Missing Vendor",IF(E34="","Missing Category",IF(O34&gt;'Assumptions'!$B$114,"High Expense",IF(AND(U34="No",T34&lt;&gt;"Canceled",T34&lt;&gt;"Excluded"),"Missing Receipt","OK"))))),"")</f>
        <v/>
      </c>
      <c r="W34" s="31" t="n"/>
    </row>
    <row r="35">
      <c r="A35" s="25" t="n"/>
      <c r="B35" s="26" t="n"/>
      <c r="C35" s="25" t="n"/>
      <c r="D35" s="25" t="n"/>
      <c r="E35" s="25" t="n"/>
      <c r="F35" s="25" t="n"/>
      <c r="G35" s="25" t="n"/>
      <c r="H35" s="25" t="n"/>
      <c r="I35" s="31" t="n"/>
      <c r="J35" s="32" t="n"/>
      <c r="K35" s="49" t="n"/>
      <c r="L35" s="51">
        <f>IFERROR(IF(A35="","",IF(OR(J35="",K35=""),"",J35*K35)),"")</f>
        <v/>
      </c>
      <c r="M35" s="49" t="n"/>
      <c r="N35" s="49" t="n"/>
      <c r="O35" s="51">
        <f>IFERROR(IF(A35="","",L35+M35+N35),"")</f>
        <v/>
      </c>
      <c r="P35" s="32" t="n"/>
      <c r="Q35" s="49" t="n"/>
      <c r="R35" s="51">
        <f>IFERROR(IF(A35="","",IF(F35="Operating",O35,0)),"")</f>
        <v/>
      </c>
      <c r="S35" s="51">
        <f>IFERROR(IF(A35="","",IF(F35="Capital",O35,0)),"")</f>
        <v/>
      </c>
      <c r="T35" s="25" t="n"/>
      <c r="U35" s="25" t="n"/>
      <c r="V35" s="27">
        <f>IFERROR(IF(A35="","",IF(D35="","Missing Vendor",IF(E35="","Missing Category",IF(O35&gt;'Assumptions'!$B$114,"High Expense",IF(AND(U35="No",T35&lt;&gt;"Canceled",T35&lt;&gt;"Excluded"),"Missing Receipt","OK"))))),"")</f>
        <v/>
      </c>
      <c r="W35" s="31" t="n"/>
    </row>
    <row r="36">
      <c r="A36" s="25" t="n"/>
      <c r="B36" s="26" t="n"/>
      <c r="C36" s="25" t="n"/>
      <c r="D36" s="25" t="n"/>
      <c r="E36" s="25" t="n"/>
      <c r="F36" s="25" t="n"/>
      <c r="G36" s="25" t="n"/>
      <c r="H36" s="25" t="n"/>
      <c r="I36" s="31" t="n"/>
      <c r="J36" s="32" t="n"/>
      <c r="K36" s="49" t="n"/>
      <c r="L36" s="51">
        <f>IFERROR(IF(A36="","",IF(OR(J36="",K36=""),"",J36*K36)),"")</f>
        <v/>
      </c>
      <c r="M36" s="49" t="n"/>
      <c r="N36" s="49" t="n"/>
      <c r="O36" s="51">
        <f>IFERROR(IF(A36="","",L36+M36+N36),"")</f>
        <v/>
      </c>
      <c r="P36" s="32" t="n"/>
      <c r="Q36" s="49" t="n"/>
      <c r="R36" s="51">
        <f>IFERROR(IF(A36="","",IF(F36="Operating",O36,0)),"")</f>
        <v/>
      </c>
      <c r="S36" s="51">
        <f>IFERROR(IF(A36="","",IF(F36="Capital",O36,0)),"")</f>
        <v/>
      </c>
      <c r="T36" s="25" t="n"/>
      <c r="U36" s="25" t="n"/>
      <c r="V36" s="27">
        <f>IFERROR(IF(A36="","",IF(D36="","Missing Vendor",IF(E36="","Missing Category",IF(O36&gt;'Assumptions'!$B$114,"High Expense",IF(AND(U36="No",T36&lt;&gt;"Canceled",T36&lt;&gt;"Excluded"),"Missing Receipt","OK"))))),"")</f>
        <v/>
      </c>
      <c r="W36" s="31" t="n"/>
    </row>
    <row r="37">
      <c r="A37" s="25" t="n"/>
      <c r="B37" s="26" t="n"/>
      <c r="C37" s="25" t="n"/>
      <c r="D37" s="25" t="n"/>
      <c r="E37" s="25" t="n"/>
      <c r="F37" s="25" t="n"/>
      <c r="G37" s="25" t="n"/>
      <c r="H37" s="25" t="n"/>
      <c r="I37" s="31" t="n"/>
      <c r="J37" s="32" t="n"/>
      <c r="K37" s="49" t="n"/>
      <c r="L37" s="51">
        <f>IFERROR(IF(A37="","",IF(OR(J37="",K37=""),"",J37*K37)),"")</f>
        <v/>
      </c>
      <c r="M37" s="49" t="n"/>
      <c r="N37" s="49" t="n"/>
      <c r="O37" s="51">
        <f>IFERROR(IF(A37="","",L37+M37+N37),"")</f>
        <v/>
      </c>
      <c r="P37" s="32" t="n"/>
      <c r="Q37" s="49" t="n"/>
      <c r="R37" s="51">
        <f>IFERROR(IF(A37="","",IF(F37="Operating",O37,0)),"")</f>
        <v/>
      </c>
      <c r="S37" s="51">
        <f>IFERROR(IF(A37="","",IF(F37="Capital",O37,0)),"")</f>
        <v/>
      </c>
      <c r="T37" s="25" t="n"/>
      <c r="U37" s="25" t="n"/>
      <c r="V37" s="27">
        <f>IFERROR(IF(A37="","",IF(D37="","Missing Vendor",IF(E37="","Missing Category",IF(O37&gt;'Assumptions'!$B$114,"High Expense",IF(AND(U37="No",T37&lt;&gt;"Canceled",T37&lt;&gt;"Excluded"),"Missing Receipt","OK"))))),"")</f>
        <v/>
      </c>
      <c r="W37" s="31" t="n"/>
    </row>
    <row r="38">
      <c r="A38" s="25" t="n"/>
      <c r="B38" s="26" t="n"/>
      <c r="C38" s="25" t="n"/>
      <c r="D38" s="25" t="n"/>
      <c r="E38" s="25" t="n"/>
      <c r="F38" s="25" t="n"/>
      <c r="G38" s="25" t="n"/>
      <c r="H38" s="25" t="n"/>
      <c r="I38" s="31" t="n"/>
      <c r="J38" s="32" t="n"/>
      <c r="K38" s="49" t="n"/>
      <c r="L38" s="51">
        <f>IFERROR(IF(A38="","",IF(OR(J38="",K38=""),"",J38*K38)),"")</f>
        <v/>
      </c>
      <c r="M38" s="49" t="n"/>
      <c r="N38" s="49" t="n"/>
      <c r="O38" s="51">
        <f>IFERROR(IF(A38="","",L38+M38+N38),"")</f>
        <v/>
      </c>
      <c r="P38" s="32" t="n"/>
      <c r="Q38" s="49" t="n"/>
      <c r="R38" s="51">
        <f>IFERROR(IF(A38="","",IF(F38="Operating",O38,0)),"")</f>
        <v/>
      </c>
      <c r="S38" s="51">
        <f>IFERROR(IF(A38="","",IF(F38="Capital",O38,0)),"")</f>
        <v/>
      </c>
      <c r="T38" s="25" t="n"/>
      <c r="U38" s="25" t="n"/>
      <c r="V38" s="27">
        <f>IFERROR(IF(A38="","",IF(D38="","Missing Vendor",IF(E38="","Missing Category",IF(O38&gt;'Assumptions'!$B$114,"High Expense",IF(AND(U38="No",T38&lt;&gt;"Canceled",T38&lt;&gt;"Excluded"),"Missing Receipt","OK"))))),"")</f>
        <v/>
      </c>
      <c r="W38" s="31" t="n"/>
    </row>
    <row r="39">
      <c r="A39" s="25" t="n"/>
      <c r="B39" s="26" t="n"/>
      <c r="C39" s="25" t="n"/>
      <c r="D39" s="25" t="n"/>
      <c r="E39" s="25" t="n"/>
      <c r="F39" s="25" t="n"/>
      <c r="G39" s="25" t="n"/>
      <c r="H39" s="25" t="n"/>
      <c r="I39" s="31" t="n"/>
      <c r="J39" s="32" t="n"/>
      <c r="K39" s="49" t="n"/>
      <c r="L39" s="51">
        <f>IFERROR(IF(A39="","",IF(OR(J39="",K39=""),"",J39*K39)),"")</f>
        <v/>
      </c>
      <c r="M39" s="49" t="n"/>
      <c r="N39" s="49" t="n"/>
      <c r="O39" s="51">
        <f>IFERROR(IF(A39="","",L39+M39+N39),"")</f>
        <v/>
      </c>
      <c r="P39" s="32" t="n"/>
      <c r="Q39" s="49" t="n"/>
      <c r="R39" s="51">
        <f>IFERROR(IF(A39="","",IF(F39="Operating",O39,0)),"")</f>
        <v/>
      </c>
      <c r="S39" s="51">
        <f>IFERROR(IF(A39="","",IF(F39="Capital",O39,0)),"")</f>
        <v/>
      </c>
      <c r="T39" s="25" t="n"/>
      <c r="U39" s="25" t="n"/>
      <c r="V39" s="27">
        <f>IFERROR(IF(A39="","",IF(D39="","Missing Vendor",IF(E39="","Missing Category",IF(O39&gt;'Assumptions'!$B$114,"High Expense",IF(AND(U39="No",T39&lt;&gt;"Canceled",T39&lt;&gt;"Excluded"),"Missing Receipt","OK"))))),"")</f>
        <v/>
      </c>
      <c r="W39" s="31" t="n"/>
    </row>
    <row r="40">
      <c r="A40" s="25" t="n"/>
      <c r="B40" s="26" t="n"/>
      <c r="C40" s="25" t="n"/>
      <c r="D40" s="25" t="n"/>
      <c r="E40" s="25" t="n"/>
      <c r="F40" s="25" t="n"/>
      <c r="G40" s="25" t="n"/>
      <c r="H40" s="25" t="n"/>
      <c r="I40" s="31" t="n"/>
      <c r="J40" s="32" t="n"/>
      <c r="K40" s="49" t="n"/>
      <c r="L40" s="51">
        <f>IFERROR(IF(A40="","",IF(OR(J40="",K40=""),"",J40*K40)),"")</f>
        <v/>
      </c>
      <c r="M40" s="49" t="n"/>
      <c r="N40" s="49" t="n"/>
      <c r="O40" s="51">
        <f>IFERROR(IF(A40="","",L40+M40+N40),"")</f>
        <v/>
      </c>
      <c r="P40" s="32" t="n"/>
      <c r="Q40" s="49" t="n"/>
      <c r="R40" s="51">
        <f>IFERROR(IF(A40="","",IF(F40="Operating",O40,0)),"")</f>
        <v/>
      </c>
      <c r="S40" s="51">
        <f>IFERROR(IF(A40="","",IF(F40="Capital",O40,0)),"")</f>
        <v/>
      </c>
      <c r="T40" s="25" t="n"/>
      <c r="U40" s="25" t="n"/>
      <c r="V40" s="27">
        <f>IFERROR(IF(A40="","",IF(D40="","Missing Vendor",IF(E40="","Missing Category",IF(O40&gt;'Assumptions'!$B$114,"High Expense",IF(AND(U40="No",T40&lt;&gt;"Canceled",T40&lt;&gt;"Excluded"),"Missing Receipt","OK"))))),"")</f>
        <v/>
      </c>
      <c r="W40" s="31" t="n"/>
    </row>
    <row r="41">
      <c r="A41" s="25" t="n"/>
      <c r="B41" s="26" t="n"/>
      <c r="C41" s="25" t="n"/>
      <c r="D41" s="25" t="n"/>
      <c r="E41" s="25" t="n"/>
      <c r="F41" s="25" t="n"/>
      <c r="G41" s="25" t="n"/>
      <c r="H41" s="25" t="n"/>
      <c r="I41" s="31" t="n"/>
      <c r="J41" s="32" t="n"/>
      <c r="K41" s="49" t="n"/>
      <c r="L41" s="51">
        <f>IFERROR(IF(A41="","",IF(OR(J41="",K41=""),"",J41*K41)),"")</f>
        <v/>
      </c>
      <c r="M41" s="49" t="n"/>
      <c r="N41" s="49" t="n"/>
      <c r="O41" s="51">
        <f>IFERROR(IF(A41="","",L41+M41+N41),"")</f>
        <v/>
      </c>
      <c r="P41" s="32" t="n"/>
      <c r="Q41" s="49" t="n"/>
      <c r="R41" s="51">
        <f>IFERROR(IF(A41="","",IF(F41="Operating",O41,0)),"")</f>
        <v/>
      </c>
      <c r="S41" s="51">
        <f>IFERROR(IF(A41="","",IF(F41="Capital",O41,0)),"")</f>
        <v/>
      </c>
      <c r="T41" s="25" t="n"/>
      <c r="U41" s="25" t="n"/>
      <c r="V41" s="27">
        <f>IFERROR(IF(A41="","",IF(D41="","Missing Vendor",IF(E41="","Missing Category",IF(O41&gt;'Assumptions'!$B$114,"High Expense",IF(AND(U41="No",T41&lt;&gt;"Canceled",T41&lt;&gt;"Excluded"),"Missing Receipt","OK"))))),"")</f>
        <v/>
      </c>
      <c r="W41" s="31" t="n"/>
    </row>
    <row r="42">
      <c r="A42" s="25" t="n"/>
      <c r="B42" s="26" t="n"/>
      <c r="C42" s="25" t="n"/>
      <c r="D42" s="25" t="n"/>
      <c r="E42" s="25" t="n"/>
      <c r="F42" s="25" t="n"/>
      <c r="G42" s="25" t="n"/>
      <c r="H42" s="25" t="n"/>
      <c r="I42" s="31" t="n"/>
      <c r="J42" s="32" t="n"/>
      <c r="K42" s="49" t="n"/>
      <c r="L42" s="51">
        <f>IFERROR(IF(A42="","",IF(OR(J42="",K42=""),"",J42*K42)),"")</f>
        <v/>
      </c>
      <c r="M42" s="49" t="n"/>
      <c r="N42" s="49" t="n"/>
      <c r="O42" s="51">
        <f>IFERROR(IF(A42="","",L42+M42+N42),"")</f>
        <v/>
      </c>
      <c r="P42" s="32" t="n"/>
      <c r="Q42" s="49" t="n"/>
      <c r="R42" s="51">
        <f>IFERROR(IF(A42="","",IF(F42="Operating",O42,0)),"")</f>
        <v/>
      </c>
      <c r="S42" s="51">
        <f>IFERROR(IF(A42="","",IF(F42="Capital",O42,0)),"")</f>
        <v/>
      </c>
      <c r="T42" s="25" t="n"/>
      <c r="U42" s="25" t="n"/>
      <c r="V42" s="27">
        <f>IFERROR(IF(A42="","",IF(D42="","Missing Vendor",IF(E42="","Missing Category",IF(O42&gt;'Assumptions'!$B$114,"High Expense",IF(AND(U42="No",T42&lt;&gt;"Canceled",T42&lt;&gt;"Excluded"),"Missing Receipt","OK"))))),"")</f>
        <v/>
      </c>
      <c r="W42" s="31" t="n"/>
    </row>
    <row r="43">
      <c r="A43" s="25" t="n"/>
      <c r="B43" s="26" t="n"/>
      <c r="C43" s="25" t="n"/>
      <c r="D43" s="25" t="n"/>
      <c r="E43" s="25" t="n"/>
      <c r="F43" s="25" t="n"/>
      <c r="G43" s="25" t="n"/>
      <c r="H43" s="25" t="n"/>
      <c r="I43" s="31" t="n"/>
      <c r="J43" s="32" t="n"/>
      <c r="K43" s="49" t="n"/>
      <c r="L43" s="51">
        <f>IFERROR(IF(A43="","",IF(OR(J43="",K43=""),"",J43*K43)),"")</f>
        <v/>
      </c>
      <c r="M43" s="49" t="n"/>
      <c r="N43" s="49" t="n"/>
      <c r="O43" s="51">
        <f>IFERROR(IF(A43="","",L43+M43+N43),"")</f>
        <v/>
      </c>
      <c r="P43" s="32" t="n"/>
      <c r="Q43" s="49" t="n"/>
      <c r="R43" s="51">
        <f>IFERROR(IF(A43="","",IF(F43="Operating",O43,0)),"")</f>
        <v/>
      </c>
      <c r="S43" s="51">
        <f>IFERROR(IF(A43="","",IF(F43="Capital",O43,0)),"")</f>
        <v/>
      </c>
      <c r="T43" s="25" t="n"/>
      <c r="U43" s="25" t="n"/>
      <c r="V43" s="27">
        <f>IFERROR(IF(A43="","",IF(D43="","Missing Vendor",IF(E43="","Missing Category",IF(O43&gt;'Assumptions'!$B$114,"High Expense",IF(AND(U43="No",T43&lt;&gt;"Canceled",T43&lt;&gt;"Excluded"),"Missing Receipt","OK"))))),"")</f>
        <v/>
      </c>
      <c r="W43" s="31" t="n"/>
    </row>
    <row r="44">
      <c r="A44" s="25" t="n"/>
      <c r="B44" s="26" t="n"/>
      <c r="C44" s="25" t="n"/>
      <c r="D44" s="25" t="n"/>
      <c r="E44" s="25" t="n"/>
      <c r="F44" s="25" t="n"/>
      <c r="G44" s="25" t="n"/>
      <c r="H44" s="25" t="n"/>
      <c r="I44" s="31" t="n"/>
      <c r="J44" s="32" t="n"/>
      <c r="K44" s="49" t="n"/>
      <c r="L44" s="51">
        <f>IFERROR(IF(A44="","",IF(OR(J44="",K44=""),"",J44*K44)),"")</f>
        <v/>
      </c>
      <c r="M44" s="49" t="n"/>
      <c r="N44" s="49" t="n"/>
      <c r="O44" s="51">
        <f>IFERROR(IF(A44="","",L44+M44+N44),"")</f>
        <v/>
      </c>
      <c r="P44" s="32" t="n"/>
      <c r="Q44" s="49" t="n"/>
      <c r="R44" s="51">
        <f>IFERROR(IF(A44="","",IF(F44="Operating",O44,0)),"")</f>
        <v/>
      </c>
      <c r="S44" s="51">
        <f>IFERROR(IF(A44="","",IF(F44="Capital",O44,0)),"")</f>
        <v/>
      </c>
      <c r="T44" s="25" t="n"/>
      <c r="U44" s="25" t="n"/>
      <c r="V44" s="27">
        <f>IFERROR(IF(A44="","",IF(D44="","Missing Vendor",IF(E44="","Missing Category",IF(O44&gt;'Assumptions'!$B$114,"High Expense",IF(AND(U44="No",T44&lt;&gt;"Canceled",T44&lt;&gt;"Excluded"),"Missing Receipt","OK"))))),"")</f>
        <v/>
      </c>
      <c r="W44" s="31" t="n"/>
    </row>
    <row r="45">
      <c r="A45" s="25" t="n"/>
      <c r="B45" s="26" t="n"/>
      <c r="C45" s="25" t="n"/>
      <c r="D45" s="25" t="n"/>
      <c r="E45" s="25" t="n"/>
      <c r="F45" s="25" t="n"/>
      <c r="G45" s="25" t="n"/>
      <c r="H45" s="25" t="n"/>
      <c r="I45" s="31" t="n"/>
      <c r="J45" s="32" t="n"/>
      <c r="K45" s="49" t="n"/>
      <c r="L45" s="51">
        <f>IFERROR(IF(A45="","",IF(OR(J45="",K45=""),"",J45*K45)),"")</f>
        <v/>
      </c>
      <c r="M45" s="49" t="n"/>
      <c r="N45" s="49" t="n"/>
      <c r="O45" s="51">
        <f>IFERROR(IF(A45="","",L45+M45+N45),"")</f>
        <v/>
      </c>
      <c r="P45" s="32" t="n"/>
      <c r="Q45" s="49" t="n"/>
      <c r="R45" s="51">
        <f>IFERROR(IF(A45="","",IF(F45="Operating",O45,0)),"")</f>
        <v/>
      </c>
      <c r="S45" s="51">
        <f>IFERROR(IF(A45="","",IF(F45="Capital",O45,0)),"")</f>
        <v/>
      </c>
      <c r="T45" s="25" t="n"/>
      <c r="U45" s="25" t="n"/>
      <c r="V45" s="27">
        <f>IFERROR(IF(A45="","",IF(D45="","Missing Vendor",IF(E45="","Missing Category",IF(O45&gt;'Assumptions'!$B$114,"High Expense",IF(AND(U45="No",T45&lt;&gt;"Canceled",T45&lt;&gt;"Excluded"),"Missing Receipt","OK"))))),"")</f>
        <v/>
      </c>
      <c r="W45" s="31" t="n"/>
    </row>
    <row r="46">
      <c r="A46" s="25" t="n"/>
      <c r="B46" s="26" t="n"/>
      <c r="C46" s="25" t="n"/>
      <c r="D46" s="25" t="n"/>
      <c r="E46" s="25" t="n"/>
      <c r="F46" s="25" t="n"/>
      <c r="G46" s="25" t="n"/>
      <c r="H46" s="25" t="n"/>
      <c r="I46" s="31" t="n"/>
      <c r="J46" s="32" t="n"/>
      <c r="K46" s="49" t="n"/>
      <c r="L46" s="51">
        <f>IFERROR(IF(A46="","",IF(OR(J46="",K46=""),"",J46*K46)),"")</f>
        <v/>
      </c>
      <c r="M46" s="49" t="n"/>
      <c r="N46" s="49" t="n"/>
      <c r="O46" s="51">
        <f>IFERROR(IF(A46="","",L46+M46+N46),"")</f>
        <v/>
      </c>
      <c r="P46" s="32" t="n"/>
      <c r="Q46" s="49" t="n"/>
      <c r="R46" s="51">
        <f>IFERROR(IF(A46="","",IF(F46="Operating",O46,0)),"")</f>
        <v/>
      </c>
      <c r="S46" s="51">
        <f>IFERROR(IF(A46="","",IF(F46="Capital",O46,0)),"")</f>
        <v/>
      </c>
      <c r="T46" s="25" t="n"/>
      <c r="U46" s="25" t="n"/>
      <c r="V46" s="27">
        <f>IFERROR(IF(A46="","",IF(D46="","Missing Vendor",IF(E46="","Missing Category",IF(O46&gt;'Assumptions'!$B$114,"High Expense",IF(AND(U46="No",T46&lt;&gt;"Canceled",T46&lt;&gt;"Excluded"),"Missing Receipt","OK"))))),"")</f>
        <v/>
      </c>
      <c r="W46" s="31" t="n"/>
    </row>
    <row r="47">
      <c r="A47" s="25" t="n"/>
      <c r="B47" s="26" t="n"/>
      <c r="C47" s="25" t="n"/>
      <c r="D47" s="25" t="n"/>
      <c r="E47" s="25" t="n"/>
      <c r="F47" s="25" t="n"/>
      <c r="G47" s="25" t="n"/>
      <c r="H47" s="25" t="n"/>
      <c r="I47" s="31" t="n"/>
      <c r="J47" s="32" t="n"/>
      <c r="K47" s="49" t="n"/>
      <c r="L47" s="51">
        <f>IFERROR(IF(A47="","",IF(OR(J47="",K47=""),"",J47*K47)),"")</f>
        <v/>
      </c>
      <c r="M47" s="49" t="n"/>
      <c r="N47" s="49" t="n"/>
      <c r="O47" s="51">
        <f>IFERROR(IF(A47="","",L47+M47+N47),"")</f>
        <v/>
      </c>
      <c r="P47" s="32" t="n"/>
      <c r="Q47" s="49" t="n"/>
      <c r="R47" s="51">
        <f>IFERROR(IF(A47="","",IF(F47="Operating",O47,0)),"")</f>
        <v/>
      </c>
      <c r="S47" s="51">
        <f>IFERROR(IF(A47="","",IF(F47="Capital",O47,0)),"")</f>
        <v/>
      </c>
      <c r="T47" s="25" t="n"/>
      <c r="U47" s="25" t="n"/>
      <c r="V47" s="27">
        <f>IFERROR(IF(A47="","",IF(D47="","Missing Vendor",IF(E47="","Missing Category",IF(O47&gt;'Assumptions'!$B$114,"High Expense",IF(AND(U47="No",T47&lt;&gt;"Canceled",T47&lt;&gt;"Excluded"),"Missing Receipt","OK"))))),"")</f>
        <v/>
      </c>
      <c r="W47" s="31" t="n"/>
    </row>
    <row r="48">
      <c r="A48" s="25" t="n"/>
      <c r="B48" s="26" t="n"/>
      <c r="C48" s="25" t="n"/>
      <c r="D48" s="25" t="n"/>
      <c r="E48" s="25" t="n"/>
      <c r="F48" s="25" t="n"/>
      <c r="G48" s="25" t="n"/>
      <c r="H48" s="25" t="n"/>
      <c r="I48" s="31" t="n"/>
      <c r="J48" s="32" t="n"/>
      <c r="K48" s="49" t="n"/>
      <c r="L48" s="51">
        <f>IFERROR(IF(A48="","",IF(OR(J48="",K48=""),"",J48*K48)),"")</f>
        <v/>
      </c>
      <c r="M48" s="49" t="n"/>
      <c r="N48" s="49" t="n"/>
      <c r="O48" s="51">
        <f>IFERROR(IF(A48="","",L48+M48+N48),"")</f>
        <v/>
      </c>
      <c r="P48" s="32" t="n"/>
      <c r="Q48" s="49" t="n"/>
      <c r="R48" s="51">
        <f>IFERROR(IF(A48="","",IF(F48="Operating",O48,0)),"")</f>
        <v/>
      </c>
      <c r="S48" s="51">
        <f>IFERROR(IF(A48="","",IF(F48="Capital",O48,0)),"")</f>
        <v/>
      </c>
      <c r="T48" s="25" t="n"/>
      <c r="U48" s="25" t="n"/>
      <c r="V48" s="27">
        <f>IFERROR(IF(A48="","",IF(D48="","Missing Vendor",IF(E48="","Missing Category",IF(O48&gt;'Assumptions'!$B$114,"High Expense",IF(AND(U48="No",T48&lt;&gt;"Canceled",T48&lt;&gt;"Excluded"),"Missing Receipt","OK"))))),"")</f>
        <v/>
      </c>
      <c r="W48" s="31" t="n"/>
    </row>
    <row r="49">
      <c r="A49" s="25" t="n"/>
      <c r="B49" s="26" t="n"/>
      <c r="C49" s="25" t="n"/>
      <c r="D49" s="25" t="n"/>
      <c r="E49" s="25" t="n"/>
      <c r="F49" s="25" t="n"/>
      <c r="G49" s="25" t="n"/>
      <c r="H49" s="25" t="n"/>
      <c r="I49" s="31" t="n"/>
      <c r="J49" s="32" t="n"/>
      <c r="K49" s="49" t="n"/>
      <c r="L49" s="51">
        <f>IFERROR(IF(A49="","",IF(OR(J49="",K49=""),"",J49*K49)),"")</f>
        <v/>
      </c>
      <c r="M49" s="49" t="n"/>
      <c r="N49" s="49" t="n"/>
      <c r="O49" s="51">
        <f>IFERROR(IF(A49="","",L49+M49+N49),"")</f>
        <v/>
      </c>
      <c r="P49" s="32" t="n"/>
      <c r="Q49" s="49" t="n"/>
      <c r="R49" s="51">
        <f>IFERROR(IF(A49="","",IF(F49="Operating",O49,0)),"")</f>
        <v/>
      </c>
      <c r="S49" s="51">
        <f>IFERROR(IF(A49="","",IF(F49="Capital",O49,0)),"")</f>
        <v/>
      </c>
      <c r="T49" s="25" t="n"/>
      <c r="U49" s="25" t="n"/>
      <c r="V49" s="27">
        <f>IFERROR(IF(A49="","",IF(D49="","Missing Vendor",IF(E49="","Missing Category",IF(O49&gt;'Assumptions'!$B$114,"High Expense",IF(AND(U49="No",T49&lt;&gt;"Canceled",T49&lt;&gt;"Excluded"),"Missing Receipt","OK"))))),"")</f>
        <v/>
      </c>
      <c r="W49" s="31" t="n"/>
    </row>
    <row r="50">
      <c r="A50" s="25" t="n"/>
      <c r="B50" s="26" t="n"/>
      <c r="C50" s="25" t="n"/>
      <c r="D50" s="25" t="n"/>
      <c r="E50" s="25" t="n"/>
      <c r="F50" s="25" t="n"/>
      <c r="G50" s="25" t="n"/>
      <c r="H50" s="25" t="n"/>
      <c r="I50" s="31" t="n"/>
      <c r="J50" s="32" t="n"/>
      <c r="K50" s="49" t="n"/>
      <c r="L50" s="51">
        <f>IFERROR(IF(A50="","",IF(OR(J50="",K50=""),"",J50*K50)),"")</f>
        <v/>
      </c>
      <c r="M50" s="49" t="n"/>
      <c r="N50" s="49" t="n"/>
      <c r="O50" s="51">
        <f>IFERROR(IF(A50="","",L50+M50+N50),"")</f>
        <v/>
      </c>
      <c r="P50" s="32" t="n"/>
      <c r="Q50" s="49" t="n"/>
      <c r="R50" s="51">
        <f>IFERROR(IF(A50="","",IF(F50="Operating",O50,0)),"")</f>
        <v/>
      </c>
      <c r="S50" s="51">
        <f>IFERROR(IF(A50="","",IF(F50="Capital",O50,0)),"")</f>
        <v/>
      </c>
      <c r="T50" s="25" t="n"/>
      <c r="U50" s="25" t="n"/>
      <c r="V50" s="27">
        <f>IFERROR(IF(A50="","",IF(D50="","Missing Vendor",IF(E50="","Missing Category",IF(O50&gt;'Assumptions'!$B$114,"High Expense",IF(AND(U50="No",T50&lt;&gt;"Canceled",T50&lt;&gt;"Excluded"),"Missing Receipt","OK"))))),"")</f>
        <v/>
      </c>
      <c r="W50" s="31" t="n"/>
    </row>
    <row r="51">
      <c r="A51" s="25" t="n"/>
      <c r="B51" s="26" t="n"/>
      <c r="C51" s="25" t="n"/>
      <c r="D51" s="25" t="n"/>
      <c r="E51" s="25" t="n"/>
      <c r="F51" s="25" t="n"/>
      <c r="G51" s="25" t="n"/>
      <c r="H51" s="25" t="n"/>
      <c r="I51" s="31" t="n"/>
      <c r="J51" s="32" t="n"/>
      <c r="K51" s="49" t="n"/>
      <c r="L51" s="51">
        <f>IFERROR(IF(A51="","",IF(OR(J51="",K51=""),"",J51*K51)),"")</f>
        <v/>
      </c>
      <c r="M51" s="49" t="n"/>
      <c r="N51" s="49" t="n"/>
      <c r="O51" s="51">
        <f>IFERROR(IF(A51="","",L51+M51+N51),"")</f>
        <v/>
      </c>
      <c r="P51" s="32" t="n"/>
      <c r="Q51" s="49" t="n"/>
      <c r="R51" s="51">
        <f>IFERROR(IF(A51="","",IF(F51="Operating",O51,0)),"")</f>
        <v/>
      </c>
      <c r="S51" s="51">
        <f>IFERROR(IF(A51="","",IF(F51="Capital",O51,0)),"")</f>
        <v/>
      </c>
      <c r="T51" s="25" t="n"/>
      <c r="U51" s="25" t="n"/>
      <c r="V51" s="27">
        <f>IFERROR(IF(A51="","",IF(D51="","Missing Vendor",IF(E51="","Missing Category",IF(O51&gt;'Assumptions'!$B$114,"High Expense",IF(AND(U51="No",T51&lt;&gt;"Canceled",T51&lt;&gt;"Excluded"),"Missing Receipt","OK"))))),"")</f>
        <v/>
      </c>
      <c r="W51" s="31" t="n"/>
    </row>
    <row r="52">
      <c r="A52" s="25" t="n"/>
      <c r="B52" s="26" t="n"/>
      <c r="C52" s="25" t="n"/>
      <c r="D52" s="25" t="n"/>
      <c r="E52" s="25" t="n"/>
      <c r="F52" s="25" t="n"/>
      <c r="G52" s="25" t="n"/>
      <c r="H52" s="25" t="n"/>
      <c r="I52" s="31" t="n"/>
      <c r="J52" s="32" t="n"/>
      <c r="K52" s="49" t="n"/>
      <c r="L52" s="51">
        <f>IFERROR(IF(A52="","",IF(OR(J52="",K52=""),"",J52*K52)),"")</f>
        <v/>
      </c>
      <c r="M52" s="49" t="n"/>
      <c r="N52" s="49" t="n"/>
      <c r="O52" s="51">
        <f>IFERROR(IF(A52="","",L52+M52+N52),"")</f>
        <v/>
      </c>
      <c r="P52" s="32" t="n"/>
      <c r="Q52" s="49" t="n"/>
      <c r="R52" s="51">
        <f>IFERROR(IF(A52="","",IF(F52="Operating",O52,0)),"")</f>
        <v/>
      </c>
      <c r="S52" s="51">
        <f>IFERROR(IF(A52="","",IF(F52="Capital",O52,0)),"")</f>
        <v/>
      </c>
      <c r="T52" s="25" t="n"/>
      <c r="U52" s="25" t="n"/>
      <c r="V52" s="27">
        <f>IFERROR(IF(A52="","",IF(D52="","Missing Vendor",IF(E52="","Missing Category",IF(O52&gt;'Assumptions'!$B$114,"High Expense",IF(AND(U52="No",T52&lt;&gt;"Canceled",T52&lt;&gt;"Excluded"),"Missing Receipt","OK"))))),"")</f>
        <v/>
      </c>
      <c r="W52" s="31" t="n"/>
    </row>
    <row r="53">
      <c r="A53" s="25" t="n"/>
      <c r="B53" s="26" t="n"/>
      <c r="C53" s="25" t="n"/>
      <c r="D53" s="25" t="n"/>
      <c r="E53" s="25" t="n"/>
      <c r="F53" s="25" t="n"/>
      <c r="G53" s="25" t="n"/>
      <c r="H53" s="25" t="n"/>
      <c r="I53" s="31" t="n"/>
      <c r="J53" s="32" t="n"/>
      <c r="K53" s="49" t="n"/>
      <c r="L53" s="51">
        <f>IFERROR(IF(A53="","",IF(OR(J53="",K53=""),"",J53*K53)),"")</f>
        <v/>
      </c>
      <c r="M53" s="49" t="n"/>
      <c r="N53" s="49" t="n"/>
      <c r="O53" s="51">
        <f>IFERROR(IF(A53="","",L53+M53+N53),"")</f>
        <v/>
      </c>
      <c r="P53" s="32" t="n"/>
      <c r="Q53" s="49" t="n"/>
      <c r="R53" s="51">
        <f>IFERROR(IF(A53="","",IF(F53="Operating",O53,0)),"")</f>
        <v/>
      </c>
      <c r="S53" s="51">
        <f>IFERROR(IF(A53="","",IF(F53="Capital",O53,0)),"")</f>
        <v/>
      </c>
      <c r="T53" s="25" t="n"/>
      <c r="U53" s="25" t="n"/>
      <c r="V53" s="27">
        <f>IFERROR(IF(A53="","",IF(D53="","Missing Vendor",IF(E53="","Missing Category",IF(O53&gt;'Assumptions'!$B$114,"High Expense",IF(AND(U53="No",T53&lt;&gt;"Canceled",T53&lt;&gt;"Excluded"),"Missing Receipt","OK"))))),"")</f>
        <v/>
      </c>
      <c r="W53" s="31" t="n"/>
    </row>
    <row r="54">
      <c r="A54" s="25" t="n"/>
      <c r="B54" s="26" t="n"/>
      <c r="C54" s="25" t="n"/>
      <c r="D54" s="25" t="n"/>
      <c r="E54" s="25" t="n"/>
      <c r="F54" s="25" t="n"/>
      <c r="G54" s="25" t="n"/>
      <c r="H54" s="25" t="n"/>
      <c r="I54" s="31" t="n"/>
      <c r="J54" s="32" t="n"/>
      <c r="K54" s="49" t="n"/>
      <c r="L54" s="51">
        <f>IFERROR(IF(A54="","",IF(OR(J54="",K54=""),"",J54*K54)),"")</f>
        <v/>
      </c>
      <c r="M54" s="49" t="n"/>
      <c r="N54" s="49" t="n"/>
      <c r="O54" s="51">
        <f>IFERROR(IF(A54="","",L54+M54+N54),"")</f>
        <v/>
      </c>
      <c r="P54" s="32" t="n"/>
      <c r="Q54" s="49" t="n"/>
      <c r="R54" s="51">
        <f>IFERROR(IF(A54="","",IF(F54="Operating",O54,0)),"")</f>
        <v/>
      </c>
      <c r="S54" s="51">
        <f>IFERROR(IF(A54="","",IF(F54="Capital",O54,0)),"")</f>
        <v/>
      </c>
      <c r="T54" s="25" t="n"/>
      <c r="U54" s="25" t="n"/>
      <c r="V54" s="27">
        <f>IFERROR(IF(A54="","",IF(D54="","Missing Vendor",IF(E54="","Missing Category",IF(O54&gt;'Assumptions'!$B$114,"High Expense",IF(AND(U54="No",T54&lt;&gt;"Canceled",T54&lt;&gt;"Excluded"),"Missing Receipt","OK"))))),"")</f>
        <v/>
      </c>
      <c r="W54" s="31" t="n"/>
    </row>
    <row r="55">
      <c r="A55" s="25" t="n"/>
      <c r="B55" s="26" t="n"/>
      <c r="C55" s="25" t="n"/>
      <c r="D55" s="25" t="n"/>
      <c r="E55" s="25" t="n"/>
      <c r="F55" s="25" t="n"/>
      <c r="G55" s="25" t="n"/>
      <c r="H55" s="25" t="n"/>
      <c r="I55" s="31" t="n"/>
      <c r="J55" s="32" t="n"/>
      <c r="K55" s="49" t="n"/>
      <c r="L55" s="51">
        <f>IFERROR(IF(A55="","",IF(OR(J55="",K55=""),"",J55*K55)),"")</f>
        <v/>
      </c>
      <c r="M55" s="49" t="n"/>
      <c r="N55" s="49" t="n"/>
      <c r="O55" s="51">
        <f>IFERROR(IF(A55="","",L55+M55+N55),"")</f>
        <v/>
      </c>
      <c r="P55" s="32" t="n"/>
      <c r="Q55" s="49" t="n"/>
      <c r="R55" s="51">
        <f>IFERROR(IF(A55="","",IF(F55="Operating",O55,0)),"")</f>
        <v/>
      </c>
      <c r="S55" s="51">
        <f>IFERROR(IF(A55="","",IF(F55="Capital",O55,0)),"")</f>
        <v/>
      </c>
      <c r="T55" s="25" t="n"/>
      <c r="U55" s="25" t="n"/>
      <c r="V55" s="27">
        <f>IFERROR(IF(A55="","",IF(D55="","Missing Vendor",IF(E55="","Missing Category",IF(O55&gt;'Assumptions'!$B$114,"High Expense",IF(AND(U55="No",T55&lt;&gt;"Canceled",T55&lt;&gt;"Excluded"),"Missing Receipt","OK"))))),"")</f>
        <v/>
      </c>
      <c r="W55" s="31" t="n"/>
    </row>
    <row r="56">
      <c r="A56" s="25" t="n"/>
      <c r="B56" s="26" t="n"/>
      <c r="C56" s="25" t="n"/>
      <c r="D56" s="25" t="n"/>
      <c r="E56" s="25" t="n"/>
      <c r="F56" s="25" t="n"/>
      <c r="G56" s="25" t="n"/>
      <c r="H56" s="25" t="n"/>
      <c r="I56" s="31" t="n"/>
      <c r="J56" s="32" t="n"/>
      <c r="K56" s="49" t="n"/>
      <c r="L56" s="51">
        <f>IFERROR(IF(A56="","",IF(OR(J56="",K56=""),"",J56*K56)),"")</f>
        <v/>
      </c>
      <c r="M56" s="49" t="n"/>
      <c r="N56" s="49" t="n"/>
      <c r="O56" s="51">
        <f>IFERROR(IF(A56="","",L56+M56+N56),"")</f>
        <v/>
      </c>
      <c r="P56" s="32" t="n"/>
      <c r="Q56" s="49" t="n"/>
      <c r="R56" s="51">
        <f>IFERROR(IF(A56="","",IF(F56="Operating",O56,0)),"")</f>
        <v/>
      </c>
      <c r="S56" s="51">
        <f>IFERROR(IF(A56="","",IF(F56="Capital",O56,0)),"")</f>
        <v/>
      </c>
      <c r="T56" s="25" t="n"/>
      <c r="U56" s="25" t="n"/>
      <c r="V56" s="27">
        <f>IFERROR(IF(A56="","",IF(D56="","Missing Vendor",IF(E56="","Missing Category",IF(O56&gt;'Assumptions'!$B$114,"High Expense",IF(AND(U56="No",T56&lt;&gt;"Canceled",T56&lt;&gt;"Excluded"),"Missing Receipt","OK"))))),"")</f>
        <v/>
      </c>
      <c r="W56" s="31" t="n"/>
    </row>
    <row r="57">
      <c r="A57" s="25" t="n"/>
      <c r="B57" s="26" t="n"/>
      <c r="C57" s="25" t="n"/>
      <c r="D57" s="25" t="n"/>
      <c r="E57" s="25" t="n"/>
      <c r="F57" s="25" t="n"/>
      <c r="G57" s="25" t="n"/>
      <c r="H57" s="25" t="n"/>
      <c r="I57" s="31" t="n"/>
      <c r="J57" s="32" t="n"/>
      <c r="K57" s="49" t="n"/>
      <c r="L57" s="51">
        <f>IFERROR(IF(A57="","",IF(OR(J57="",K57=""),"",J57*K57)),"")</f>
        <v/>
      </c>
      <c r="M57" s="49" t="n"/>
      <c r="N57" s="49" t="n"/>
      <c r="O57" s="51">
        <f>IFERROR(IF(A57="","",L57+M57+N57),"")</f>
        <v/>
      </c>
      <c r="P57" s="32" t="n"/>
      <c r="Q57" s="49" t="n"/>
      <c r="R57" s="51">
        <f>IFERROR(IF(A57="","",IF(F57="Operating",O57,0)),"")</f>
        <v/>
      </c>
      <c r="S57" s="51">
        <f>IFERROR(IF(A57="","",IF(F57="Capital",O57,0)),"")</f>
        <v/>
      </c>
      <c r="T57" s="25" t="n"/>
      <c r="U57" s="25" t="n"/>
      <c r="V57" s="27">
        <f>IFERROR(IF(A57="","",IF(D57="","Missing Vendor",IF(E57="","Missing Category",IF(O57&gt;'Assumptions'!$B$114,"High Expense",IF(AND(U57="No",T57&lt;&gt;"Canceled",T57&lt;&gt;"Excluded"),"Missing Receipt","OK"))))),"")</f>
        <v/>
      </c>
      <c r="W57" s="31" t="n"/>
    </row>
    <row r="58">
      <c r="A58" s="25" t="n"/>
      <c r="B58" s="26" t="n"/>
      <c r="C58" s="25" t="n"/>
      <c r="D58" s="25" t="n"/>
      <c r="E58" s="25" t="n"/>
      <c r="F58" s="25" t="n"/>
      <c r="G58" s="25" t="n"/>
      <c r="H58" s="25" t="n"/>
      <c r="I58" s="31" t="n"/>
      <c r="J58" s="32" t="n"/>
      <c r="K58" s="49" t="n"/>
      <c r="L58" s="51">
        <f>IFERROR(IF(A58="","",IF(OR(J58="",K58=""),"",J58*K58)),"")</f>
        <v/>
      </c>
      <c r="M58" s="49" t="n"/>
      <c r="N58" s="49" t="n"/>
      <c r="O58" s="51">
        <f>IFERROR(IF(A58="","",L58+M58+N58),"")</f>
        <v/>
      </c>
      <c r="P58" s="32" t="n"/>
      <c r="Q58" s="49" t="n"/>
      <c r="R58" s="51">
        <f>IFERROR(IF(A58="","",IF(F58="Operating",O58,0)),"")</f>
        <v/>
      </c>
      <c r="S58" s="51">
        <f>IFERROR(IF(A58="","",IF(F58="Capital",O58,0)),"")</f>
        <v/>
      </c>
      <c r="T58" s="25" t="n"/>
      <c r="U58" s="25" t="n"/>
      <c r="V58" s="27">
        <f>IFERROR(IF(A58="","",IF(D58="","Missing Vendor",IF(E58="","Missing Category",IF(O58&gt;'Assumptions'!$B$114,"High Expense",IF(AND(U58="No",T58&lt;&gt;"Canceled",T58&lt;&gt;"Excluded"),"Missing Receipt","OK"))))),"")</f>
        <v/>
      </c>
      <c r="W58" s="31" t="n"/>
    </row>
    <row r="59">
      <c r="A59" s="25" t="n"/>
      <c r="B59" s="26" t="n"/>
      <c r="C59" s="25" t="n"/>
      <c r="D59" s="25" t="n"/>
      <c r="E59" s="25" t="n"/>
      <c r="F59" s="25" t="n"/>
      <c r="G59" s="25" t="n"/>
      <c r="H59" s="25" t="n"/>
      <c r="I59" s="31" t="n"/>
      <c r="J59" s="32" t="n"/>
      <c r="K59" s="49" t="n"/>
      <c r="L59" s="51">
        <f>IFERROR(IF(A59="","",IF(OR(J59="",K59=""),"",J59*K59)),"")</f>
        <v/>
      </c>
      <c r="M59" s="49" t="n"/>
      <c r="N59" s="49" t="n"/>
      <c r="O59" s="51">
        <f>IFERROR(IF(A59="","",L59+M59+N59),"")</f>
        <v/>
      </c>
      <c r="P59" s="32" t="n"/>
      <c r="Q59" s="49" t="n"/>
      <c r="R59" s="51">
        <f>IFERROR(IF(A59="","",IF(F59="Operating",O59,0)),"")</f>
        <v/>
      </c>
      <c r="S59" s="51">
        <f>IFERROR(IF(A59="","",IF(F59="Capital",O59,0)),"")</f>
        <v/>
      </c>
      <c r="T59" s="25" t="n"/>
      <c r="U59" s="25" t="n"/>
      <c r="V59" s="27">
        <f>IFERROR(IF(A59="","",IF(D59="","Missing Vendor",IF(E59="","Missing Category",IF(O59&gt;'Assumptions'!$B$114,"High Expense",IF(AND(U59="No",T59&lt;&gt;"Canceled",T59&lt;&gt;"Excluded"),"Missing Receipt","OK"))))),"")</f>
        <v/>
      </c>
      <c r="W59" s="31" t="n"/>
    </row>
    <row r="60">
      <c r="A60" s="25" t="n"/>
      <c r="B60" s="26" t="n"/>
      <c r="C60" s="25" t="n"/>
      <c r="D60" s="25" t="n"/>
      <c r="E60" s="25" t="n"/>
      <c r="F60" s="25" t="n"/>
      <c r="G60" s="25" t="n"/>
      <c r="H60" s="25" t="n"/>
      <c r="I60" s="31" t="n"/>
      <c r="J60" s="32" t="n"/>
      <c r="K60" s="49" t="n"/>
      <c r="L60" s="51">
        <f>IFERROR(IF(A60="","",IF(OR(J60="",K60=""),"",J60*K60)),"")</f>
        <v/>
      </c>
      <c r="M60" s="49" t="n"/>
      <c r="N60" s="49" t="n"/>
      <c r="O60" s="51">
        <f>IFERROR(IF(A60="","",L60+M60+N60),"")</f>
        <v/>
      </c>
      <c r="P60" s="32" t="n"/>
      <c r="Q60" s="49" t="n"/>
      <c r="R60" s="51">
        <f>IFERROR(IF(A60="","",IF(F60="Operating",O60,0)),"")</f>
        <v/>
      </c>
      <c r="S60" s="51">
        <f>IFERROR(IF(A60="","",IF(F60="Capital",O60,0)),"")</f>
        <v/>
      </c>
      <c r="T60" s="25" t="n"/>
      <c r="U60" s="25" t="n"/>
      <c r="V60" s="27">
        <f>IFERROR(IF(A60="","",IF(D60="","Missing Vendor",IF(E60="","Missing Category",IF(O60&gt;'Assumptions'!$B$114,"High Expense",IF(AND(U60="No",T60&lt;&gt;"Canceled",T60&lt;&gt;"Excluded"),"Missing Receipt","OK"))))),"")</f>
        <v/>
      </c>
      <c r="W60" s="31" t="n"/>
    </row>
    <row r="61">
      <c r="A61" s="25" t="n"/>
      <c r="B61" s="26" t="n"/>
      <c r="C61" s="25" t="n"/>
      <c r="D61" s="25" t="n"/>
      <c r="E61" s="25" t="n"/>
      <c r="F61" s="25" t="n"/>
      <c r="G61" s="25" t="n"/>
      <c r="H61" s="25" t="n"/>
      <c r="I61" s="31" t="n"/>
      <c r="J61" s="32" t="n"/>
      <c r="K61" s="49" t="n"/>
      <c r="L61" s="51">
        <f>IFERROR(IF(A61="","",IF(OR(J61="",K61=""),"",J61*K61)),"")</f>
        <v/>
      </c>
      <c r="M61" s="49" t="n"/>
      <c r="N61" s="49" t="n"/>
      <c r="O61" s="51">
        <f>IFERROR(IF(A61="","",L61+M61+N61),"")</f>
        <v/>
      </c>
      <c r="P61" s="32" t="n"/>
      <c r="Q61" s="49" t="n"/>
      <c r="R61" s="51">
        <f>IFERROR(IF(A61="","",IF(F61="Operating",O61,0)),"")</f>
        <v/>
      </c>
      <c r="S61" s="51">
        <f>IFERROR(IF(A61="","",IF(F61="Capital",O61,0)),"")</f>
        <v/>
      </c>
      <c r="T61" s="25" t="n"/>
      <c r="U61" s="25" t="n"/>
      <c r="V61" s="27">
        <f>IFERROR(IF(A61="","",IF(D61="","Missing Vendor",IF(E61="","Missing Category",IF(O61&gt;'Assumptions'!$B$114,"High Expense",IF(AND(U61="No",T61&lt;&gt;"Canceled",T61&lt;&gt;"Excluded"),"Missing Receipt","OK"))))),"")</f>
        <v/>
      </c>
      <c r="W61" s="31" t="n"/>
    </row>
    <row r="62">
      <c r="A62" s="25" t="n"/>
      <c r="B62" s="26" t="n"/>
      <c r="C62" s="25" t="n"/>
      <c r="D62" s="25" t="n"/>
      <c r="E62" s="25" t="n"/>
      <c r="F62" s="25" t="n"/>
      <c r="G62" s="25" t="n"/>
      <c r="H62" s="25" t="n"/>
      <c r="I62" s="31" t="n"/>
      <c r="J62" s="32" t="n"/>
      <c r="K62" s="49" t="n"/>
      <c r="L62" s="51">
        <f>IFERROR(IF(A62="","",IF(OR(J62="",K62=""),"",J62*K62)),"")</f>
        <v/>
      </c>
      <c r="M62" s="49" t="n"/>
      <c r="N62" s="49" t="n"/>
      <c r="O62" s="51">
        <f>IFERROR(IF(A62="","",L62+M62+N62),"")</f>
        <v/>
      </c>
      <c r="P62" s="32" t="n"/>
      <c r="Q62" s="49" t="n"/>
      <c r="R62" s="51">
        <f>IFERROR(IF(A62="","",IF(F62="Operating",O62,0)),"")</f>
        <v/>
      </c>
      <c r="S62" s="51">
        <f>IFERROR(IF(A62="","",IF(F62="Capital",O62,0)),"")</f>
        <v/>
      </c>
      <c r="T62" s="25" t="n"/>
      <c r="U62" s="25" t="n"/>
      <c r="V62" s="27">
        <f>IFERROR(IF(A62="","",IF(D62="","Missing Vendor",IF(E62="","Missing Category",IF(O62&gt;'Assumptions'!$B$114,"High Expense",IF(AND(U62="No",T62&lt;&gt;"Canceled",T62&lt;&gt;"Excluded"),"Missing Receipt","OK"))))),"")</f>
        <v/>
      </c>
      <c r="W62" s="31" t="n"/>
    </row>
    <row r="63">
      <c r="A63" s="25" t="n"/>
      <c r="B63" s="26" t="n"/>
      <c r="C63" s="25" t="n"/>
      <c r="D63" s="25" t="n"/>
      <c r="E63" s="25" t="n"/>
      <c r="F63" s="25" t="n"/>
      <c r="G63" s="25" t="n"/>
      <c r="H63" s="25" t="n"/>
      <c r="I63" s="31" t="n"/>
      <c r="J63" s="32" t="n"/>
      <c r="K63" s="49" t="n"/>
      <c r="L63" s="51">
        <f>IFERROR(IF(A63="","",IF(OR(J63="",K63=""),"",J63*K63)),"")</f>
        <v/>
      </c>
      <c r="M63" s="49" t="n"/>
      <c r="N63" s="49" t="n"/>
      <c r="O63" s="51">
        <f>IFERROR(IF(A63="","",L63+M63+N63),"")</f>
        <v/>
      </c>
      <c r="P63" s="32" t="n"/>
      <c r="Q63" s="49" t="n"/>
      <c r="R63" s="51">
        <f>IFERROR(IF(A63="","",IF(F63="Operating",O63,0)),"")</f>
        <v/>
      </c>
      <c r="S63" s="51">
        <f>IFERROR(IF(A63="","",IF(F63="Capital",O63,0)),"")</f>
        <v/>
      </c>
      <c r="T63" s="25" t="n"/>
      <c r="U63" s="25" t="n"/>
      <c r="V63" s="27">
        <f>IFERROR(IF(A63="","",IF(D63="","Missing Vendor",IF(E63="","Missing Category",IF(O63&gt;'Assumptions'!$B$114,"High Expense",IF(AND(U63="No",T63&lt;&gt;"Canceled",T63&lt;&gt;"Excluded"),"Missing Receipt","OK"))))),"")</f>
        <v/>
      </c>
      <c r="W63" s="31" t="n"/>
    </row>
    <row r="64">
      <c r="A64" s="25" t="n"/>
      <c r="B64" s="26" t="n"/>
      <c r="C64" s="25" t="n"/>
      <c r="D64" s="25" t="n"/>
      <c r="E64" s="25" t="n"/>
      <c r="F64" s="25" t="n"/>
      <c r="G64" s="25" t="n"/>
      <c r="H64" s="25" t="n"/>
      <c r="I64" s="31" t="n"/>
      <c r="J64" s="32" t="n"/>
      <c r="K64" s="49" t="n"/>
      <c r="L64" s="51">
        <f>IFERROR(IF(A64="","",IF(OR(J64="",K64=""),"",J64*K64)),"")</f>
        <v/>
      </c>
      <c r="M64" s="49" t="n"/>
      <c r="N64" s="49" t="n"/>
      <c r="O64" s="51">
        <f>IFERROR(IF(A64="","",L64+M64+N64),"")</f>
        <v/>
      </c>
      <c r="P64" s="32" t="n"/>
      <c r="Q64" s="49" t="n"/>
      <c r="R64" s="51">
        <f>IFERROR(IF(A64="","",IF(F64="Operating",O64,0)),"")</f>
        <v/>
      </c>
      <c r="S64" s="51">
        <f>IFERROR(IF(A64="","",IF(F64="Capital",O64,0)),"")</f>
        <v/>
      </c>
      <c r="T64" s="25" t="n"/>
      <c r="U64" s="25" t="n"/>
      <c r="V64" s="27">
        <f>IFERROR(IF(A64="","",IF(D64="","Missing Vendor",IF(E64="","Missing Category",IF(O64&gt;'Assumptions'!$B$114,"High Expense",IF(AND(U64="No",T64&lt;&gt;"Canceled",T64&lt;&gt;"Excluded"),"Missing Receipt","OK"))))),"")</f>
        <v/>
      </c>
      <c r="W64" s="31" t="n"/>
    </row>
    <row r="65">
      <c r="A65" s="25" t="n"/>
      <c r="B65" s="26" t="n"/>
      <c r="C65" s="25" t="n"/>
      <c r="D65" s="25" t="n"/>
      <c r="E65" s="25" t="n"/>
      <c r="F65" s="25" t="n"/>
      <c r="G65" s="25" t="n"/>
      <c r="H65" s="25" t="n"/>
      <c r="I65" s="31" t="n"/>
      <c r="J65" s="32" t="n"/>
      <c r="K65" s="49" t="n"/>
      <c r="L65" s="51">
        <f>IFERROR(IF(A65="","",IF(OR(J65="",K65=""),"",J65*K65)),"")</f>
        <v/>
      </c>
      <c r="M65" s="49" t="n"/>
      <c r="N65" s="49" t="n"/>
      <c r="O65" s="51">
        <f>IFERROR(IF(A65="","",L65+M65+N65),"")</f>
        <v/>
      </c>
      <c r="P65" s="32" t="n"/>
      <c r="Q65" s="49" t="n"/>
      <c r="R65" s="51">
        <f>IFERROR(IF(A65="","",IF(F65="Operating",O65,0)),"")</f>
        <v/>
      </c>
      <c r="S65" s="51">
        <f>IFERROR(IF(A65="","",IF(F65="Capital",O65,0)),"")</f>
        <v/>
      </c>
      <c r="T65" s="25" t="n"/>
      <c r="U65" s="25" t="n"/>
      <c r="V65" s="27">
        <f>IFERROR(IF(A65="","",IF(D65="","Missing Vendor",IF(E65="","Missing Category",IF(O65&gt;'Assumptions'!$B$114,"High Expense",IF(AND(U65="No",T65&lt;&gt;"Canceled",T65&lt;&gt;"Excluded"),"Missing Receipt","OK"))))),"")</f>
        <v/>
      </c>
      <c r="W65" s="31" t="n"/>
    </row>
    <row r="66">
      <c r="A66" s="25" t="n"/>
      <c r="B66" s="26" t="n"/>
      <c r="C66" s="25" t="n"/>
      <c r="D66" s="25" t="n"/>
      <c r="E66" s="25" t="n"/>
      <c r="F66" s="25" t="n"/>
      <c r="G66" s="25" t="n"/>
      <c r="H66" s="25" t="n"/>
      <c r="I66" s="31" t="n"/>
      <c r="J66" s="32" t="n"/>
      <c r="K66" s="49" t="n"/>
      <c r="L66" s="51">
        <f>IFERROR(IF(A66="","",IF(OR(J66="",K66=""),"",J66*K66)),"")</f>
        <v/>
      </c>
      <c r="M66" s="49" t="n"/>
      <c r="N66" s="49" t="n"/>
      <c r="O66" s="51">
        <f>IFERROR(IF(A66="","",L66+M66+N66),"")</f>
        <v/>
      </c>
      <c r="P66" s="32" t="n"/>
      <c r="Q66" s="49" t="n"/>
      <c r="R66" s="51">
        <f>IFERROR(IF(A66="","",IF(F66="Operating",O66,0)),"")</f>
        <v/>
      </c>
      <c r="S66" s="51">
        <f>IFERROR(IF(A66="","",IF(F66="Capital",O66,0)),"")</f>
        <v/>
      </c>
      <c r="T66" s="25" t="n"/>
      <c r="U66" s="25" t="n"/>
      <c r="V66" s="27">
        <f>IFERROR(IF(A66="","",IF(D66="","Missing Vendor",IF(E66="","Missing Category",IF(O66&gt;'Assumptions'!$B$114,"High Expense",IF(AND(U66="No",T66&lt;&gt;"Canceled",T66&lt;&gt;"Excluded"),"Missing Receipt","OK"))))),"")</f>
        <v/>
      </c>
      <c r="W66" s="31" t="n"/>
    </row>
    <row r="67">
      <c r="A67" s="25" t="n"/>
      <c r="B67" s="26" t="n"/>
      <c r="C67" s="25" t="n"/>
      <c r="D67" s="25" t="n"/>
      <c r="E67" s="25" t="n"/>
      <c r="F67" s="25" t="n"/>
      <c r="G67" s="25" t="n"/>
      <c r="H67" s="25" t="n"/>
      <c r="I67" s="31" t="n"/>
      <c r="J67" s="32" t="n"/>
      <c r="K67" s="49" t="n"/>
      <c r="L67" s="51">
        <f>IFERROR(IF(A67="","",IF(OR(J67="",K67=""),"",J67*K67)),"")</f>
        <v/>
      </c>
      <c r="M67" s="49" t="n"/>
      <c r="N67" s="49" t="n"/>
      <c r="O67" s="51">
        <f>IFERROR(IF(A67="","",L67+M67+N67),"")</f>
        <v/>
      </c>
      <c r="P67" s="32" t="n"/>
      <c r="Q67" s="49" t="n"/>
      <c r="R67" s="51">
        <f>IFERROR(IF(A67="","",IF(F67="Operating",O67,0)),"")</f>
        <v/>
      </c>
      <c r="S67" s="51">
        <f>IFERROR(IF(A67="","",IF(F67="Capital",O67,0)),"")</f>
        <v/>
      </c>
      <c r="T67" s="25" t="n"/>
      <c r="U67" s="25" t="n"/>
      <c r="V67" s="27">
        <f>IFERROR(IF(A67="","",IF(D67="","Missing Vendor",IF(E67="","Missing Category",IF(O67&gt;'Assumptions'!$B$114,"High Expense",IF(AND(U67="No",T67&lt;&gt;"Canceled",T67&lt;&gt;"Excluded"),"Missing Receipt","OK"))))),"")</f>
        <v/>
      </c>
      <c r="W67" s="31" t="n"/>
    </row>
    <row r="68">
      <c r="A68" s="25" t="n"/>
      <c r="B68" s="26" t="n"/>
      <c r="C68" s="25" t="n"/>
      <c r="D68" s="25" t="n"/>
      <c r="E68" s="25" t="n"/>
      <c r="F68" s="25" t="n"/>
      <c r="G68" s="25" t="n"/>
      <c r="H68" s="25" t="n"/>
      <c r="I68" s="31" t="n"/>
      <c r="J68" s="32" t="n"/>
      <c r="K68" s="49" t="n"/>
      <c r="L68" s="51">
        <f>IFERROR(IF(A68="","",IF(OR(J68="",K68=""),"",J68*K68)),"")</f>
        <v/>
      </c>
      <c r="M68" s="49" t="n"/>
      <c r="N68" s="49" t="n"/>
      <c r="O68" s="51">
        <f>IFERROR(IF(A68="","",L68+M68+N68),"")</f>
        <v/>
      </c>
      <c r="P68" s="32" t="n"/>
      <c r="Q68" s="49" t="n"/>
      <c r="R68" s="51">
        <f>IFERROR(IF(A68="","",IF(F68="Operating",O68,0)),"")</f>
        <v/>
      </c>
      <c r="S68" s="51">
        <f>IFERROR(IF(A68="","",IF(F68="Capital",O68,0)),"")</f>
        <v/>
      </c>
      <c r="T68" s="25" t="n"/>
      <c r="U68" s="25" t="n"/>
      <c r="V68" s="27">
        <f>IFERROR(IF(A68="","",IF(D68="","Missing Vendor",IF(E68="","Missing Category",IF(O68&gt;'Assumptions'!$B$114,"High Expense",IF(AND(U68="No",T68&lt;&gt;"Canceled",T68&lt;&gt;"Excluded"),"Missing Receipt","OK"))))),"")</f>
        <v/>
      </c>
      <c r="W68" s="31" t="n"/>
    </row>
    <row r="69">
      <c r="A69" s="25" t="n"/>
      <c r="B69" s="26" t="n"/>
      <c r="C69" s="25" t="n"/>
      <c r="D69" s="25" t="n"/>
      <c r="E69" s="25" t="n"/>
      <c r="F69" s="25" t="n"/>
      <c r="G69" s="25" t="n"/>
      <c r="H69" s="25" t="n"/>
      <c r="I69" s="31" t="n"/>
      <c r="J69" s="32" t="n"/>
      <c r="K69" s="49" t="n"/>
      <c r="L69" s="51">
        <f>IFERROR(IF(A69="","",IF(OR(J69="",K69=""),"",J69*K69)),"")</f>
        <v/>
      </c>
      <c r="M69" s="49" t="n"/>
      <c r="N69" s="49" t="n"/>
      <c r="O69" s="51">
        <f>IFERROR(IF(A69="","",L69+M69+N69),"")</f>
        <v/>
      </c>
      <c r="P69" s="32" t="n"/>
      <c r="Q69" s="49" t="n"/>
      <c r="R69" s="51">
        <f>IFERROR(IF(A69="","",IF(F69="Operating",O69,0)),"")</f>
        <v/>
      </c>
      <c r="S69" s="51">
        <f>IFERROR(IF(A69="","",IF(F69="Capital",O69,0)),"")</f>
        <v/>
      </c>
      <c r="T69" s="25" t="n"/>
      <c r="U69" s="25" t="n"/>
      <c r="V69" s="27">
        <f>IFERROR(IF(A69="","",IF(D69="","Missing Vendor",IF(E69="","Missing Category",IF(O69&gt;'Assumptions'!$B$114,"High Expense",IF(AND(U69="No",T69&lt;&gt;"Canceled",T69&lt;&gt;"Excluded"),"Missing Receipt","OK"))))),"")</f>
        <v/>
      </c>
      <c r="W69" s="31" t="n"/>
    </row>
    <row r="70">
      <c r="A70" s="25" t="n"/>
      <c r="B70" s="26" t="n"/>
      <c r="C70" s="25" t="n"/>
      <c r="D70" s="25" t="n"/>
      <c r="E70" s="25" t="n"/>
      <c r="F70" s="25" t="n"/>
      <c r="G70" s="25" t="n"/>
      <c r="H70" s="25" t="n"/>
      <c r="I70" s="31" t="n"/>
      <c r="J70" s="32" t="n"/>
      <c r="K70" s="49" t="n"/>
      <c r="L70" s="51">
        <f>IFERROR(IF(A70="","",IF(OR(J70="",K70=""),"",J70*K70)),"")</f>
        <v/>
      </c>
      <c r="M70" s="49" t="n"/>
      <c r="N70" s="49" t="n"/>
      <c r="O70" s="51">
        <f>IFERROR(IF(A70="","",L70+M70+N70),"")</f>
        <v/>
      </c>
      <c r="P70" s="32" t="n"/>
      <c r="Q70" s="49" t="n"/>
      <c r="R70" s="51">
        <f>IFERROR(IF(A70="","",IF(F70="Operating",O70,0)),"")</f>
        <v/>
      </c>
      <c r="S70" s="51">
        <f>IFERROR(IF(A70="","",IF(F70="Capital",O70,0)),"")</f>
        <v/>
      </c>
      <c r="T70" s="25" t="n"/>
      <c r="U70" s="25" t="n"/>
      <c r="V70" s="27">
        <f>IFERROR(IF(A70="","",IF(D70="","Missing Vendor",IF(E70="","Missing Category",IF(O70&gt;'Assumptions'!$B$114,"High Expense",IF(AND(U70="No",T70&lt;&gt;"Canceled",T70&lt;&gt;"Excluded"),"Missing Receipt","OK"))))),"")</f>
        <v/>
      </c>
      <c r="W70" s="31" t="n"/>
    </row>
    <row r="71">
      <c r="A71" s="25" t="n"/>
      <c r="B71" s="26" t="n"/>
      <c r="C71" s="25" t="n"/>
      <c r="D71" s="25" t="n"/>
      <c r="E71" s="25" t="n"/>
      <c r="F71" s="25" t="n"/>
      <c r="G71" s="25" t="n"/>
      <c r="H71" s="25" t="n"/>
      <c r="I71" s="31" t="n"/>
      <c r="J71" s="32" t="n"/>
      <c r="K71" s="49" t="n"/>
      <c r="L71" s="51">
        <f>IFERROR(IF(A71="","",IF(OR(J71="",K71=""),"",J71*K71)),"")</f>
        <v/>
      </c>
      <c r="M71" s="49" t="n"/>
      <c r="N71" s="49" t="n"/>
      <c r="O71" s="51">
        <f>IFERROR(IF(A71="","",L71+M71+N71),"")</f>
        <v/>
      </c>
      <c r="P71" s="32" t="n"/>
      <c r="Q71" s="49" t="n"/>
      <c r="R71" s="51">
        <f>IFERROR(IF(A71="","",IF(F71="Operating",O71,0)),"")</f>
        <v/>
      </c>
      <c r="S71" s="51">
        <f>IFERROR(IF(A71="","",IF(F71="Capital",O71,0)),"")</f>
        <v/>
      </c>
      <c r="T71" s="25" t="n"/>
      <c r="U71" s="25" t="n"/>
      <c r="V71" s="27">
        <f>IFERROR(IF(A71="","",IF(D71="","Missing Vendor",IF(E71="","Missing Category",IF(O71&gt;'Assumptions'!$B$114,"High Expense",IF(AND(U71="No",T71&lt;&gt;"Canceled",T71&lt;&gt;"Excluded"),"Missing Receipt","OK"))))),"")</f>
        <v/>
      </c>
      <c r="W71" s="31" t="n"/>
    </row>
    <row r="72">
      <c r="A72" s="25" t="n"/>
      <c r="B72" s="26" t="n"/>
      <c r="C72" s="25" t="n"/>
      <c r="D72" s="25" t="n"/>
      <c r="E72" s="25" t="n"/>
      <c r="F72" s="25" t="n"/>
      <c r="G72" s="25" t="n"/>
      <c r="H72" s="25" t="n"/>
      <c r="I72" s="31" t="n"/>
      <c r="J72" s="32" t="n"/>
      <c r="K72" s="49" t="n"/>
      <c r="L72" s="51">
        <f>IFERROR(IF(A72="","",IF(OR(J72="",K72=""),"",J72*K72)),"")</f>
        <v/>
      </c>
      <c r="M72" s="49" t="n"/>
      <c r="N72" s="49" t="n"/>
      <c r="O72" s="51">
        <f>IFERROR(IF(A72="","",L72+M72+N72),"")</f>
        <v/>
      </c>
      <c r="P72" s="32" t="n"/>
      <c r="Q72" s="49" t="n"/>
      <c r="R72" s="51">
        <f>IFERROR(IF(A72="","",IF(F72="Operating",O72,0)),"")</f>
        <v/>
      </c>
      <c r="S72" s="51">
        <f>IFERROR(IF(A72="","",IF(F72="Capital",O72,0)),"")</f>
        <v/>
      </c>
      <c r="T72" s="25" t="n"/>
      <c r="U72" s="25" t="n"/>
      <c r="V72" s="27">
        <f>IFERROR(IF(A72="","",IF(D72="","Missing Vendor",IF(E72="","Missing Category",IF(O72&gt;'Assumptions'!$B$114,"High Expense",IF(AND(U72="No",T72&lt;&gt;"Canceled",T72&lt;&gt;"Excluded"),"Missing Receipt","OK"))))),"")</f>
        <v/>
      </c>
      <c r="W72" s="31" t="n"/>
    </row>
    <row r="73">
      <c r="A73" s="25" t="n"/>
      <c r="B73" s="26" t="n"/>
      <c r="C73" s="25" t="n"/>
      <c r="D73" s="25" t="n"/>
      <c r="E73" s="25" t="n"/>
      <c r="F73" s="25" t="n"/>
      <c r="G73" s="25" t="n"/>
      <c r="H73" s="25" t="n"/>
      <c r="I73" s="31" t="n"/>
      <c r="J73" s="32" t="n"/>
      <c r="K73" s="49" t="n"/>
      <c r="L73" s="51">
        <f>IFERROR(IF(A73="","",IF(OR(J73="",K73=""),"",J73*K73)),"")</f>
        <v/>
      </c>
      <c r="M73" s="49" t="n"/>
      <c r="N73" s="49" t="n"/>
      <c r="O73" s="51">
        <f>IFERROR(IF(A73="","",L73+M73+N73),"")</f>
        <v/>
      </c>
      <c r="P73" s="32" t="n"/>
      <c r="Q73" s="49" t="n"/>
      <c r="R73" s="51">
        <f>IFERROR(IF(A73="","",IF(F73="Operating",O73,0)),"")</f>
        <v/>
      </c>
      <c r="S73" s="51">
        <f>IFERROR(IF(A73="","",IF(F73="Capital",O73,0)),"")</f>
        <v/>
      </c>
      <c r="T73" s="25" t="n"/>
      <c r="U73" s="25" t="n"/>
      <c r="V73" s="27">
        <f>IFERROR(IF(A73="","",IF(D73="","Missing Vendor",IF(E73="","Missing Category",IF(O73&gt;'Assumptions'!$B$114,"High Expense",IF(AND(U73="No",T73&lt;&gt;"Canceled",T73&lt;&gt;"Excluded"),"Missing Receipt","OK"))))),"")</f>
        <v/>
      </c>
      <c r="W73" s="31" t="n"/>
    </row>
    <row r="74">
      <c r="A74" s="25" t="n"/>
      <c r="B74" s="26" t="n"/>
      <c r="C74" s="25" t="n"/>
      <c r="D74" s="25" t="n"/>
      <c r="E74" s="25" t="n"/>
      <c r="F74" s="25" t="n"/>
      <c r="G74" s="25" t="n"/>
      <c r="H74" s="25" t="n"/>
      <c r="I74" s="31" t="n"/>
      <c r="J74" s="32" t="n"/>
      <c r="K74" s="49" t="n"/>
      <c r="L74" s="51">
        <f>IFERROR(IF(A74="","",IF(OR(J74="",K74=""),"",J74*K74)),"")</f>
        <v/>
      </c>
      <c r="M74" s="49" t="n"/>
      <c r="N74" s="49" t="n"/>
      <c r="O74" s="51">
        <f>IFERROR(IF(A74="","",L74+M74+N74),"")</f>
        <v/>
      </c>
      <c r="P74" s="32" t="n"/>
      <c r="Q74" s="49" t="n"/>
      <c r="R74" s="51">
        <f>IFERROR(IF(A74="","",IF(F74="Operating",O74,0)),"")</f>
        <v/>
      </c>
      <c r="S74" s="51">
        <f>IFERROR(IF(A74="","",IF(F74="Capital",O74,0)),"")</f>
        <v/>
      </c>
      <c r="T74" s="25" t="n"/>
      <c r="U74" s="25" t="n"/>
      <c r="V74" s="27">
        <f>IFERROR(IF(A74="","",IF(D74="","Missing Vendor",IF(E74="","Missing Category",IF(O74&gt;'Assumptions'!$B$114,"High Expense",IF(AND(U74="No",T74&lt;&gt;"Canceled",T74&lt;&gt;"Excluded"),"Missing Receipt","OK"))))),"")</f>
        <v/>
      </c>
      <c r="W74" s="31" t="n"/>
    </row>
    <row r="75">
      <c r="A75" s="25" t="n"/>
      <c r="B75" s="26" t="n"/>
      <c r="C75" s="25" t="n"/>
      <c r="D75" s="25" t="n"/>
      <c r="E75" s="25" t="n"/>
      <c r="F75" s="25" t="n"/>
      <c r="G75" s="25" t="n"/>
      <c r="H75" s="25" t="n"/>
      <c r="I75" s="31" t="n"/>
      <c r="J75" s="32" t="n"/>
      <c r="K75" s="49" t="n"/>
      <c r="L75" s="51">
        <f>IFERROR(IF(A75="","",IF(OR(J75="",K75=""),"",J75*K75)),"")</f>
        <v/>
      </c>
      <c r="M75" s="49" t="n"/>
      <c r="N75" s="49" t="n"/>
      <c r="O75" s="51">
        <f>IFERROR(IF(A75="","",L75+M75+N75),"")</f>
        <v/>
      </c>
      <c r="P75" s="32" t="n"/>
      <c r="Q75" s="49" t="n"/>
      <c r="R75" s="51">
        <f>IFERROR(IF(A75="","",IF(F75="Operating",O75,0)),"")</f>
        <v/>
      </c>
      <c r="S75" s="51">
        <f>IFERROR(IF(A75="","",IF(F75="Capital",O75,0)),"")</f>
        <v/>
      </c>
      <c r="T75" s="25" t="n"/>
      <c r="U75" s="25" t="n"/>
      <c r="V75" s="27">
        <f>IFERROR(IF(A75="","",IF(D75="","Missing Vendor",IF(E75="","Missing Category",IF(O75&gt;'Assumptions'!$B$114,"High Expense",IF(AND(U75="No",T75&lt;&gt;"Canceled",T75&lt;&gt;"Excluded"),"Missing Receipt","OK"))))),"")</f>
        <v/>
      </c>
      <c r="W75" s="31" t="n"/>
    </row>
    <row r="76">
      <c r="A76" s="25" t="n"/>
      <c r="B76" s="26" t="n"/>
      <c r="C76" s="25" t="n"/>
      <c r="D76" s="25" t="n"/>
      <c r="E76" s="25" t="n"/>
      <c r="F76" s="25" t="n"/>
      <c r="G76" s="25" t="n"/>
      <c r="H76" s="25" t="n"/>
      <c r="I76" s="31" t="n"/>
      <c r="J76" s="32" t="n"/>
      <c r="K76" s="49" t="n"/>
      <c r="L76" s="51">
        <f>IFERROR(IF(A76="","",IF(OR(J76="",K76=""),"",J76*K76)),"")</f>
        <v/>
      </c>
      <c r="M76" s="49" t="n"/>
      <c r="N76" s="49" t="n"/>
      <c r="O76" s="51">
        <f>IFERROR(IF(A76="","",L76+M76+N76),"")</f>
        <v/>
      </c>
      <c r="P76" s="32" t="n"/>
      <c r="Q76" s="49" t="n"/>
      <c r="R76" s="51">
        <f>IFERROR(IF(A76="","",IF(F76="Operating",O76,0)),"")</f>
        <v/>
      </c>
      <c r="S76" s="51">
        <f>IFERROR(IF(A76="","",IF(F76="Capital",O76,0)),"")</f>
        <v/>
      </c>
      <c r="T76" s="25" t="n"/>
      <c r="U76" s="25" t="n"/>
      <c r="V76" s="27">
        <f>IFERROR(IF(A76="","",IF(D76="","Missing Vendor",IF(E76="","Missing Category",IF(O76&gt;'Assumptions'!$B$114,"High Expense",IF(AND(U76="No",T76&lt;&gt;"Canceled",T76&lt;&gt;"Excluded"),"Missing Receipt","OK"))))),"")</f>
        <v/>
      </c>
      <c r="W76" s="31" t="n"/>
    </row>
    <row r="77">
      <c r="A77" s="25" t="n"/>
      <c r="B77" s="26" t="n"/>
      <c r="C77" s="25" t="n"/>
      <c r="D77" s="25" t="n"/>
      <c r="E77" s="25" t="n"/>
      <c r="F77" s="25" t="n"/>
      <c r="G77" s="25" t="n"/>
      <c r="H77" s="25" t="n"/>
      <c r="I77" s="31" t="n"/>
      <c r="J77" s="32" t="n"/>
      <c r="K77" s="49" t="n"/>
      <c r="L77" s="51">
        <f>IFERROR(IF(A77="","",IF(OR(J77="",K77=""),"",J77*K77)),"")</f>
        <v/>
      </c>
      <c r="M77" s="49" t="n"/>
      <c r="N77" s="49" t="n"/>
      <c r="O77" s="51">
        <f>IFERROR(IF(A77="","",L77+M77+N77),"")</f>
        <v/>
      </c>
      <c r="P77" s="32" t="n"/>
      <c r="Q77" s="49" t="n"/>
      <c r="R77" s="51">
        <f>IFERROR(IF(A77="","",IF(F77="Operating",O77,0)),"")</f>
        <v/>
      </c>
      <c r="S77" s="51">
        <f>IFERROR(IF(A77="","",IF(F77="Capital",O77,0)),"")</f>
        <v/>
      </c>
      <c r="T77" s="25" t="n"/>
      <c r="U77" s="25" t="n"/>
      <c r="V77" s="27">
        <f>IFERROR(IF(A77="","",IF(D77="","Missing Vendor",IF(E77="","Missing Category",IF(O77&gt;'Assumptions'!$B$114,"High Expense",IF(AND(U77="No",T77&lt;&gt;"Canceled",T77&lt;&gt;"Excluded"),"Missing Receipt","OK"))))),"")</f>
        <v/>
      </c>
      <c r="W77" s="31" t="n"/>
    </row>
    <row r="78">
      <c r="A78" s="25" t="n"/>
      <c r="B78" s="26" t="n"/>
      <c r="C78" s="25" t="n"/>
      <c r="D78" s="25" t="n"/>
      <c r="E78" s="25" t="n"/>
      <c r="F78" s="25" t="n"/>
      <c r="G78" s="25" t="n"/>
      <c r="H78" s="25" t="n"/>
      <c r="I78" s="31" t="n"/>
      <c r="J78" s="32" t="n"/>
      <c r="K78" s="49" t="n"/>
      <c r="L78" s="51">
        <f>IFERROR(IF(A78="","",IF(OR(J78="",K78=""),"",J78*K78)),"")</f>
        <v/>
      </c>
      <c r="M78" s="49" t="n"/>
      <c r="N78" s="49" t="n"/>
      <c r="O78" s="51">
        <f>IFERROR(IF(A78="","",L78+M78+N78),"")</f>
        <v/>
      </c>
      <c r="P78" s="32" t="n"/>
      <c r="Q78" s="49" t="n"/>
      <c r="R78" s="51">
        <f>IFERROR(IF(A78="","",IF(F78="Operating",O78,0)),"")</f>
        <v/>
      </c>
      <c r="S78" s="51">
        <f>IFERROR(IF(A78="","",IF(F78="Capital",O78,0)),"")</f>
        <v/>
      </c>
      <c r="T78" s="25" t="n"/>
      <c r="U78" s="25" t="n"/>
      <c r="V78" s="27">
        <f>IFERROR(IF(A78="","",IF(D78="","Missing Vendor",IF(E78="","Missing Category",IF(O78&gt;'Assumptions'!$B$114,"High Expense",IF(AND(U78="No",T78&lt;&gt;"Canceled",T78&lt;&gt;"Excluded"),"Missing Receipt","OK"))))),"")</f>
        <v/>
      </c>
      <c r="W78" s="31" t="n"/>
    </row>
    <row r="79">
      <c r="A79" s="25" t="n"/>
      <c r="B79" s="26" t="n"/>
      <c r="C79" s="25" t="n"/>
      <c r="D79" s="25" t="n"/>
      <c r="E79" s="25" t="n"/>
      <c r="F79" s="25" t="n"/>
      <c r="G79" s="25" t="n"/>
      <c r="H79" s="25" t="n"/>
      <c r="I79" s="31" t="n"/>
      <c r="J79" s="32" t="n"/>
      <c r="K79" s="49" t="n"/>
      <c r="L79" s="51">
        <f>IFERROR(IF(A79="","",IF(OR(J79="",K79=""),"",J79*K79)),"")</f>
        <v/>
      </c>
      <c r="M79" s="49" t="n"/>
      <c r="N79" s="49" t="n"/>
      <c r="O79" s="51">
        <f>IFERROR(IF(A79="","",L79+M79+N79),"")</f>
        <v/>
      </c>
      <c r="P79" s="32" t="n"/>
      <c r="Q79" s="49" t="n"/>
      <c r="R79" s="51">
        <f>IFERROR(IF(A79="","",IF(F79="Operating",O79,0)),"")</f>
        <v/>
      </c>
      <c r="S79" s="51">
        <f>IFERROR(IF(A79="","",IF(F79="Capital",O79,0)),"")</f>
        <v/>
      </c>
      <c r="T79" s="25" t="n"/>
      <c r="U79" s="25" t="n"/>
      <c r="V79" s="27">
        <f>IFERROR(IF(A79="","",IF(D79="","Missing Vendor",IF(E79="","Missing Category",IF(O79&gt;'Assumptions'!$B$114,"High Expense",IF(AND(U79="No",T79&lt;&gt;"Canceled",T79&lt;&gt;"Excluded"),"Missing Receipt","OK"))))),"")</f>
        <v/>
      </c>
      <c r="W79" s="31" t="n"/>
    </row>
    <row r="80">
      <c r="A80" s="25" t="n"/>
      <c r="B80" s="26" t="n"/>
      <c r="C80" s="25" t="n"/>
      <c r="D80" s="25" t="n"/>
      <c r="E80" s="25" t="n"/>
      <c r="F80" s="25" t="n"/>
      <c r="G80" s="25" t="n"/>
      <c r="H80" s="25" t="n"/>
      <c r="I80" s="31" t="n"/>
      <c r="J80" s="32" t="n"/>
      <c r="K80" s="49" t="n"/>
      <c r="L80" s="51">
        <f>IFERROR(IF(A80="","",IF(OR(J80="",K80=""),"",J80*K80)),"")</f>
        <v/>
      </c>
      <c r="M80" s="49" t="n"/>
      <c r="N80" s="49" t="n"/>
      <c r="O80" s="51">
        <f>IFERROR(IF(A80="","",L80+M80+N80),"")</f>
        <v/>
      </c>
      <c r="P80" s="32" t="n"/>
      <c r="Q80" s="49" t="n"/>
      <c r="R80" s="51">
        <f>IFERROR(IF(A80="","",IF(F80="Operating",O80,0)),"")</f>
        <v/>
      </c>
      <c r="S80" s="51">
        <f>IFERROR(IF(A80="","",IF(F80="Capital",O80,0)),"")</f>
        <v/>
      </c>
      <c r="T80" s="25" t="n"/>
      <c r="U80" s="25" t="n"/>
      <c r="V80" s="27">
        <f>IFERROR(IF(A80="","",IF(D80="","Missing Vendor",IF(E80="","Missing Category",IF(O80&gt;'Assumptions'!$B$114,"High Expense",IF(AND(U80="No",T80&lt;&gt;"Canceled",T80&lt;&gt;"Excluded"),"Missing Receipt","OK"))))),"")</f>
        <v/>
      </c>
      <c r="W80" s="31" t="n"/>
    </row>
    <row r="81">
      <c r="A81" s="25" t="n"/>
      <c r="B81" s="26" t="n"/>
      <c r="C81" s="25" t="n"/>
      <c r="D81" s="25" t="n"/>
      <c r="E81" s="25" t="n"/>
      <c r="F81" s="25" t="n"/>
      <c r="G81" s="25" t="n"/>
      <c r="H81" s="25" t="n"/>
      <c r="I81" s="31" t="n"/>
      <c r="J81" s="32" t="n"/>
      <c r="K81" s="49" t="n"/>
      <c r="L81" s="51">
        <f>IFERROR(IF(A81="","",IF(OR(J81="",K81=""),"",J81*K81)),"")</f>
        <v/>
      </c>
      <c r="M81" s="49" t="n"/>
      <c r="N81" s="49" t="n"/>
      <c r="O81" s="51">
        <f>IFERROR(IF(A81="","",L81+M81+N81),"")</f>
        <v/>
      </c>
      <c r="P81" s="32" t="n"/>
      <c r="Q81" s="49" t="n"/>
      <c r="R81" s="51">
        <f>IFERROR(IF(A81="","",IF(F81="Operating",O81,0)),"")</f>
        <v/>
      </c>
      <c r="S81" s="51">
        <f>IFERROR(IF(A81="","",IF(F81="Capital",O81,0)),"")</f>
        <v/>
      </c>
      <c r="T81" s="25" t="n"/>
      <c r="U81" s="25" t="n"/>
      <c r="V81" s="27">
        <f>IFERROR(IF(A81="","",IF(D81="","Missing Vendor",IF(E81="","Missing Category",IF(O81&gt;'Assumptions'!$B$114,"High Expense",IF(AND(U81="No",T81&lt;&gt;"Canceled",T81&lt;&gt;"Excluded"),"Missing Receipt","OK"))))),"")</f>
        <v/>
      </c>
      <c r="W81" s="31" t="n"/>
    </row>
    <row r="82">
      <c r="A82" s="25" t="n"/>
      <c r="B82" s="26" t="n"/>
      <c r="C82" s="25" t="n"/>
      <c r="D82" s="25" t="n"/>
      <c r="E82" s="25" t="n"/>
      <c r="F82" s="25" t="n"/>
      <c r="G82" s="25" t="n"/>
      <c r="H82" s="25" t="n"/>
      <c r="I82" s="31" t="n"/>
      <c r="J82" s="32" t="n"/>
      <c r="K82" s="49" t="n"/>
      <c r="L82" s="51">
        <f>IFERROR(IF(A82="","",IF(OR(J82="",K82=""),"",J82*K82)),"")</f>
        <v/>
      </c>
      <c r="M82" s="49" t="n"/>
      <c r="N82" s="49" t="n"/>
      <c r="O82" s="51">
        <f>IFERROR(IF(A82="","",L82+M82+N82),"")</f>
        <v/>
      </c>
      <c r="P82" s="32" t="n"/>
      <c r="Q82" s="49" t="n"/>
      <c r="R82" s="51">
        <f>IFERROR(IF(A82="","",IF(F82="Operating",O82,0)),"")</f>
        <v/>
      </c>
      <c r="S82" s="51">
        <f>IFERROR(IF(A82="","",IF(F82="Capital",O82,0)),"")</f>
        <v/>
      </c>
      <c r="T82" s="25" t="n"/>
      <c r="U82" s="25" t="n"/>
      <c r="V82" s="27">
        <f>IFERROR(IF(A82="","",IF(D82="","Missing Vendor",IF(E82="","Missing Category",IF(O82&gt;'Assumptions'!$B$114,"High Expense",IF(AND(U82="No",T82&lt;&gt;"Canceled",T82&lt;&gt;"Excluded"),"Missing Receipt","OK"))))),"")</f>
        <v/>
      </c>
      <c r="W82" s="31" t="n"/>
    </row>
    <row r="83">
      <c r="A83" s="25" t="n"/>
      <c r="B83" s="26" t="n"/>
      <c r="C83" s="25" t="n"/>
      <c r="D83" s="25" t="n"/>
      <c r="E83" s="25" t="n"/>
      <c r="F83" s="25" t="n"/>
      <c r="G83" s="25" t="n"/>
      <c r="H83" s="25" t="n"/>
      <c r="I83" s="31" t="n"/>
      <c r="J83" s="32" t="n"/>
      <c r="K83" s="49" t="n"/>
      <c r="L83" s="51">
        <f>IFERROR(IF(A83="","",IF(OR(J83="",K83=""),"",J83*K83)),"")</f>
        <v/>
      </c>
      <c r="M83" s="49" t="n"/>
      <c r="N83" s="49" t="n"/>
      <c r="O83" s="51">
        <f>IFERROR(IF(A83="","",L83+M83+N83),"")</f>
        <v/>
      </c>
      <c r="P83" s="32" t="n"/>
      <c r="Q83" s="49" t="n"/>
      <c r="R83" s="51">
        <f>IFERROR(IF(A83="","",IF(F83="Operating",O83,0)),"")</f>
        <v/>
      </c>
      <c r="S83" s="51">
        <f>IFERROR(IF(A83="","",IF(F83="Capital",O83,0)),"")</f>
        <v/>
      </c>
      <c r="T83" s="25" t="n"/>
      <c r="U83" s="25" t="n"/>
      <c r="V83" s="27">
        <f>IFERROR(IF(A83="","",IF(D83="","Missing Vendor",IF(E83="","Missing Category",IF(O83&gt;'Assumptions'!$B$114,"High Expense",IF(AND(U83="No",T83&lt;&gt;"Canceled",T83&lt;&gt;"Excluded"),"Missing Receipt","OK"))))),"")</f>
        <v/>
      </c>
      <c r="W83" s="31" t="n"/>
    </row>
    <row r="84">
      <c r="A84" s="25" t="n"/>
      <c r="B84" s="26" t="n"/>
      <c r="C84" s="25" t="n"/>
      <c r="D84" s="25" t="n"/>
      <c r="E84" s="25" t="n"/>
      <c r="F84" s="25" t="n"/>
      <c r="G84" s="25" t="n"/>
      <c r="H84" s="25" t="n"/>
      <c r="I84" s="31" t="n"/>
      <c r="J84" s="32" t="n"/>
      <c r="K84" s="49" t="n"/>
      <c r="L84" s="51">
        <f>IFERROR(IF(A84="","",IF(OR(J84="",K84=""),"",J84*K84)),"")</f>
        <v/>
      </c>
      <c r="M84" s="49" t="n"/>
      <c r="N84" s="49" t="n"/>
      <c r="O84" s="51">
        <f>IFERROR(IF(A84="","",L84+M84+N84),"")</f>
        <v/>
      </c>
      <c r="P84" s="32" t="n"/>
      <c r="Q84" s="49" t="n"/>
      <c r="R84" s="51">
        <f>IFERROR(IF(A84="","",IF(F84="Operating",O84,0)),"")</f>
        <v/>
      </c>
      <c r="S84" s="51">
        <f>IFERROR(IF(A84="","",IF(F84="Capital",O84,0)),"")</f>
        <v/>
      </c>
      <c r="T84" s="25" t="n"/>
      <c r="U84" s="25" t="n"/>
      <c r="V84" s="27">
        <f>IFERROR(IF(A84="","",IF(D84="","Missing Vendor",IF(E84="","Missing Category",IF(O84&gt;'Assumptions'!$B$114,"High Expense",IF(AND(U84="No",T84&lt;&gt;"Canceled",T84&lt;&gt;"Excluded"),"Missing Receipt","OK"))))),"")</f>
        <v/>
      </c>
      <c r="W84" s="31" t="n"/>
    </row>
    <row r="85">
      <c r="A85" s="25" t="n"/>
      <c r="B85" s="26" t="n"/>
      <c r="C85" s="25" t="n"/>
      <c r="D85" s="25" t="n"/>
      <c r="E85" s="25" t="n"/>
      <c r="F85" s="25" t="n"/>
      <c r="G85" s="25" t="n"/>
      <c r="H85" s="25" t="n"/>
      <c r="I85" s="31" t="n"/>
      <c r="J85" s="32" t="n"/>
      <c r="K85" s="49" t="n"/>
      <c r="L85" s="51">
        <f>IFERROR(IF(A85="","",IF(OR(J85="",K85=""),"",J85*K85)),"")</f>
        <v/>
      </c>
      <c r="M85" s="49" t="n"/>
      <c r="N85" s="49" t="n"/>
      <c r="O85" s="51">
        <f>IFERROR(IF(A85="","",L85+M85+N85),"")</f>
        <v/>
      </c>
      <c r="P85" s="32" t="n"/>
      <c r="Q85" s="49" t="n"/>
      <c r="R85" s="51">
        <f>IFERROR(IF(A85="","",IF(F85="Operating",O85,0)),"")</f>
        <v/>
      </c>
      <c r="S85" s="51">
        <f>IFERROR(IF(A85="","",IF(F85="Capital",O85,0)),"")</f>
        <v/>
      </c>
      <c r="T85" s="25" t="n"/>
      <c r="U85" s="25" t="n"/>
      <c r="V85" s="27">
        <f>IFERROR(IF(A85="","",IF(D85="","Missing Vendor",IF(E85="","Missing Category",IF(O85&gt;'Assumptions'!$B$114,"High Expense",IF(AND(U85="No",T85&lt;&gt;"Canceled",T85&lt;&gt;"Excluded"),"Missing Receipt","OK"))))),"")</f>
        <v/>
      </c>
      <c r="W85" s="31" t="n"/>
    </row>
    <row r="86">
      <c r="A86" s="25" t="n"/>
      <c r="B86" s="26" t="n"/>
      <c r="C86" s="25" t="n"/>
      <c r="D86" s="25" t="n"/>
      <c r="E86" s="25" t="n"/>
      <c r="F86" s="25" t="n"/>
      <c r="G86" s="25" t="n"/>
      <c r="H86" s="25" t="n"/>
      <c r="I86" s="31" t="n"/>
      <c r="J86" s="32" t="n"/>
      <c r="K86" s="49" t="n"/>
      <c r="L86" s="51">
        <f>IFERROR(IF(A86="","",IF(OR(J86="",K86=""),"",J86*K86)),"")</f>
        <v/>
      </c>
      <c r="M86" s="49" t="n"/>
      <c r="N86" s="49" t="n"/>
      <c r="O86" s="51">
        <f>IFERROR(IF(A86="","",L86+M86+N86),"")</f>
        <v/>
      </c>
      <c r="P86" s="32" t="n"/>
      <c r="Q86" s="49" t="n"/>
      <c r="R86" s="51">
        <f>IFERROR(IF(A86="","",IF(F86="Operating",O86,0)),"")</f>
        <v/>
      </c>
      <c r="S86" s="51">
        <f>IFERROR(IF(A86="","",IF(F86="Capital",O86,0)),"")</f>
        <v/>
      </c>
      <c r="T86" s="25" t="n"/>
      <c r="U86" s="25" t="n"/>
      <c r="V86" s="27">
        <f>IFERROR(IF(A86="","",IF(D86="","Missing Vendor",IF(E86="","Missing Category",IF(O86&gt;'Assumptions'!$B$114,"High Expense",IF(AND(U86="No",T86&lt;&gt;"Canceled",T86&lt;&gt;"Excluded"),"Missing Receipt","OK"))))),"")</f>
        <v/>
      </c>
      <c r="W86" s="31" t="n"/>
    </row>
    <row r="87">
      <c r="A87" s="25" t="n"/>
      <c r="B87" s="26" t="n"/>
      <c r="C87" s="25" t="n"/>
      <c r="D87" s="25" t="n"/>
      <c r="E87" s="25" t="n"/>
      <c r="F87" s="25" t="n"/>
      <c r="G87" s="25" t="n"/>
      <c r="H87" s="25" t="n"/>
      <c r="I87" s="31" t="n"/>
      <c r="J87" s="32" t="n"/>
      <c r="K87" s="49" t="n"/>
      <c r="L87" s="51">
        <f>IFERROR(IF(A87="","",IF(OR(J87="",K87=""),"",J87*K87)),"")</f>
        <v/>
      </c>
      <c r="M87" s="49" t="n"/>
      <c r="N87" s="49" t="n"/>
      <c r="O87" s="51">
        <f>IFERROR(IF(A87="","",L87+M87+N87),"")</f>
        <v/>
      </c>
      <c r="P87" s="32" t="n"/>
      <c r="Q87" s="49" t="n"/>
      <c r="R87" s="51">
        <f>IFERROR(IF(A87="","",IF(F87="Operating",O87,0)),"")</f>
        <v/>
      </c>
      <c r="S87" s="51">
        <f>IFERROR(IF(A87="","",IF(F87="Capital",O87,0)),"")</f>
        <v/>
      </c>
      <c r="T87" s="25" t="n"/>
      <c r="U87" s="25" t="n"/>
      <c r="V87" s="27">
        <f>IFERROR(IF(A87="","",IF(D87="","Missing Vendor",IF(E87="","Missing Category",IF(O87&gt;'Assumptions'!$B$114,"High Expense",IF(AND(U87="No",T87&lt;&gt;"Canceled",T87&lt;&gt;"Excluded"),"Missing Receipt","OK"))))),"")</f>
        <v/>
      </c>
      <c r="W87" s="31" t="n"/>
    </row>
    <row r="88">
      <c r="A88" s="25" t="n"/>
      <c r="B88" s="26" t="n"/>
      <c r="C88" s="25" t="n"/>
      <c r="D88" s="25" t="n"/>
      <c r="E88" s="25" t="n"/>
      <c r="F88" s="25" t="n"/>
      <c r="G88" s="25" t="n"/>
      <c r="H88" s="25" t="n"/>
      <c r="I88" s="31" t="n"/>
      <c r="J88" s="32" t="n"/>
      <c r="K88" s="49" t="n"/>
      <c r="L88" s="51">
        <f>IFERROR(IF(A88="","",IF(OR(J88="",K88=""),"",J88*K88)),"")</f>
        <v/>
      </c>
      <c r="M88" s="49" t="n"/>
      <c r="N88" s="49" t="n"/>
      <c r="O88" s="51">
        <f>IFERROR(IF(A88="","",L88+M88+N88),"")</f>
        <v/>
      </c>
      <c r="P88" s="32" t="n"/>
      <c r="Q88" s="49" t="n"/>
      <c r="R88" s="51">
        <f>IFERROR(IF(A88="","",IF(F88="Operating",O88,0)),"")</f>
        <v/>
      </c>
      <c r="S88" s="51">
        <f>IFERROR(IF(A88="","",IF(F88="Capital",O88,0)),"")</f>
        <v/>
      </c>
      <c r="T88" s="25" t="n"/>
      <c r="U88" s="25" t="n"/>
      <c r="V88" s="27">
        <f>IFERROR(IF(A88="","",IF(D88="","Missing Vendor",IF(E88="","Missing Category",IF(O88&gt;'Assumptions'!$B$114,"High Expense",IF(AND(U88="No",T88&lt;&gt;"Canceled",T88&lt;&gt;"Excluded"),"Missing Receipt","OK"))))),"")</f>
        <v/>
      </c>
      <c r="W88" s="31" t="n"/>
    </row>
    <row r="89">
      <c r="A89" s="25" t="n"/>
      <c r="B89" s="26" t="n"/>
      <c r="C89" s="25" t="n"/>
      <c r="D89" s="25" t="n"/>
      <c r="E89" s="25" t="n"/>
      <c r="F89" s="25" t="n"/>
      <c r="G89" s="25" t="n"/>
      <c r="H89" s="25" t="n"/>
      <c r="I89" s="31" t="n"/>
      <c r="J89" s="32" t="n"/>
      <c r="K89" s="49" t="n"/>
      <c r="L89" s="51">
        <f>IFERROR(IF(A89="","",IF(OR(J89="",K89=""),"",J89*K89)),"")</f>
        <v/>
      </c>
      <c r="M89" s="49" t="n"/>
      <c r="N89" s="49" t="n"/>
      <c r="O89" s="51">
        <f>IFERROR(IF(A89="","",L89+M89+N89),"")</f>
        <v/>
      </c>
      <c r="P89" s="32" t="n"/>
      <c r="Q89" s="49" t="n"/>
      <c r="R89" s="51">
        <f>IFERROR(IF(A89="","",IF(F89="Operating",O89,0)),"")</f>
        <v/>
      </c>
      <c r="S89" s="51">
        <f>IFERROR(IF(A89="","",IF(F89="Capital",O89,0)),"")</f>
        <v/>
      </c>
      <c r="T89" s="25" t="n"/>
      <c r="U89" s="25" t="n"/>
      <c r="V89" s="27">
        <f>IFERROR(IF(A89="","",IF(D89="","Missing Vendor",IF(E89="","Missing Category",IF(O89&gt;'Assumptions'!$B$114,"High Expense",IF(AND(U89="No",T89&lt;&gt;"Canceled",T89&lt;&gt;"Excluded"),"Missing Receipt","OK"))))),"")</f>
        <v/>
      </c>
      <c r="W89" s="31" t="n"/>
    </row>
    <row r="90">
      <c r="A90" s="25" t="n"/>
      <c r="B90" s="26" t="n"/>
      <c r="C90" s="25" t="n"/>
      <c r="D90" s="25" t="n"/>
      <c r="E90" s="25" t="n"/>
      <c r="F90" s="25" t="n"/>
      <c r="G90" s="25" t="n"/>
      <c r="H90" s="25" t="n"/>
      <c r="I90" s="31" t="n"/>
      <c r="J90" s="32" t="n"/>
      <c r="K90" s="49" t="n"/>
      <c r="L90" s="51">
        <f>IFERROR(IF(A90="","",IF(OR(J90="",K90=""),"",J90*K90)),"")</f>
        <v/>
      </c>
      <c r="M90" s="49" t="n"/>
      <c r="N90" s="49" t="n"/>
      <c r="O90" s="51">
        <f>IFERROR(IF(A90="","",L90+M90+N90),"")</f>
        <v/>
      </c>
      <c r="P90" s="32" t="n"/>
      <c r="Q90" s="49" t="n"/>
      <c r="R90" s="51">
        <f>IFERROR(IF(A90="","",IF(F90="Operating",O90,0)),"")</f>
        <v/>
      </c>
      <c r="S90" s="51">
        <f>IFERROR(IF(A90="","",IF(F90="Capital",O90,0)),"")</f>
        <v/>
      </c>
      <c r="T90" s="25" t="n"/>
      <c r="U90" s="25" t="n"/>
      <c r="V90" s="27">
        <f>IFERROR(IF(A90="","",IF(D90="","Missing Vendor",IF(E90="","Missing Category",IF(O90&gt;'Assumptions'!$B$114,"High Expense",IF(AND(U90="No",T90&lt;&gt;"Canceled",T90&lt;&gt;"Excluded"),"Missing Receipt","OK"))))),"")</f>
        <v/>
      </c>
      <c r="W90" s="31" t="n"/>
    </row>
    <row r="91">
      <c r="A91" s="25" t="n"/>
      <c r="B91" s="26" t="n"/>
      <c r="C91" s="25" t="n"/>
      <c r="D91" s="25" t="n"/>
      <c r="E91" s="25" t="n"/>
      <c r="F91" s="25" t="n"/>
      <c r="G91" s="25" t="n"/>
      <c r="H91" s="25" t="n"/>
      <c r="I91" s="31" t="n"/>
      <c r="J91" s="32" t="n"/>
      <c r="K91" s="49" t="n"/>
      <c r="L91" s="51">
        <f>IFERROR(IF(A91="","",IF(OR(J91="",K91=""),"",J91*K91)),"")</f>
        <v/>
      </c>
      <c r="M91" s="49" t="n"/>
      <c r="N91" s="49" t="n"/>
      <c r="O91" s="51">
        <f>IFERROR(IF(A91="","",L91+M91+N91),"")</f>
        <v/>
      </c>
      <c r="P91" s="32" t="n"/>
      <c r="Q91" s="49" t="n"/>
      <c r="R91" s="51">
        <f>IFERROR(IF(A91="","",IF(F91="Operating",O91,0)),"")</f>
        <v/>
      </c>
      <c r="S91" s="51">
        <f>IFERROR(IF(A91="","",IF(F91="Capital",O91,0)),"")</f>
        <v/>
      </c>
      <c r="T91" s="25" t="n"/>
      <c r="U91" s="25" t="n"/>
      <c r="V91" s="27">
        <f>IFERROR(IF(A91="","",IF(D91="","Missing Vendor",IF(E91="","Missing Category",IF(O91&gt;'Assumptions'!$B$114,"High Expense",IF(AND(U91="No",T91&lt;&gt;"Canceled",T91&lt;&gt;"Excluded"),"Missing Receipt","OK"))))),"")</f>
        <v/>
      </c>
      <c r="W91" s="31" t="n"/>
    </row>
    <row r="92">
      <c r="A92" s="25" t="n"/>
      <c r="B92" s="26" t="n"/>
      <c r="C92" s="25" t="n"/>
      <c r="D92" s="25" t="n"/>
      <c r="E92" s="25" t="n"/>
      <c r="F92" s="25" t="n"/>
      <c r="G92" s="25" t="n"/>
      <c r="H92" s="25" t="n"/>
      <c r="I92" s="31" t="n"/>
      <c r="J92" s="32" t="n"/>
      <c r="K92" s="49" t="n"/>
      <c r="L92" s="51">
        <f>IFERROR(IF(A92="","",IF(OR(J92="",K92=""),"",J92*K92)),"")</f>
        <v/>
      </c>
      <c r="M92" s="49" t="n"/>
      <c r="N92" s="49" t="n"/>
      <c r="O92" s="51">
        <f>IFERROR(IF(A92="","",L92+M92+N92),"")</f>
        <v/>
      </c>
      <c r="P92" s="32" t="n"/>
      <c r="Q92" s="49" t="n"/>
      <c r="R92" s="51">
        <f>IFERROR(IF(A92="","",IF(F92="Operating",O92,0)),"")</f>
        <v/>
      </c>
      <c r="S92" s="51">
        <f>IFERROR(IF(A92="","",IF(F92="Capital",O92,0)),"")</f>
        <v/>
      </c>
      <c r="T92" s="25" t="n"/>
      <c r="U92" s="25" t="n"/>
      <c r="V92" s="27">
        <f>IFERROR(IF(A92="","",IF(D92="","Missing Vendor",IF(E92="","Missing Category",IF(O92&gt;'Assumptions'!$B$114,"High Expense",IF(AND(U92="No",T92&lt;&gt;"Canceled",T92&lt;&gt;"Excluded"),"Missing Receipt","OK"))))),"")</f>
        <v/>
      </c>
      <c r="W92" s="31" t="n"/>
    </row>
    <row r="93">
      <c r="A93" s="25" t="n"/>
      <c r="B93" s="26" t="n"/>
      <c r="C93" s="25" t="n"/>
      <c r="D93" s="25" t="n"/>
      <c r="E93" s="25" t="n"/>
      <c r="F93" s="25" t="n"/>
      <c r="G93" s="25" t="n"/>
      <c r="H93" s="25" t="n"/>
      <c r="I93" s="31" t="n"/>
      <c r="J93" s="32" t="n"/>
      <c r="K93" s="49" t="n"/>
      <c r="L93" s="51">
        <f>IFERROR(IF(A93="","",IF(OR(J93="",K93=""),"",J93*K93)),"")</f>
        <v/>
      </c>
      <c r="M93" s="49" t="n"/>
      <c r="N93" s="49" t="n"/>
      <c r="O93" s="51">
        <f>IFERROR(IF(A93="","",L93+M93+N93),"")</f>
        <v/>
      </c>
      <c r="P93" s="32" t="n"/>
      <c r="Q93" s="49" t="n"/>
      <c r="R93" s="51">
        <f>IFERROR(IF(A93="","",IF(F93="Operating",O93,0)),"")</f>
        <v/>
      </c>
      <c r="S93" s="51">
        <f>IFERROR(IF(A93="","",IF(F93="Capital",O93,0)),"")</f>
        <v/>
      </c>
      <c r="T93" s="25" t="n"/>
      <c r="U93" s="25" t="n"/>
      <c r="V93" s="27">
        <f>IFERROR(IF(A93="","",IF(D93="","Missing Vendor",IF(E93="","Missing Category",IF(O93&gt;'Assumptions'!$B$114,"High Expense",IF(AND(U93="No",T93&lt;&gt;"Canceled",T93&lt;&gt;"Excluded"),"Missing Receipt","OK"))))),"")</f>
        <v/>
      </c>
      <c r="W93" s="31" t="n"/>
    </row>
    <row r="94">
      <c r="A94" s="25" t="n"/>
      <c r="B94" s="26" t="n"/>
      <c r="C94" s="25" t="n"/>
      <c r="D94" s="25" t="n"/>
      <c r="E94" s="25" t="n"/>
      <c r="F94" s="25" t="n"/>
      <c r="G94" s="25" t="n"/>
      <c r="H94" s="25" t="n"/>
      <c r="I94" s="31" t="n"/>
      <c r="J94" s="32" t="n"/>
      <c r="K94" s="49" t="n"/>
      <c r="L94" s="51">
        <f>IFERROR(IF(A94="","",IF(OR(J94="",K94=""),"",J94*K94)),"")</f>
        <v/>
      </c>
      <c r="M94" s="49" t="n"/>
      <c r="N94" s="49" t="n"/>
      <c r="O94" s="51">
        <f>IFERROR(IF(A94="","",L94+M94+N94),"")</f>
        <v/>
      </c>
      <c r="P94" s="32" t="n"/>
      <c r="Q94" s="49" t="n"/>
      <c r="R94" s="51">
        <f>IFERROR(IF(A94="","",IF(F94="Operating",O94,0)),"")</f>
        <v/>
      </c>
      <c r="S94" s="51">
        <f>IFERROR(IF(A94="","",IF(F94="Capital",O94,0)),"")</f>
        <v/>
      </c>
      <c r="T94" s="25" t="n"/>
      <c r="U94" s="25" t="n"/>
      <c r="V94" s="27">
        <f>IFERROR(IF(A94="","",IF(D94="","Missing Vendor",IF(E94="","Missing Category",IF(O94&gt;'Assumptions'!$B$114,"High Expense",IF(AND(U94="No",T94&lt;&gt;"Canceled",T94&lt;&gt;"Excluded"),"Missing Receipt","OK"))))),"")</f>
        <v/>
      </c>
      <c r="W94" s="31" t="n"/>
    </row>
    <row r="95">
      <c r="A95" s="25" t="n"/>
      <c r="B95" s="26" t="n"/>
      <c r="C95" s="25" t="n"/>
      <c r="D95" s="25" t="n"/>
      <c r="E95" s="25" t="n"/>
      <c r="F95" s="25" t="n"/>
      <c r="G95" s="25" t="n"/>
      <c r="H95" s="25" t="n"/>
      <c r="I95" s="31" t="n"/>
      <c r="J95" s="32" t="n"/>
      <c r="K95" s="49" t="n"/>
      <c r="L95" s="51">
        <f>IFERROR(IF(A95="","",IF(OR(J95="",K95=""),"",J95*K95)),"")</f>
        <v/>
      </c>
      <c r="M95" s="49" t="n"/>
      <c r="N95" s="49" t="n"/>
      <c r="O95" s="51">
        <f>IFERROR(IF(A95="","",L95+M95+N95),"")</f>
        <v/>
      </c>
      <c r="P95" s="32" t="n"/>
      <c r="Q95" s="49" t="n"/>
      <c r="R95" s="51">
        <f>IFERROR(IF(A95="","",IF(F95="Operating",O95,0)),"")</f>
        <v/>
      </c>
      <c r="S95" s="51">
        <f>IFERROR(IF(A95="","",IF(F95="Capital",O95,0)),"")</f>
        <v/>
      </c>
      <c r="T95" s="25" t="n"/>
      <c r="U95" s="25" t="n"/>
      <c r="V95" s="27">
        <f>IFERROR(IF(A95="","",IF(D95="","Missing Vendor",IF(E95="","Missing Category",IF(O95&gt;'Assumptions'!$B$114,"High Expense",IF(AND(U95="No",T95&lt;&gt;"Canceled",T95&lt;&gt;"Excluded"),"Missing Receipt","OK"))))),"")</f>
        <v/>
      </c>
      <c r="W95" s="31" t="n"/>
    </row>
    <row r="96">
      <c r="A96" s="25" t="n"/>
      <c r="B96" s="26" t="n"/>
      <c r="C96" s="25" t="n"/>
      <c r="D96" s="25" t="n"/>
      <c r="E96" s="25" t="n"/>
      <c r="F96" s="25" t="n"/>
      <c r="G96" s="25" t="n"/>
      <c r="H96" s="25" t="n"/>
      <c r="I96" s="31" t="n"/>
      <c r="J96" s="32" t="n"/>
      <c r="K96" s="49" t="n"/>
      <c r="L96" s="51">
        <f>IFERROR(IF(A96="","",IF(OR(J96="",K96=""),"",J96*K96)),"")</f>
        <v/>
      </c>
      <c r="M96" s="49" t="n"/>
      <c r="N96" s="49" t="n"/>
      <c r="O96" s="51">
        <f>IFERROR(IF(A96="","",L96+M96+N96),"")</f>
        <v/>
      </c>
      <c r="P96" s="32" t="n"/>
      <c r="Q96" s="49" t="n"/>
      <c r="R96" s="51">
        <f>IFERROR(IF(A96="","",IF(F96="Operating",O96,0)),"")</f>
        <v/>
      </c>
      <c r="S96" s="51">
        <f>IFERROR(IF(A96="","",IF(F96="Capital",O96,0)),"")</f>
        <v/>
      </c>
      <c r="T96" s="25" t="n"/>
      <c r="U96" s="25" t="n"/>
      <c r="V96" s="27">
        <f>IFERROR(IF(A96="","",IF(D96="","Missing Vendor",IF(E96="","Missing Category",IF(O96&gt;'Assumptions'!$B$114,"High Expense",IF(AND(U96="No",T96&lt;&gt;"Canceled",T96&lt;&gt;"Excluded"),"Missing Receipt","OK"))))),"")</f>
        <v/>
      </c>
      <c r="W96" s="31" t="n"/>
    </row>
    <row r="97">
      <c r="A97" s="25" t="n"/>
      <c r="B97" s="26" t="n"/>
      <c r="C97" s="25" t="n"/>
      <c r="D97" s="25" t="n"/>
      <c r="E97" s="25" t="n"/>
      <c r="F97" s="25" t="n"/>
      <c r="G97" s="25" t="n"/>
      <c r="H97" s="25" t="n"/>
      <c r="I97" s="31" t="n"/>
      <c r="J97" s="32" t="n"/>
      <c r="K97" s="49" t="n"/>
      <c r="L97" s="51">
        <f>IFERROR(IF(A97="","",IF(OR(J97="",K97=""),"",J97*K97)),"")</f>
        <v/>
      </c>
      <c r="M97" s="49" t="n"/>
      <c r="N97" s="49" t="n"/>
      <c r="O97" s="51">
        <f>IFERROR(IF(A97="","",L97+M97+N97),"")</f>
        <v/>
      </c>
      <c r="P97" s="32" t="n"/>
      <c r="Q97" s="49" t="n"/>
      <c r="R97" s="51">
        <f>IFERROR(IF(A97="","",IF(F97="Operating",O97,0)),"")</f>
        <v/>
      </c>
      <c r="S97" s="51">
        <f>IFERROR(IF(A97="","",IF(F97="Capital",O97,0)),"")</f>
        <v/>
      </c>
      <c r="T97" s="25" t="n"/>
      <c r="U97" s="25" t="n"/>
      <c r="V97" s="27">
        <f>IFERROR(IF(A97="","",IF(D97="","Missing Vendor",IF(E97="","Missing Category",IF(O97&gt;'Assumptions'!$B$114,"High Expense",IF(AND(U97="No",T97&lt;&gt;"Canceled",T97&lt;&gt;"Excluded"),"Missing Receipt","OK"))))),"")</f>
        <v/>
      </c>
      <c r="W97" s="31" t="n"/>
    </row>
    <row r="98">
      <c r="A98" s="25" t="n"/>
      <c r="B98" s="26" t="n"/>
      <c r="C98" s="25" t="n"/>
      <c r="D98" s="25" t="n"/>
      <c r="E98" s="25" t="n"/>
      <c r="F98" s="25" t="n"/>
      <c r="G98" s="25" t="n"/>
      <c r="H98" s="25" t="n"/>
      <c r="I98" s="31" t="n"/>
      <c r="J98" s="32" t="n"/>
      <c r="K98" s="49" t="n"/>
      <c r="L98" s="51">
        <f>IFERROR(IF(A98="","",IF(OR(J98="",K98=""),"",J98*K98)),"")</f>
        <v/>
      </c>
      <c r="M98" s="49" t="n"/>
      <c r="N98" s="49" t="n"/>
      <c r="O98" s="51">
        <f>IFERROR(IF(A98="","",L98+M98+N98),"")</f>
        <v/>
      </c>
      <c r="P98" s="32" t="n"/>
      <c r="Q98" s="49" t="n"/>
      <c r="R98" s="51">
        <f>IFERROR(IF(A98="","",IF(F98="Operating",O98,0)),"")</f>
        <v/>
      </c>
      <c r="S98" s="51">
        <f>IFERROR(IF(A98="","",IF(F98="Capital",O98,0)),"")</f>
        <v/>
      </c>
      <c r="T98" s="25" t="n"/>
      <c r="U98" s="25" t="n"/>
      <c r="V98" s="27">
        <f>IFERROR(IF(A98="","",IF(D98="","Missing Vendor",IF(E98="","Missing Category",IF(O98&gt;'Assumptions'!$B$114,"High Expense",IF(AND(U98="No",T98&lt;&gt;"Canceled",T98&lt;&gt;"Excluded"),"Missing Receipt","OK"))))),"")</f>
        <v/>
      </c>
      <c r="W98" s="31" t="n"/>
    </row>
    <row r="99">
      <c r="A99" s="25" t="n"/>
      <c r="B99" s="26" t="n"/>
      <c r="C99" s="25" t="n"/>
      <c r="D99" s="25" t="n"/>
      <c r="E99" s="25" t="n"/>
      <c r="F99" s="25" t="n"/>
      <c r="G99" s="25" t="n"/>
      <c r="H99" s="25" t="n"/>
      <c r="I99" s="31" t="n"/>
      <c r="J99" s="32" t="n"/>
      <c r="K99" s="49" t="n"/>
      <c r="L99" s="51">
        <f>IFERROR(IF(A99="","",IF(OR(J99="",K99=""),"",J99*K99)),"")</f>
        <v/>
      </c>
      <c r="M99" s="49" t="n"/>
      <c r="N99" s="49" t="n"/>
      <c r="O99" s="51">
        <f>IFERROR(IF(A99="","",L99+M99+N99),"")</f>
        <v/>
      </c>
      <c r="P99" s="32" t="n"/>
      <c r="Q99" s="49" t="n"/>
      <c r="R99" s="51">
        <f>IFERROR(IF(A99="","",IF(F99="Operating",O99,0)),"")</f>
        <v/>
      </c>
      <c r="S99" s="51">
        <f>IFERROR(IF(A99="","",IF(F99="Capital",O99,0)),"")</f>
        <v/>
      </c>
      <c r="T99" s="25" t="n"/>
      <c r="U99" s="25" t="n"/>
      <c r="V99" s="27">
        <f>IFERROR(IF(A99="","",IF(D99="","Missing Vendor",IF(E99="","Missing Category",IF(O99&gt;'Assumptions'!$B$114,"High Expense",IF(AND(U99="No",T99&lt;&gt;"Canceled",T99&lt;&gt;"Excluded"),"Missing Receipt","OK"))))),"")</f>
        <v/>
      </c>
      <c r="W99" s="31" t="n"/>
    </row>
    <row r="100">
      <c r="A100" s="25" t="n"/>
      <c r="B100" s="26" t="n"/>
      <c r="C100" s="25" t="n"/>
      <c r="D100" s="25" t="n"/>
      <c r="E100" s="25" t="n"/>
      <c r="F100" s="25" t="n"/>
      <c r="G100" s="25" t="n"/>
      <c r="H100" s="25" t="n"/>
      <c r="I100" s="31" t="n"/>
      <c r="J100" s="32" t="n"/>
      <c r="K100" s="49" t="n"/>
      <c r="L100" s="51">
        <f>IFERROR(IF(A100="","",IF(OR(J100="",K100=""),"",J100*K100)),"")</f>
        <v/>
      </c>
      <c r="M100" s="49" t="n"/>
      <c r="N100" s="49" t="n"/>
      <c r="O100" s="51">
        <f>IFERROR(IF(A100="","",L100+M100+N100),"")</f>
        <v/>
      </c>
      <c r="P100" s="32" t="n"/>
      <c r="Q100" s="49" t="n"/>
      <c r="R100" s="51">
        <f>IFERROR(IF(A100="","",IF(F100="Operating",O100,0)),"")</f>
        <v/>
      </c>
      <c r="S100" s="51">
        <f>IFERROR(IF(A100="","",IF(F100="Capital",O100,0)),"")</f>
        <v/>
      </c>
      <c r="T100" s="25" t="n"/>
      <c r="U100" s="25" t="n"/>
      <c r="V100" s="27">
        <f>IFERROR(IF(A100="","",IF(D100="","Missing Vendor",IF(E100="","Missing Category",IF(O100&gt;'Assumptions'!$B$114,"High Expense",IF(AND(U100="No",T100&lt;&gt;"Canceled",T100&lt;&gt;"Excluded"),"Missing Receipt","OK"))))),"")</f>
        <v/>
      </c>
      <c r="W100" s="31" t="n"/>
    </row>
    <row r="101">
      <c r="A101" s="25" t="n"/>
      <c r="B101" s="26" t="n"/>
      <c r="C101" s="25" t="n"/>
      <c r="D101" s="25" t="n"/>
      <c r="E101" s="25" t="n"/>
      <c r="F101" s="25" t="n"/>
      <c r="G101" s="25" t="n"/>
      <c r="H101" s="25" t="n"/>
      <c r="I101" s="31" t="n"/>
      <c r="J101" s="32" t="n"/>
      <c r="K101" s="49" t="n"/>
      <c r="L101" s="51">
        <f>IFERROR(IF(A101="","",IF(OR(J101="",K101=""),"",J101*K101)),"")</f>
        <v/>
      </c>
      <c r="M101" s="49" t="n"/>
      <c r="N101" s="49" t="n"/>
      <c r="O101" s="51">
        <f>IFERROR(IF(A101="","",L101+M101+N101),"")</f>
        <v/>
      </c>
      <c r="P101" s="32" t="n"/>
      <c r="Q101" s="49" t="n"/>
      <c r="R101" s="51">
        <f>IFERROR(IF(A101="","",IF(F101="Operating",O101,0)),"")</f>
        <v/>
      </c>
      <c r="S101" s="51">
        <f>IFERROR(IF(A101="","",IF(F101="Capital",O101,0)),"")</f>
        <v/>
      </c>
      <c r="T101" s="25" t="n"/>
      <c r="U101" s="25" t="n"/>
      <c r="V101" s="27">
        <f>IFERROR(IF(A101="","",IF(D101="","Missing Vendor",IF(E101="","Missing Category",IF(O101&gt;'Assumptions'!$B$114,"High Expense",IF(AND(U101="No",T101&lt;&gt;"Canceled",T101&lt;&gt;"Excluded"),"Missing Receipt","OK"))))),"")</f>
        <v/>
      </c>
      <c r="W101" s="31" t="n"/>
    </row>
    <row r="102">
      <c r="A102" s="25" t="n"/>
      <c r="B102" s="26" t="n"/>
      <c r="C102" s="25" t="n"/>
      <c r="D102" s="25" t="n"/>
      <c r="E102" s="25" t="n"/>
      <c r="F102" s="25" t="n"/>
      <c r="G102" s="25" t="n"/>
      <c r="H102" s="25" t="n"/>
      <c r="I102" s="31" t="n"/>
      <c r="J102" s="32" t="n"/>
      <c r="K102" s="49" t="n"/>
      <c r="L102" s="51">
        <f>IFERROR(IF(A102="","",IF(OR(J102="",K102=""),"",J102*K102)),"")</f>
        <v/>
      </c>
      <c r="M102" s="49" t="n"/>
      <c r="N102" s="49" t="n"/>
      <c r="O102" s="51">
        <f>IFERROR(IF(A102="","",L102+M102+N102),"")</f>
        <v/>
      </c>
      <c r="P102" s="32" t="n"/>
      <c r="Q102" s="49" t="n"/>
      <c r="R102" s="51">
        <f>IFERROR(IF(A102="","",IF(F102="Operating",O102,0)),"")</f>
        <v/>
      </c>
      <c r="S102" s="51">
        <f>IFERROR(IF(A102="","",IF(F102="Capital",O102,0)),"")</f>
        <v/>
      </c>
      <c r="T102" s="25" t="n"/>
      <c r="U102" s="25" t="n"/>
      <c r="V102" s="27">
        <f>IFERROR(IF(A102="","",IF(D102="","Missing Vendor",IF(E102="","Missing Category",IF(O102&gt;'Assumptions'!$B$114,"High Expense",IF(AND(U102="No",T102&lt;&gt;"Canceled",T102&lt;&gt;"Excluded"),"Missing Receipt","OK"))))),"")</f>
        <v/>
      </c>
      <c r="W102" s="31" t="n"/>
    </row>
    <row r="103">
      <c r="A103" s="25" t="n"/>
      <c r="B103" s="26" t="n"/>
      <c r="C103" s="25" t="n"/>
      <c r="D103" s="25" t="n"/>
      <c r="E103" s="25" t="n"/>
      <c r="F103" s="25" t="n"/>
      <c r="G103" s="25" t="n"/>
      <c r="H103" s="25" t="n"/>
      <c r="I103" s="31" t="n"/>
      <c r="J103" s="32" t="n"/>
      <c r="K103" s="49" t="n"/>
      <c r="L103" s="51">
        <f>IFERROR(IF(A103="","",IF(OR(J103="",K103=""),"",J103*K103)),"")</f>
        <v/>
      </c>
      <c r="M103" s="49" t="n"/>
      <c r="N103" s="49" t="n"/>
      <c r="O103" s="51">
        <f>IFERROR(IF(A103="","",L103+M103+N103),"")</f>
        <v/>
      </c>
      <c r="P103" s="32" t="n"/>
      <c r="Q103" s="49" t="n"/>
      <c r="R103" s="51">
        <f>IFERROR(IF(A103="","",IF(F103="Operating",O103,0)),"")</f>
        <v/>
      </c>
      <c r="S103" s="51">
        <f>IFERROR(IF(A103="","",IF(F103="Capital",O103,0)),"")</f>
        <v/>
      </c>
      <c r="T103" s="25" t="n"/>
      <c r="U103" s="25" t="n"/>
      <c r="V103" s="27">
        <f>IFERROR(IF(A103="","",IF(D103="","Missing Vendor",IF(E103="","Missing Category",IF(O103&gt;'Assumptions'!$B$114,"High Expense",IF(AND(U103="No",T103&lt;&gt;"Canceled",T103&lt;&gt;"Excluded"),"Missing Receipt","OK"))))),"")</f>
        <v/>
      </c>
      <c r="W103" s="31" t="n"/>
    </row>
    <row r="104">
      <c r="A104" s="25" t="n"/>
      <c r="B104" s="26" t="n"/>
      <c r="C104" s="25" t="n"/>
      <c r="D104" s="25" t="n"/>
      <c r="E104" s="25" t="n"/>
      <c r="F104" s="25" t="n"/>
      <c r="G104" s="25" t="n"/>
      <c r="H104" s="25" t="n"/>
      <c r="I104" s="31" t="n"/>
      <c r="J104" s="32" t="n"/>
      <c r="K104" s="49" t="n"/>
      <c r="L104" s="51">
        <f>IFERROR(IF(A104="","",IF(OR(J104="",K104=""),"",J104*K104)),"")</f>
        <v/>
      </c>
      <c r="M104" s="49" t="n"/>
      <c r="N104" s="49" t="n"/>
      <c r="O104" s="51">
        <f>IFERROR(IF(A104="","",L104+M104+N104),"")</f>
        <v/>
      </c>
      <c r="P104" s="32" t="n"/>
      <c r="Q104" s="49" t="n"/>
      <c r="R104" s="51">
        <f>IFERROR(IF(A104="","",IF(F104="Operating",O104,0)),"")</f>
        <v/>
      </c>
      <c r="S104" s="51">
        <f>IFERROR(IF(A104="","",IF(F104="Capital",O104,0)),"")</f>
        <v/>
      </c>
      <c r="T104" s="25" t="n"/>
      <c r="U104" s="25" t="n"/>
      <c r="V104" s="27">
        <f>IFERROR(IF(A104="","",IF(D104="","Missing Vendor",IF(E104="","Missing Category",IF(O104&gt;'Assumptions'!$B$114,"High Expense",IF(AND(U104="No",T104&lt;&gt;"Canceled",T104&lt;&gt;"Excluded"),"Missing Receipt","OK"))))),"")</f>
        <v/>
      </c>
      <c r="W104" s="31" t="n"/>
    </row>
    <row r="105">
      <c r="A105" s="25" t="n"/>
      <c r="B105" s="26" t="n"/>
      <c r="C105" s="25" t="n"/>
      <c r="D105" s="25" t="n"/>
      <c r="E105" s="25" t="n"/>
      <c r="F105" s="25" t="n"/>
      <c r="G105" s="25" t="n"/>
      <c r="H105" s="25" t="n"/>
      <c r="I105" s="31" t="n"/>
      <c r="J105" s="32" t="n"/>
      <c r="K105" s="49" t="n"/>
      <c r="L105" s="51">
        <f>IFERROR(IF(A105="","",IF(OR(J105="",K105=""),"",J105*K105)),"")</f>
        <v/>
      </c>
      <c r="M105" s="49" t="n"/>
      <c r="N105" s="49" t="n"/>
      <c r="O105" s="51">
        <f>IFERROR(IF(A105="","",L105+M105+N105),"")</f>
        <v/>
      </c>
      <c r="P105" s="32" t="n"/>
      <c r="Q105" s="49" t="n"/>
      <c r="R105" s="51">
        <f>IFERROR(IF(A105="","",IF(F105="Operating",O105,0)),"")</f>
        <v/>
      </c>
      <c r="S105" s="51">
        <f>IFERROR(IF(A105="","",IF(F105="Capital",O105,0)),"")</f>
        <v/>
      </c>
      <c r="T105" s="25" t="n"/>
      <c r="U105" s="25" t="n"/>
      <c r="V105" s="27">
        <f>IFERROR(IF(A105="","",IF(D105="","Missing Vendor",IF(E105="","Missing Category",IF(O105&gt;'Assumptions'!$B$114,"High Expense",IF(AND(U105="No",T105&lt;&gt;"Canceled",T105&lt;&gt;"Excluded"),"Missing Receipt","OK"))))),"")</f>
        <v/>
      </c>
      <c r="W105" s="31" t="n"/>
    </row>
    <row r="106">
      <c r="A106" s="25" t="n"/>
      <c r="B106" s="26" t="n"/>
      <c r="C106" s="25" t="n"/>
      <c r="D106" s="25" t="n"/>
      <c r="E106" s="25" t="n"/>
      <c r="F106" s="25" t="n"/>
      <c r="G106" s="25" t="n"/>
      <c r="H106" s="25" t="n"/>
      <c r="I106" s="31" t="n"/>
      <c r="J106" s="32" t="n"/>
      <c r="K106" s="49" t="n"/>
      <c r="L106" s="51">
        <f>IFERROR(IF(A106="","",IF(OR(J106="",K106=""),"",J106*K106)),"")</f>
        <v/>
      </c>
      <c r="M106" s="49" t="n"/>
      <c r="N106" s="49" t="n"/>
      <c r="O106" s="51">
        <f>IFERROR(IF(A106="","",L106+M106+N106),"")</f>
        <v/>
      </c>
      <c r="P106" s="32" t="n"/>
      <c r="Q106" s="49" t="n"/>
      <c r="R106" s="51">
        <f>IFERROR(IF(A106="","",IF(F106="Operating",O106,0)),"")</f>
        <v/>
      </c>
      <c r="S106" s="51">
        <f>IFERROR(IF(A106="","",IF(F106="Capital",O106,0)),"")</f>
        <v/>
      </c>
      <c r="T106" s="25" t="n"/>
      <c r="U106" s="25" t="n"/>
      <c r="V106" s="27">
        <f>IFERROR(IF(A106="","",IF(D106="","Missing Vendor",IF(E106="","Missing Category",IF(O106&gt;'Assumptions'!$B$114,"High Expense",IF(AND(U106="No",T106&lt;&gt;"Canceled",T106&lt;&gt;"Excluded"),"Missing Receipt","OK"))))),"")</f>
        <v/>
      </c>
      <c r="W106" s="31" t="n"/>
    </row>
    <row r="107">
      <c r="A107" s="25" t="n"/>
      <c r="B107" s="26" t="n"/>
      <c r="C107" s="25" t="n"/>
      <c r="D107" s="25" t="n"/>
      <c r="E107" s="25" t="n"/>
      <c r="F107" s="25" t="n"/>
      <c r="G107" s="25" t="n"/>
      <c r="H107" s="25" t="n"/>
      <c r="I107" s="31" t="n"/>
      <c r="J107" s="32" t="n"/>
      <c r="K107" s="49" t="n"/>
      <c r="L107" s="51">
        <f>IFERROR(IF(A107="","",IF(OR(J107="",K107=""),"",J107*K107)),"")</f>
        <v/>
      </c>
      <c r="M107" s="49" t="n"/>
      <c r="N107" s="49" t="n"/>
      <c r="O107" s="51">
        <f>IFERROR(IF(A107="","",L107+M107+N107),"")</f>
        <v/>
      </c>
      <c r="P107" s="32" t="n"/>
      <c r="Q107" s="49" t="n"/>
      <c r="R107" s="51">
        <f>IFERROR(IF(A107="","",IF(F107="Operating",O107,0)),"")</f>
        <v/>
      </c>
      <c r="S107" s="51">
        <f>IFERROR(IF(A107="","",IF(F107="Capital",O107,0)),"")</f>
        <v/>
      </c>
      <c r="T107" s="25" t="n"/>
      <c r="U107" s="25" t="n"/>
      <c r="V107" s="27">
        <f>IFERROR(IF(A107="","",IF(D107="","Missing Vendor",IF(E107="","Missing Category",IF(O107&gt;'Assumptions'!$B$114,"High Expense",IF(AND(U107="No",T107&lt;&gt;"Canceled",T107&lt;&gt;"Excluded"),"Missing Receipt","OK"))))),"")</f>
        <v/>
      </c>
      <c r="W107" s="31" t="n"/>
    </row>
    <row r="108">
      <c r="A108" s="25" t="n"/>
      <c r="B108" s="26" t="n"/>
      <c r="C108" s="25" t="n"/>
      <c r="D108" s="25" t="n"/>
      <c r="E108" s="25" t="n"/>
      <c r="F108" s="25" t="n"/>
      <c r="G108" s="25" t="n"/>
      <c r="H108" s="25" t="n"/>
      <c r="I108" s="31" t="n"/>
      <c r="J108" s="32" t="n"/>
      <c r="K108" s="49" t="n"/>
      <c r="L108" s="51">
        <f>IFERROR(IF(A108="","",IF(OR(J108="",K108=""),"",J108*K108)),"")</f>
        <v/>
      </c>
      <c r="M108" s="49" t="n"/>
      <c r="N108" s="49" t="n"/>
      <c r="O108" s="51">
        <f>IFERROR(IF(A108="","",L108+M108+N108),"")</f>
        <v/>
      </c>
      <c r="P108" s="32" t="n"/>
      <c r="Q108" s="49" t="n"/>
      <c r="R108" s="51">
        <f>IFERROR(IF(A108="","",IF(F108="Operating",O108,0)),"")</f>
        <v/>
      </c>
      <c r="S108" s="51">
        <f>IFERROR(IF(A108="","",IF(F108="Capital",O108,0)),"")</f>
        <v/>
      </c>
      <c r="T108" s="25" t="n"/>
      <c r="U108" s="25" t="n"/>
      <c r="V108" s="27">
        <f>IFERROR(IF(A108="","",IF(D108="","Missing Vendor",IF(E108="","Missing Category",IF(O108&gt;'Assumptions'!$B$114,"High Expense",IF(AND(U108="No",T108&lt;&gt;"Canceled",T108&lt;&gt;"Excluded"),"Missing Receipt","OK"))))),"")</f>
        <v/>
      </c>
      <c r="W108" s="31" t="n"/>
    </row>
    <row r="109">
      <c r="A109" s="25" t="n"/>
      <c r="B109" s="26" t="n"/>
      <c r="C109" s="25" t="n"/>
      <c r="D109" s="25" t="n"/>
      <c r="E109" s="25" t="n"/>
      <c r="F109" s="25" t="n"/>
      <c r="G109" s="25" t="n"/>
      <c r="H109" s="25" t="n"/>
      <c r="I109" s="31" t="n"/>
      <c r="J109" s="32" t="n"/>
      <c r="K109" s="49" t="n"/>
      <c r="L109" s="51">
        <f>IFERROR(IF(A109="","",IF(OR(J109="",K109=""),"",J109*K109)),"")</f>
        <v/>
      </c>
      <c r="M109" s="49" t="n"/>
      <c r="N109" s="49" t="n"/>
      <c r="O109" s="51">
        <f>IFERROR(IF(A109="","",L109+M109+N109),"")</f>
        <v/>
      </c>
      <c r="P109" s="32" t="n"/>
      <c r="Q109" s="49" t="n"/>
      <c r="R109" s="51">
        <f>IFERROR(IF(A109="","",IF(F109="Operating",O109,0)),"")</f>
        <v/>
      </c>
      <c r="S109" s="51">
        <f>IFERROR(IF(A109="","",IF(F109="Capital",O109,0)),"")</f>
        <v/>
      </c>
      <c r="T109" s="25" t="n"/>
      <c r="U109" s="25" t="n"/>
      <c r="V109" s="27">
        <f>IFERROR(IF(A109="","",IF(D109="","Missing Vendor",IF(E109="","Missing Category",IF(O109&gt;'Assumptions'!$B$114,"High Expense",IF(AND(U109="No",T109&lt;&gt;"Canceled",T109&lt;&gt;"Excluded"),"Missing Receipt","OK"))))),"")</f>
        <v/>
      </c>
      <c r="W109" s="31" t="n"/>
    </row>
    <row r="110">
      <c r="A110" s="25" t="n"/>
      <c r="B110" s="26" t="n"/>
      <c r="C110" s="25" t="n"/>
      <c r="D110" s="25" t="n"/>
      <c r="E110" s="25" t="n"/>
      <c r="F110" s="25" t="n"/>
      <c r="G110" s="25" t="n"/>
      <c r="H110" s="25" t="n"/>
      <c r="I110" s="31" t="n"/>
      <c r="J110" s="32" t="n"/>
      <c r="K110" s="49" t="n"/>
      <c r="L110" s="51">
        <f>IFERROR(IF(A110="","",IF(OR(J110="",K110=""),"",J110*K110)),"")</f>
        <v/>
      </c>
      <c r="M110" s="49" t="n"/>
      <c r="N110" s="49" t="n"/>
      <c r="O110" s="51">
        <f>IFERROR(IF(A110="","",L110+M110+N110),"")</f>
        <v/>
      </c>
      <c r="P110" s="32" t="n"/>
      <c r="Q110" s="49" t="n"/>
      <c r="R110" s="51">
        <f>IFERROR(IF(A110="","",IF(F110="Operating",O110,0)),"")</f>
        <v/>
      </c>
      <c r="S110" s="51">
        <f>IFERROR(IF(A110="","",IF(F110="Capital",O110,0)),"")</f>
        <v/>
      </c>
      <c r="T110" s="25" t="n"/>
      <c r="U110" s="25" t="n"/>
      <c r="V110" s="27">
        <f>IFERROR(IF(A110="","",IF(D110="","Missing Vendor",IF(E110="","Missing Category",IF(O110&gt;'Assumptions'!$B$114,"High Expense",IF(AND(U110="No",T110&lt;&gt;"Canceled",T110&lt;&gt;"Excluded"),"Missing Receipt","OK"))))),"")</f>
        <v/>
      </c>
      <c r="W110" s="31" t="n"/>
    </row>
    <row r="111">
      <c r="A111" s="25" t="n"/>
      <c r="B111" s="26" t="n"/>
      <c r="C111" s="25" t="n"/>
      <c r="D111" s="25" t="n"/>
      <c r="E111" s="25" t="n"/>
      <c r="F111" s="25" t="n"/>
      <c r="G111" s="25" t="n"/>
      <c r="H111" s="25" t="n"/>
      <c r="I111" s="31" t="n"/>
      <c r="J111" s="32" t="n"/>
      <c r="K111" s="49" t="n"/>
      <c r="L111" s="51">
        <f>IFERROR(IF(A111="","",IF(OR(J111="",K111=""),"",J111*K111)),"")</f>
        <v/>
      </c>
      <c r="M111" s="49" t="n"/>
      <c r="N111" s="49" t="n"/>
      <c r="O111" s="51">
        <f>IFERROR(IF(A111="","",L111+M111+N111),"")</f>
        <v/>
      </c>
      <c r="P111" s="32" t="n"/>
      <c r="Q111" s="49" t="n"/>
      <c r="R111" s="51">
        <f>IFERROR(IF(A111="","",IF(F111="Operating",O111,0)),"")</f>
        <v/>
      </c>
      <c r="S111" s="51">
        <f>IFERROR(IF(A111="","",IF(F111="Capital",O111,0)),"")</f>
        <v/>
      </c>
      <c r="T111" s="25" t="n"/>
      <c r="U111" s="25" t="n"/>
      <c r="V111" s="27">
        <f>IFERROR(IF(A111="","",IF(D111="","Missing Vendor",IF(E111="","Missing Category",IF(O111&gt;'Assumptions'!$B$114,"High Expense",IF(AND(U111="No",T111&lt;&gt;"Canceled",T111&lt;&gt;"Excluded"),"Missing Receipt","OK"))))),"")</f>
        <v/>
      </c>
      <c r="W111" s="31" t="n"/>
    </row>
    <row r="112">
      <c r="A112" s="25" t="n"/>
      <c r="B112" s="26" t="n"/>
      <c r="C112" s="25" t="n"/>
      <c r="D112" s="25" t="n"/>
      <c r="E112" s="25" t="n"/>
      <c r="F112" s="25" t="n"/>
      <c r="G112" s="25" t="n"/>
      <c r="H112" s="25" t="n"/>
      <c r="I112" s="31" t="n"/>
      <c r="J112" s="32" t="n"/>
      <c r="K112" s="49" t="n"/>
      <c r="L112" s="51">
        <f>IFERROR(IF(A112="","",IF(OR(J112="",K112=""),"",J112*K112)),"")</f>
        <v/>
      </c>
      <c r="M112" s="49" t="n"/>
      <c r="N112" s="49" t="n"/>
      <c r="O112" s="51">
        <f>IFERROR(IF(A112="","",L112+M112+N112),"")</f>
        <v/>
      </c>
      <c r="P112" s="32" t="n"/>
      <c r="Q112" s="49" t="n"/>
      <c r="R112" s="51">
        <f>IFERROR(IF(A112="","",IF(F112="Operating",O112,0)),"")</f>
        <v/>
      </c>
      <c r="S112" s="51">
        <f>IFERROR(IF(A112="","",IF(F112="Capital",O112,0)),"")</f>
        <v/>
      </c>
      <c r="T112" s="25" t="n"/>
      <c r="U112" s="25" t="n"/>
      <c r="V112" s="27">
        <f>IFERROR(IF(A112="","",IF(D112="","Missing Vendor",IF(E112="","Missing Category",IF(O112&gt;'Assumptions'!$B$114,"High Expense",IF(AND(U112="No",T112&lt;&gt;"Canceled",T112&lt;&gt;"Excluded"),"Missing Receipt","OK"))))),"")</f>
        <v/>
      </c>
      <c r="W112" s="31" t="n"/>
    </row>
    <row r="113">
      <c r="A113" s="25" t="n"/>
      <c r="B113" s="26" t="n"/>
      <c r="C113" s="25" t="n"/>
      <c r="D113" s="25" t="n"/>
      <c r="E113" s="25" t="n"/>
      <c r="F113" s="25" t="n"/>
      <c r="G113" s="25" t="n"/>
      <c r="H113" s="25" t="n"/>
      <c r="I113" s="31" t="n"/>
      <c r="J113" s="32" t="n"/>
      <c r="K113" s="49" t="n"/>
      <c r="L113" s="51">
        <f>IFERROR(IF(A113="","",IF(OR(J113="",K113=""),"",J113*K113)),"")</f>
        <v/>
      </c>
      <c r="M113" s="49" t="n"/>
      <c r="N113" s="49" t="n"/>
      <c r="O113" s="51">
        <f>IFERROR(IF(A113="","",L113+M113+N113),"")</f>
        <v/>
      </c>
      <c r="P113" s="32" t="n"/>
      <c r="Q113" s="49" t="n"/>
      <c r="R113" s="51">
        <f>IFERROR(IF(A113="","",IF(F113="Operating",O113,0)),"")</f>
        <v/>
      </c>
      <c r="S113" s="51">
        <f>IFERROR(IF(A113="","",IF(F113="Capital",O113,0)),"")</f>
        <v/>
      </c>
      <c r="T113" s="25" t="n"/>
      <c r="U113" s="25" t="n"/>
      <c r="V113" s="27">
        <f>IFERROR(IF(A113="","",IF(D113="","Missing Vendor",IF(E113="","Missing Category",IF(O113&gt;'Assumptions'!$B$114,"High Expense",IF(AND(U113="No",T113&lt;&gt;"Canceled",T113&lt;&gt;"Excluded"),"Missing Receipt","OK"))))),"")</f>
        <v/>
      </c>
      <c r="W113" s="31" t="n"/>
    </row>
    <row r="114">
      <c r="A114" s="25" t="n"/>
      <c r="B114" s="26" t="n"/>
      <c r="C114" s="25" t="n"/>
      <c r="D114" s="25" t="n"/>
      <c r="E114" s="25" t="n"/>
      <c r="F114" s="25" t="n"/>
      <c r="G114" s="25" t="n"/>
      <c r="H114" s="25" t="n"/>
      <c r="I114" s="31" t="n"/>
      <c r="J114" s="32" t="n"/>
      <c r="K114" s="49" t="n"/>
      <c r="L114" s="51">
        <f>IFERROR(IF(A114="","",IF(OR(J114="",K114=""),"",J114*K114)),"")</f>
        <v/>
      </c>
      <c r="M114" s="49" t="n"/>
      <c r="N114" s="49" t="n"/>
      <c r="O114" s="51">
        <f>IFERROR(IF(A114="","",L114+M114+N114),"")</f>
        <v/>
      </c>
      <c r="P114" s="32" t="n"/>
      <c r="Q114" s="49" t="n"/>
      <c r="R114" s="51">
        <f>IFERROR(IF(A114="","",IF(F114="Operating",O114,0)),"")</f>
        <v/>
      </c>
      <c r="S114" s="51">
        <f>IFERROR(IF(A114="","",IF(F114="Capital",O114,0)),"")</f>
        <v/>
      </c>
      <c r="T114" s="25" t="n"/>
      <c r="U114" s="25" t="n"/>
      <c r="V114" s="27">
        <f>IFERROR(IF(A114="","",IF(D114="","Missing Vendor",IF(E114="","Missing Category",IF(O114&gt;'Assumptions'!$B$114,"High Expense",IF(AND(U114="No",T114&lt;&gt;"Canceled",T114&lt;&gt;"Excluded"),"Missing Receipt","OK"))))),"")</f>
        <v/>
      </c>
      <c r="W114" s="31" t="n"/>
    </row>
    <row r="115">
      <c r="A115" s="25" t="n"/>
      <c r="B115" s="26" t="n"/>
      <c r="C115" s="25" t="n"/>
      <c r="D115" s="25" t="n"/>
      <c r="E115" s="25" t="n"/>
      <c r="F115" s="25" t="n"/>
      <c r="G115" s="25" t="n"/>
      <c r="H115" s="25" t="n"/>
      <c r="I115" s="31" t="n"/>
      <c r="J115" s="32" t="n"/>
      <c r="K115" s="49" t="n"/>
      <c r="L115" s="51">
        <f>IFERROR(IF(A115="","",IF(OR(J115="",K115=""),"",J115*K115)),"")</f>
        <v/>
      </c>
      <c r="M115" s="49" t="n"/>
      <c r="N115" s="49" t="n"/>
      <c r="O115" s="51">
        <f>IFERROR(IF(A115="","",L115+M115+N115),"")</f>
        <v/>
      </c>
      <c r="P115" s="32" t="n"/>
      <c r="Q115" s="49" t="n"/>
      <c r="R115" s="51">
        <f>IFERROR(IF(A115="","",IF(F115="Operating",O115,0)),"")</f>
        <v/>
      </c>
      <c r="S115" s="51">
        <f>IFERROR(IF(A115="","",IF(F115="Capital",O115,0)),"")</f>
        <v/>
      </c>
      <c r="T115" s="25" t="n"/>
      <c r="U115" s="25" t="n"/>
      <c r="V115" s="27">
        <f>IFERROR(IF(A115="","",IF(D115="","Missing Vendor",IF(E115="","Missing Category",IF(O115&gt;'Assumptions'!$B$114,"High Expense",IF(AND(U115="No",T115&lt;&gt;"Canceled",T115&lt;&gt;"Excluded"),"Missing Receipt","OK"))))),"")</f>
        <v/>
      </c>
      <c r="W115" s="31" t="n"/>
    </row>
    <row r="116">
      <c r="A116" s="25" t="n"/>
      <c r="B116" s="26" t="n"/>
      <c r="C116" s="25" t="n"/>
      <c r="D116" s="25" t="n"/>
      <c r="E116" s="25" t="n"/>
      <c r="F116" s="25" t="n"/>
      <c r="G116" s="25" t="n"/>
      <c r="H116" s="25" t="n"/>
      <c r="I116" s="31" t="n"/>
      <c r="J116" s="32" t="n"/>
      <c r="K116" s="49" t="n"/>
      <c r="L116" s="51">
        <f>IFERROR(IF(A116="","",IF(OR(J116="",K116=""),"",J116*K116)),"")</f>
        <v/>
      </c>
      <c r="M116" s="49" t="n"/>
      <c r="N116" s="49" t="n"/>
      <c r="O116" s="51">
        <f>IFERROR(IF(A116="","",L116+M116+N116),"")</f>
        <v/>
      </c>
      <c r="P116" s="32" t="n"/>
      <c r="Q116" s="49" t="n"/>
      <c r="R116" s="51">
        <f>IFERROR(IF(A116="","",IF(F116="Operating",O116,0)),"")</f>
        <v/>
      </c>
      <c r="S116" s="51">
        <f>IFERROR(IF(A116="","",IF(F116="Capital",O116,0)),"")</f>
        <v/>
      </c>
      <c r="T116" s="25" t="n"/>
      <c r="U116" s="25" t="n"/>
      <c r="V116" s="27">
        <f>IFERROR(IF(A116="","",IF(D116="","Missing Vendor",IF(E116="","Missing Category",IF(O116&gt;'Assumptions'!$B$114,"High Expense",IF(AND(U116="No",T116&lt;&gt;"Canceled",T116&lt;&gt;"Excluded"),"Missing Receipt","OK"))))),"")</f>
        <v/>
      </c>
      <c r="W116" s="31" t="n"/>
    </row>
    <row r="117">
      <c r="A117" s="25" t="n"/>
      <c r="B117" s="26" t="n"/>
      <c r="C117" s="25" t="n"/>
      <c r="D117" s="25" t="n"/>
      <c r="E117" s="25" t="n"/>
      <c r="F117" s="25" t="n"/>
      <c r="G117" s="25" t="n"/>
      <c r="H117" s="25" t="n"/>
      <c r="I117" s="31" t="n"/>
      <c r="J117" s="32" t="n"/>
      <c r="K117" s="49" t="n"/>
      <c r="L117" s="51">
        <f>IFERROR(IF(A117="","",IF(OR(J117="",K117=""),"",J117*K117)),"")</f>
        <v/>
      </c>
      <c r="M117" s="49" t="n"/>
      <c r="N117" s="49" t="n"/>
      <c r="O117" s="51">
        <f>IFERROR(IF(A117="","",L117+M117+N117),"")</f>
        <v/>
      </c>
      <c r="P117" s="32" t="n"/>
      <c r="Q117" s="49" t="n"/>
      <c r="R117" s="51">
        <f>IFERROR(IF(A117="","",IF(F117="Operating",O117,0)),"")</f>
        <v/>
      </c>
      <c r="S117" s="51">
        <f>IFERROR(IF(A117="","",IF(F117="Capital",O117,0)),"")</f>
        <v/>
      </c>
      <c r="T117" s="25" t="n"/>
      <c r="U117" s="25" t="n"/>
      <c r="V117" s="27">
        <f>IFERROR(IF(A117="","",IF(D117="","Missing Vendor",IF(E117="","Missing Category",IF(O117&gt;'Assumptions'!$B$114,"High Expense",IF(AND(U117="No",T117&lt;&gt;"Canceled",T117&lt;&gt;"Excluded"),"Missing Receipt","OK"))))),"")</f>
        <v/>
      </c>
      <c r="W117" s="31" t="n"/>
    </row>
    <row r="118">
      <c r="A118" s="25" t="n"/>
      <c r="B118" s="26" t="n"/>
      <c r="C118" s="25" t="n"/>
      <c r="D118" s="25" t="n"/>
      <c r="E118" s="25" t="n"/>
      <c r="F118" s="25" t="n"/>
      <c r="G118" s="25" t="n"/>
      <c r="H118" s="25" t="n"/>
      <c r="I118" s="31" t="n"/>
      <c r="J118" s="32" t="n"/>
      <c r="K118" s="49" t="n"/>
      <c r="L118" s="51">
        <f>IFERROR(IF(A118="","",IF(OR(J118="",K118=""),"",J118*K118)),"")</f>
        <v/>
      </c>
      <c r="M118" s="49" t="n"/>
      <c r="N118" s="49" t="n"/>
      <c r="O118" s="51">
        <f>IFERROR(IF(A118="","",L118+M118+N118),"")</f>
        <v/>
      </c>
      <c r="P118" s="32" t="n"/>
      <c r="Q118" s="49" t="n"/>
      <c r="R118" s="51">
        <f>IFERROR(IF(A118="","",IF(F118="Operating",O118,0)),"")</f>
        <v/>
      </c>
      <c r="S118" s="51">
        <f>IFERROR(IF(A118="","",IF(F118="Capital",O118,0)),"")</f>
        <v/>
      </c>
      <c r="T118" s="25" t="n"/>
      <c r="U118" s="25" t="n"/>
      <c r="V118" s="27">
        <f>IFERROR(IF(A118="","",IF(D118="","Missing Vendor",IF(E118="","Missing Category",IF(O118&gt;'Assumptions'!$B$114,"High Expense",IF(AND(U118="No",T118&lt;&gt;"Canceled",T118&lt;&gt;"Excluded"),"Missing Receipt","OK"))))),"")</f>
        <v/>
      </c>
      <c r="W118" s="31" t="n"/>
    </row>
    <row r="119">
      <c r="A119" s="25" t="n"/>
      <c r="B119" s="26" t="n"/>
      <c r="C119" s="25" t="n"/>
      <c r="D119" s="25" t="n"/>
      <c r="E119" s="25" t="n"/>
      <c r="F119" s="25" t="n"/>
      <c r="G119" s="25" t="n"/>
      <c r="H119" s="25" t="n"/>
      <c r="I119" s="31" t="n"/>
      <c r="J119" s="32" t="n"/>
      <c r="K119" s="49" t="n"/>
      <c r="L119" s="51">
        <f>IFERROR(IF(A119="","",IF(OR(J119="",K119=""),"",J119*K119)),"")</f>
        <v/>
      </c>
      <c r="M119" s="49" t="n"/>
      <c r="N119" s="49" t="n"/>
      <c r="O119" s="51">
        <f>IFERROR(IF(A119="","",L119+M119+N119),"")</f>
        <v/>
      </c>
      <c r="P119" s="32" t="n"/>
      <c r="Q119" s="49" t="n"/>
      <c r="R119" s="51">
        <f>IFERROR(IF(A119="","",IF(F119="Operating",O119,0)),"")</f>
        <v/>
      </c>
      <c r="S119" s="51">
        <f>IFERROR(IF(A119="","",IF(F119="Capital",O119,0)),"")</f>
        <v/>
      </c>
      <c r="T119" s="25" t="n"/>
      <c r="U119" s="25" t="n"/>
      <c r="V119" s="27">
        <f>IFERROR(IF(A119="","",IF(D119="","Missing Vendor",IF(E119="","Missing Category",IF(O119&gt;'Assumptions'!$B$114,"High Expense",IF(AND(U119="No",T119&lt;&gt;"Canceled",T119&lt;&gt;"Excluded"),"Missing Receipt","OK"))))),"")</f>
        <v/>
      </c>
      <c r="W119" s="31" t="n"/>
    </row>
    <row r="120">
      <c r="A120" s="25" t="n"/>
      <c r="B120" s="26" t="n"/>
      <c r="C120" s="25" t="n"/>
      <c r="D120" s="25" t="n"/>
      <c r="E120" s="25" t="n"/>
      <c r="F120" s="25" t="n"/>
      <c r="G120" s="25" t="n"/>
      <c r="H120" s="25" t="n"/>
      <c r="I120" s="31" t="n"/>
      <c r="J120" s="32" t="n"/>
      <c r="K120" s="49" t="n"/>
      <c r="L120" s="51">
        <f>IFERROR(IF(A120="","",IF(OR(J120="",K120=""),"",J120*K120)),"")</f>
        <v/>
      </c>
      <c r="M120" s="49" t="n"/>
      <c r="N120" s="49" t="n"/>
      <c r="O120" s="51">
        <f>IFERROR(IF(A120="","",L120+M120+N120),"")</f>
        <v/>
      </c>
      <c r="P120" s="32" t="n"/>
      <c r="Q120" s="49" t="n"/>
      <c r="R120" s="51">
        <f>IFERROR(IF(A120="","",IF(F120="Operating",O120,0)),"")</f>
        <v/>
      </c>
      <c r="S120" s="51">
        <f>IFERROR(IF(A120="","",IF(F120="Capital",O120,0)),"")</f>
        <v/>
      </c>
      <c r="T120" s="25" t="n"/>
      <c r="U120" s="25" t="n"/>
      <c r="V120" s="27">
        <f>IFERROR(IF(A120="","",IF(D120="","Missing Vendor",IF(E120="","Missing Category",IF(O120&gt;'Assumptions'!$B$114,"High Expense",IF(AND(U120="No",T120&lt;&gt;"Canceled",T120&lt;&gt;"Excluded"),"Missing Receipt","OK"))))),"")</f>
        <v/>
      </c>
      <c r="W120" s="31" t="n"/>
    </row>
    <row r="121">
      <c r="A121" s="25" t="n"/>
      <c r="B121" s="26" t="n"/>
      <c r="C121" s="25" t="n"/>
      <c r="D121" s="25" t="n"/>
      <c r="E121" s="25" t="n"/>
      <c r="F121" s="25" t="n"/>
      <c r="G121" s="25" t="n"/>
      <c r="H121" s="25" t="n"/>
      <c r="I121" s="31" t="n"/>
      <c r="J121" s="32" t="n"/>
      <c r="K121" s="49" t="n"/>
      <c r="L121" s="51">
        <f>IFERROR(IF(A121="","",IF(OR(J121="",K121=""),"",J121*K121)),"")</f>
        <v/>
      </c>
      <c r="M121" s="49" t="n"/>
      <c r="N121" s="49" t="n"/>
      <c r="O121" s="51">
        <f>IFERROR(IF(A121="","",L121+M121+N121),"")</f>
        <v/>
      </c>
      <c r="P121" s="32" t="n"/>
      <c r="Q121" s="49" t="n"/>
      <c r="R121" s="51">
        <f>IFERROR(IF(A121="","",IF(F121="Operating",O121,0)),"")</f>
        <v/>
      </c>
      <c r="S121" s="51">
        <f>IFERROR(IF(A121="","",IF(F121="Capital",O121,0)),"")</f>
        <v/>
      </c>
      <c r="T121" s="25" t="n"/>
      <c r="U121" s="25" t="n"/>
      <c r="V121" s="27">
        <f>IFERROR(IF(A121="","",IF(D121="","Missing Vendor",IF(E121="","Missing Category",IF(O121&gt;'Assumptions'!$B$114,"High Expense",IF(AND(U121="No",T121&lt;&gt;"Canceled",T121&lt;&gt;"Excluded"),"Missing Receipt","OK"))))),"")</f>
        <v/>
      </c>
      <c r="W121" s="31" t="n"/>
    </row>
    <row r="122">
      <c r="A122" s="25" t="n"/>
      <c r="B122" s="26" t="n"/>
      <c r="C122" s="25" t="n"/>
      <c r="D122" s="25" t="n"/>
      <c r="E122" s="25" t="n"/>
      <c r="F122" s="25" t="n"/>
      <c r="G122" s="25" t="n"/>
      <c r="H122" s="25" t="n"/>
      <c r="I122" s="31" t="n"/>
      <c r="J122" s="32" t="n"/>
      <c r="K122" s="49" t="n"/>
      <c r="L122" s="51">
        <f>IFERROR(IF(A122="","",IF(OR(J122="",K122=""),"",J122*K122)),"")</f>
        <v/>
      </c>
      <c r="M122" s="49" t="n"/>
      <c r="N122" s="49" t="n"/>
      <c r="O122" s="51">
        <f>IFERROR(IF(A122="","",L122+M122+N122),"")</f>
        <v/>
      </c>
      <c r="P122" s="32" t="n"/>
      <c r="Q122" s="49" t="n"/>
      <c r="R122" s="51">
        <f>IFERROR(IF(A122="","",IF(F122="Operating",O122,0)),"")</f>
        <v/>
      </c>
      <c r="S122" s="51">
        <f>IFERROR(IF(A122="","",IF(F122="Capital",O122,0)),"")</f>
        <v/>
      </c>
      <c r="T122" s="25" t="n"/>
      <c r="U122" s="25" t="n"/>
      <c r="V122" s="27">
        <f>IFERROR(IF(A122="","",IF(D122="","Missing Vendor",IF(E122="","Missing Category",IF(O122&gt;'Assumptions'!$B$114,"High Expense",IF(AND(U122="No",T122&lt;&gt;"Canceled",T122&lt;&gt;"Excluded"),"Missing Receipt","OK"))))),"")</f>
        <v/>
      </c>
      <c r="W122" s="31" t="n"/>
    </row>
    <row r="123">
      <c r="A123" s="25" t="n"/>
      <c r="B123" s="26" t="n"/>
      <c r="C123" s="25" t="n"/>
      <c r="D123" s="25" t="n"/>
      <c r="E123" s="25" t="n"/>
      <c r="F123" s="25" t="n"/>
      <c r="G123" s="25" t="n"/>
      <c r="H123" s="25" t="n"/>
      <c r="I123" s="31" t="n"/>
      <c r="J123" s="32" t="n"/>
      <c r="K123" s="49" t="n"/>
      <c r="L123" s="51">
        <f>IFERROR(IF(A123="","",IF(OR(J123="",K123=""),"",J123*K123)),"")</f>
        <v/>
      </c>
      <c r="M123" s="49" t="n"/>
      <c r="N123" s="49" t="n"/>
      <c r="O123" s="51">
        <f>IFERROR(IF(A123="","",L123+M123+N123),"")</f>
        <v/>
      </c>
      <c r="P123" s="32" t="n"/>
      <c r="Q123" s="49" t="n"/>
      <c r="R123" s="51">
        <f>IFERROR(IF(A123="","",IF(F123="Operating",O123,0)),"")</f>
        <v/>
      </c>
      <c r="S123" s="51">
        <f>IFERROR(IF(A123="","",IF(F123="Capital",O123,0)),"")</f>
        <v/>
      </c>
      <c r="T123" s="25" t="n"/>
      <c r="U123" s="25" t="n"/>
      <c r="V123" s="27">
        <f>IFERROR(IF(A123="","",IF(D123="","Missing Vendor",IF(E123="","Missing Category",IF(O123&gt;'Assumptions'!$B$114,"High Expense",IF(AND(U123="No",T123&lt;&gt;"Canceled",T123&lt;&gt;"Excluded"),"Missing Receipt","OK"))))),"")</f>
        <v/>
      </c>
      <c r="W123" s="31" t="n"/>
    </row>
    <row r="124">
      <c r="A124" s="25" t="n"/>
      <c r="B124" s="26" t="n"/>
      <c r="C124" s="25" t="n"/>
      <c r="D124" s="25" t="n"/>
      <c r="E124" s="25" t="n"/>
      <c r="F124" s="25" t="n"/>
      <c r="G124" s="25" t="n"/>
      <c r="H124" s="25" t="n"/>
      <c r="I124" s="31" t="n"/>
      <c r="J124" s="32" t="n"/>
      <c r="K124" s="49" t="n"/>
      <c r="L124" s="51">
        <f>IFERROR(IF(A124="","",IF(OR(J124="",K124=""),"",J124*K124)),"")</f>
        <v/>
      </c>
      <c r="M124" s="49" t="n"/>
      <c r="N124" s="49" t="n"/>
      <c r="O124" s="51">
        <f>IFERROR(IF(A124="","",L124+M124+N124),"")</f>
        <v/>
      </c>
      <c r="P124" s="32" t="n"/>
      <c r="Q124" s="49" t="n"/>
      <c r="R124" s="51">
        <f>IFERROR(IF(A124="","",IF(F124="Operating",O124,0)),"")</f>
        <v/>
      </c>
      <c r="S124" s="51">
        <f>IFERROR(IF(A124="","",IF(F124="Capital",O124,0)),"")</f>
        <v/>
      </c>
      <c r="T124" s="25" t="n"/>
      <c r="U124" s="25" t="n"/>
      <c r="V124" s="27">
        <f>IFERROR(IF(A124="","",IF(D124="","Missing Vendor",IF(E124="","Missing Category",IF(O124&gt;'Assumptions'!$B$114,"High Expense",IF(AND(U124="No",T124&lt;&gt;"Canceled",T124&lt;&gt;"Excluded"),"Missing Receipt","OK"))))),"")</f>
        <v/>
      </c>
      <c r="W124" s="31" t="n"/>
    </row>
    <row r="125">
      <c r="A125" s="25" t="n"/>
      <c r="B125" s="26" t="n"/>
      <c r="C125" s="25" t="n"/>
      <c r="D125" s="25" t="n"/>
      <c r="E125" s="25" t="n"/>
      <c r="F125" s="25" t="n"/>
      <c r="G125" s="25" t="n"/>
      <c r="H125" s="25" t="n"/>
      <c r="I125" s="31" t="n"/>
      <c r="J125" s="32" t="n"/>
      <c r="K125" s="49" t="n"/>
      <c r="L125" s="51">
        <f>IFERROR(IF(A125="","",IF(OR(J125="",K125=""),"",J125*K125)),"")</f>
        <v/>
      </c>
      <c r="M125" s="49" t="n"/>
      <c r="N125" s="49" t="n"/>
      <c r="O125" s="51">
        <f>IFERROR(IF(A125="","",L125+M125+N125),"")</f>
        <v/>
      </c>
      <c r="P125" s="32" t="n"/>
      <c r="Q125" s="49" t="n"/>
      <c r="R125" s="51">
        <f>IFERROR(IF(A125="","",IF(F125="Operating",O125,0)),"")</f>
        <v/>
      </c>
      <c r="S125" s="51">
        <f>IFERROR(IF(A125="","",IF(F125="Capital",O125,0)),"")</f>
        <v/>
      </c>
      <c r="T125" s="25" t="n"/>
      <c r="U125" s="25" t="n"/>
      <c r="V125" s="27">
        <f>IFERROR(IF(A125="","",IF(D125="","Missing Vendor",IF(E125="","Missing Category",IF(O125&gt;'Assumptions'!$B$114,"High Expense",IF(AND(U125="No",T125&lt;&gt;"Canceled",T125&lt;&gt;"Excluded"),"Missing Receipt","OK"))))),"")</f>
        <v/>
      </c>
      <c r="W125" s="31" t="n"/>
    </row>
    <row r="126">
      <c r="A126" s="25" t="n"/>
      <c r="B126" s="26" t="n"/>
      <c r="C126" s="25" t="n"/>
      <c r="D126" s="25" t="n"/>
      <c r="E126" s="25" t="n"/>
      <c r="F126" s="25" t="n"/>
      <c r="G126" s="25" t="n"/>
      <c r="H126" s="25" t="n"/>
      <c r="I126" s="31" t="n"/>
      <c r="J126" s="32" t="n"/>
      <c r="K126" s="49" t="n"/>
      <c r="L126" s="51">
        <f>IFERROR(IF(A126="","",IF(OR(J126="",K126=""),"",J126*K126)),"")</f>
        <v/>
      </c>
      <c r="M126" s="49" t="n"/>
      <c r="N126" s="49" t="n"/>
      <c r="O126" s="51">
        <f>IFERROR(IF(A126="","",L126+M126+N126),"")</f>
        <v/>
      </c>
      <c r="P126" s="32" t="n"/>
      <c r="Q126" s="49" t="n"/>
      <c r="R126" s="51">
        <f>IFERROR(IF(A126="","",IF(F126="Operating",O126,0)),"")</f>
        <v/>
      </c>
      <c r="S126" s="51">
        <f>IFERROR(IF(A126="","",IF(F126="Capital",O126,0)),"")</f>
        <v/>
      </c>
      <c r="T126" s="25" t="n"/>
      <c r="U126" s="25" t="n"/>
      <c r="V126" s="27">
        <f>IFERROR(IF(A126="","",IF(D126="","Missing Vendor",IF(E126="","Missing Category",IF(O126&gt;'Assumptions'!$B$114,"High Expense",IF(AND(U126="No",T126&lt;&gt;"Canceled",T126&lt;&gt;"Excluded"),"Missing Receipt","OK"))))),"")</f>
        <v/>
      </c>
      <c r="W126" s="31" t="n"/>
    </row>
    <row r="127">
      <c r="A127" s="25" t="n"/>
      <c r="B127" s="26" t="n"/>
      <c r="C127" s="25" t="n"/>
      <c r="D127" s="25" t="n"/>
      <c r="E127" s="25" t="n"/>
      <c r="F127" s="25" t="n"/>
      <c r="G127" s="25" t="n"/>
      <c r="H127" s="25" t="n"/>
      <c r="I127" s="31" t="n"/>
      <c r="J127" s="32" t="n"/>
      <c r="K127" s="49" t="n"/>
      <c r="L127" s="51">
        <f>IFERROR(IF(A127="","",IF(OR(J127="",K127=""),"",J127*K127)),"")</f>
        <v/>
      </c>
      <c r="M127" s="49" t="n"/>
      <c r="N127" s="49" t="n"/>
      <c r="O127" s="51">
        <f>IFERROR(IF(A127="","",L127+M127+N127),"")</f>
        <v/>
      </c>
      <c r="P127" s="32" t="n"/>
      <c r="Q127" s="49" t="n"/>
      <c r="R127" s="51">
        <f>IFERROR(IF(A127="","",IF(F127="Operating",O127,0)),"")</f>
        <v/>
      </c>
      <c r="S127" s="51">
        <f>IFERROR(IF(A127="","",IF(F127="Capital",O127,0)),"")</f>
        <v/>
      </c>
      <c r="T127" s="25" t="n"/>
      <c r="U127" s="25" t="n"/>
      <c r="V127" s="27">
        <f>IFERROR(IF(A127="","",IF(D127="","Missing Vendor",IF(E127="","Missing Category",IF(O127&gt;'Assumptions'!$B$114,"High Expense",IF(AND(U127="No",T127&lt;&gt;"Canceled",T127&lt;&gt;"Excluded"),"Missing Receipt","OK"))))),"")</f>
        <v/>
      </c>
      <c r="W127" s="31" t="n"/>
    </row>
    <row r="128">
      <c r="A128" s="25" t="n"/>
      <c r="B128" s="26" t="n"/>
      <c r="C128" s="25" t="n"/>
      <c r="D128" s="25" t="n"/>
      <c r="E128" s="25" t="n"/>
      <c r="F128" s="25" t="n"/>
      <c r="G128" s="25" t="n"/>
      <c r="H128" s="25" t="n"/>
      <c r="I128" s="31" t="n"/>
      <c r="J128" s="32" t="n"/>
      <c r="K128" s="49" t="n"/>
      <c r="L128" s="51">
        <f>IFERROR(IF(A128="","",IF(OR(J128="",K128=""),"",J128*K128)),"")</f>
        <v/>
      </c>
      <c r="M128" s="49" t="n"/>
      <c r="N128" s="49" t="n"/>
      <c r="O128" s="51">
        <f>IFERROR(IF(A128="","",L128+M128+N128),"")</f>
        <v/>
      </c>
      <c r="P128" s="32" t="n"/>
      <c r="Q128" s="49" t="n"/>
      <c r="R128" s="51">
        <f>IFERROR(IF(A128="","",IF(F128="Operating",O128,0)),"")</f>
        <v/>
      </c>
      <c r="S128" s="51">
        <f>IFERROR(IF(A128="","",IF(F128="Capital",O128,0)),"")</f>
        <v/>
      </c>
      <c r="T128" s="25" t="n"/>
      <c r="U128" s="25" t="n"/>
      <c r="V128" s="27">
        <f>IFERROR(IF(A128="","",IF(D128="","Missing Vendor",IF(E128="","Missing Category",IF(O128&gt;'Assumptions'!$B$114,"High Expense",IF(AND(U128="No",T128&lt;&gt;"Canceled",T128&lt;&gt;"Excluded"),"Missing Receipt","OK"))))),"")</f>
        <v/>
      </c>
      <c r="W128" s="31" t="n"/>
    </row>
    <row r="129">
      <c r="A129" s="25" t="n"/>
      <c r="B129" s="26" t="n"/>
      <c r="C129" s="25" t="n"/>
      <c r="D129" s="25" t="n"/>
      <c r="E129" s="25" t="n"/>
      <c r="F129" s="25" t="n"/>
      <c r="G129" s="25" t="n"/>
      <c r="H129" s="25" t="n"/>
      <c r="I129" s="31" t="n"/>
      <c r="J129" s="32" t="n"/>
      <c r="K129" s="49" t="n"/>
      <c r="L129" s="51">
        <f>IFERROR(IF(A129="","",IF(OR(J129="",K129=""),"",J129*K129)),"")</f>
        <v/>
      </c>
      <c r="M129" s="49" t="n"/>
      <c r="N129" s="49" t="n"/>
      <c r="O129" s="51">
        <f>IFERROR(IF(A129="","",L129+M129+N129),"")</f>
        <v/>
      </c>
      <c r="P129" s="32" t="n"/>
      <c r="Q129" s="49" t="n"/>
      <c r="R129" s="51">
        <f>IFERROR(IF(A129="","",IF(F129="Operating",O129,0)),"")</f>
        <v/>
      </c>
      <c r="S129" s="51">
        <f>IFERROR(IF(A129="","",IF(F129="Capital",O129,0)),"")</f>
        <v/>
      </c>
      <c r="T129" s="25" t="n"/>
      <c r="U129" s="25" t="n"/>
      <c r="V129" s="27">
        <f>IFERROR(IF(A129="","",IF(D129="","Missing Vendor",IF(E129="","Missing Category",IF(O129&gt;'Assumptions'!$B$114,"High Expense",IF(AND(U129="No",T129&lt;&gt;"Canceled",T129&lt;&gt;"Excluded"),"Missing Receipt","OK"))))),"")</f>
        <v/>
      </c>
      <c r="W129" s="31" t="n"/>
    </row>
    <row r="130">
      <c r="A130" s="25" t="n"/>
      <c r="B130" s="26" t="n"/>
      <c r="C130" s="25" t="n"/>
      <c r="D130" s="25" t="n"/>
      <c r="E130" s="25" t="n"/>
      <c r="F130" s="25" t="n"/>
      <c r="G130" s="25" t="n"/>
      <c r="H130" s="25" t="n"/>
      <c r="I130" s="31" t="n"/>
      <c r="J130" s="32" t="n"/>
      <c r="K130" s="49" t="n"/>
      <c r="L130" s="51">
        <f>IFERROR(IF(A130="","",IF(OR(J130="",K130=""),"",J130*K130)),"")</f>
        <v/>
      </c>
      <c r="M130" s="49" t="n"/>
      <c r="N130" s="49" t="n"/>
      <c r="O130" s="51">
        <f>IFERROR(IF(A130="","",L130+M130+N130),"")</f>
        <v/>
      </c>
      <c r="P130" s="32" t="n"/>
      <c r="Q130" s="49" t="n"/>
      <c r="R130" s="51">
        <f>IFERROR(IF(A130="","",IF(F130="Operating",O130,0)),"")</f>
        <v/>
      </c>
      <c r="S130" s="51">
        <f>IFERROR(IF(A130="","",IF(F130="Capital",O130,0)),"")</f>
        <v/>
      </c>
      <c r="T130" s="25" t="n"/>
      <c r="U130" s="25" t="n"/>
      <c r="V130" s="27">
        <f>IFERROR(IF(A130="","",IF(D130="","Missing Vendor",IF(E130="","Missing Category",IF(O130&gt;'Assumptions'!$B$114,"High Expense",IF(AND(U130="No",T130&lt;&gt;"Canceled",T130&lt;&gt;"Excluded"),"Missing Receipt","OK"))))),"")</f>
        <v/>
      </c>
      <c r="W130" s="31" t="n"/>
    </row>
    <row r="131">
      <c r="A131" s="25" t="n"/>
      <c r="B131" s="26" t="n"/>
      <c r="C131" s="25" t="n"/>
      <c r="D131" s="25" t="n"/>
      <c r="E131" s="25" t="n"/>
      <c r="F131" s="25" t="n"/>
      <c r="G131" s="25" t="n"/>
      <c r="H131" s="25" t="n"/>
      <c r="I131" s="31" t="n"/>
      <c r="J131" s="32" t="n"/>
      <c r="K131" s="49" t="n"/>
      <c r="L131" s="51">
        <f>IFERROR(IF(A131="","",IF(OR(J131="",K131=""),"",J131*K131)),"")</f>
        <v/>
      </c>
      <c r="M131" s="49" t="n"/>
      <c r="N131" s="49" t="n"/>
      <c r="O131" s="51">
        <f>IFERROR(IF(A131="","",L131+M131+N131),"")</f>
        <v/>
      </c>
      <c r="P131" s="32" t="n"/>
      <c r="Q131" s="49" t="n"/>
      <c r="R131" s="51">
        <f>IFERROR(IF(A131="","",IF(F131="Operating",O131,0)),"")</f>
        <v/>
      </c>
      <c r="S131" s="51">
        <f>IFERROR(IF(A131="","",IF(F131="Capital",O131,0)),"")</f>
        <v/>
      </c>
      <c r="T131" s="25" t="n"/>
      <c r="U131" s="25" t="n"/>
      <c r="V131" s="27">
        <f>IFERROR(IF(A131="","",IF(D131="","Missing Vendor",IF(E131="","Missing Category",IF(O131&gt;'Assumptions'!$B$114,"High Expense",IF(AND(U131="No",T131&lt;&gt;"Canceled",T131&lt;&gt;"Excluded"),"Missing Receipt","OK"))))),"")</f>
        <v/>
      </c>
      <c r="W131" s="31" t="n"/>
    </row>
    <row r="132">
      <c r="A132" s="25" t="n"/>
      <c r="B132" s="26" t="n"/>
      <c r="C132" s="25" t="n"/>
      <c r="D132" s="25" t="n"/>
      <c r="E132" s="25" t="n"/>
      <c r="F132" s="25" t="n"/>
      <c r="G132" s="25" t="n"/>
      <c r="H132" s="25" t="n"/>
      <c r="I132" s="31" t="n"/>
      <c r="J132" s="32" t="n"/>
      <c r="K132" s="49" t="n"/>
      <c r="L132" s="51">
        <f>IFERROR(IF(A132="","",IF(OR(J132="",K132=""),"",J132*K132)),"")</f>
        <v/>
      </c>
      <c r="M132" s="49" t="n"/>
      <c r="N132" s="49" t="n"/>
      <c r="O132" s="51">
        <f>IFERROR(IF(A132="","",L132+M132+N132),"")</f>
        <v/>
      </c>
      <c r="P132" s="32" t="n"/>
      <c r="Q132" s="49" t="n"/>
      <c r="R132" s="51">
        <f>IFERROR(IF(A132="","",IF(F132="Operating",O132,0)),"")</f>
        <v/>
      </c>
      <c r="S132" s="51">
        <f>IFERROR(IF(A132="","",IF(F132="Capital",O132,0)),"")</f>
        <v/>
      </c>
      <c r="T132" s="25" t="n"/>
      <c r="U132" s="25" t="n"/>
      <c r="V132" s="27">
        <f>IFERROR(IF(A132="","",IF(D132="","Missing Vendor",IF(E132="","Missing Category",IF(O132&gt;'Assumptions'!$B$114,"High Expense",IF(AND(U132="No",T132&lt;&gt;"Canceled",T132&lt;&gt;"Excluded"),"Missing Receipt","OK"))))),"")</f>
        <v/>
      </c>
      <c r="W132" s="31" t="n"/>
    </row>
    <row r="133">
      <c r="A133" s="25" t="n"/>
      <c r="B133" s="26" t="n"/>
      <c r="C133" s="25" t="n"/>
      <c r="D133" s="25" t="n"/>
      <c r="E133" s="25" t="n"/>
      <c r="F133" s="25" t="n"/>
      <c r="G133" s="25" t="n"/>
      <c r="H133" s="25" t="n"/>
      <c r="I133" s="31" t="n"/>
      <c r="J133" s="32" t="n"/>
      <c r="K133" s="49" t="n"/>
      <c r="L133" s="51">
        <f>IFERROR(IF(A133="","",IF(OR(J133="",K133=""),"",J133*K133)),"")</f>
        <v/>
      </c>
      <c r="M133" s="49" t="n"/>
      <c r="N133" s="49" t="n"/>
      <c r="O133" s="51">
        <f>IFERROR(IF(A133="","",L133+M133+N133),"")</f>
        <v/>
      </c>
      <c r="P133" s="32" t="n"/>
      <c r="Q133" s="49" t="n"/>
      <c r="R133" s="51">
        <f>IFERROR(IF(A133="","",IF(F133="Operating",O133,0)),"")</f>
        <v/>
      </c>
      <c r="S133" s="51">
        <f>IFERROR(IF(A133="","",IF(F133="Capital",O133,0)),"")</f>
        <v/>
      </c>
      <c r="T133" s="25" t="n"/>
      <c r="U133" s="25" t="n"/>
      <c r="V133" s="27">
        <f>IFERROR(IF(A133="","",IF(D133="","Missing Vendor",IF(E133="","Missing Category",IF(O133&gt;'Assumptions'!$B$114,"High Expense",IF(AND(U133="No",T133&lt;&gt;"Canceled",T133&lt;&gt;"Excluded"),"Missing Receipt","OK"))))),"")</f>
        <v/>
      </c>
      <c r="W133" s="31" t="n"/>
    </row>
    <row r="134">
      <c r="A134" s="25" t="n"/>
      <c r="B134" s="26" t="n"/>
      <c r="C134" s="25" t="n"/>
      <c r="D134" s="25" t="n"/>
      <c r="E134" s="25" t="n"/>
      <c r="F134" s="25" t="n"/>
      <c r="G134" s="25" t="n"/>
      <c r="H134" s="25" t="n"/>
      <c r="I134" s="31" t="n"/>
      <c r="J134" s="32" t="n"/>
      <c r="K134" s="49" t="n"/>
      <c r="L134" s="51">
        <f>IFERROR(IF(A134="","",IF(OR(J134="",K134=""),"",J134*K134)),"")</f>
        <v/>
      </c>
      <c r="M134" s="49" t="n"/>
      <c r="N134" s="49" t="n"/>
      <c r="O134" s="51">
        <f>IFERROR(IF(A134="","",L134+M134+N134),"")</f>
        <v/>
      </c>
      <c r="P134" s="32" t="n"/>
      <c r="Q134" s="49" t="n"/>
      <c r="R134" s="51">
        <f>IFERROR(IF(A134="","",IF(F134="Operating",O134,0)),"")</f>
        <v/>
      </c>
      <c r="S134" s="51">
        <f>IFERROR(IF(A134="","",IF(F134="Capital",O134,0)),"")</f>
        <v/>
      </c>
      <c r="T134" s="25" t="n"/>
      <c r="U134" s="25" t="n"/>
      <c r="V134" s="27">
        <f>IFERROR(IF(A134="","",IF(D134="","Missing Vendor",IF(E134="","Missing Category",IF(O134&gt;'Assumptions'!$B$114,"High Expense",IF(AND(U134="No",T134&lt;&gt;"Canceled",T134&lt;&gt;"Excluded"),"Missing Receipt","OK"))))),"")</f>
        <v/>
      </c>
      <c r="W134" s="31" t="n"/>
    </row>
    <row r="135">
      <c r="A135" s="25" t="n"/>
      <c r="B135" s="26" t="n"/>
      <c r="C135" s="25" t="n"/>
      <c r="D135" s="25" t="n"/>
      <c r="E135" s="25" t="n"/>
      <c r="F135" s="25" t="n"/>
      <c r="G135" s="25" t="n"/>
      <c r="H135" s="25" t="n"/>
      <c r="I135" s="31" t="n"/>
      <c r="J135" s="32" t="n"/>
      <c r="K135" s="49" t="n"/>
      <c r="L135" s="51">
        <f>IFERROR(IF(A135="","",IF(OR(J135="",K135=""),"",J135*K135)),"")</f>
        <v/>
      </c>
      <c r="M135" s="49" t="n"/>
      <c r="N135" s="49" t="n"/>
      <c r="O135" s="51">
        <f>IFERROR(IF(A135="","",L135+M135+N135),"")</f>
        <v/>
      </c>
      <c r="P135" s="32" t="n"/>
      <c r="Q135" s="49" t="n"/>
      <c r="R135" s="51">
        <f>IFERROR(IF(A135="","",IF(F135="Operating",O135,0)),"")</f>
        <v/>
      </c>
      <c r="S135" s="51">
        <f>IFERROR(IF(A135="","",IF(F135="Capital",O135,0)),"")</f>
        <v/>
      </c>
      <c r="T135" s="25" t="n"/>
      <c r="U135" s="25" t="n"/>
      <c r="V135" s="27">
        <f>IFERROR(IF(A135="","",IF(D135="","Missing Vendor",IF(E135="","Missing Category",IF(O135&gt;'Assumptions'!$B$114,"High Expense",IF(AND(U135="No",T135&lt;&gt;"Canceled",T135&lt;&gt;"Excluded"),"Missing Receipt","OK"))))),"")</f>
        <v/>
      </c>
      <c r="W135" s="31" t="n"/>
    </row>
    <row r="136">
      <c r="A136" s="25" t="n"/>
      <c r="B136" s="26" t="n"/>
      <c r="C136" s="25" t="n"/>
      <c r="D136" s="25" t="n"/>
      <c r="E136" s="25" t="n"/>
      <c r="F136" s="25" t="n"/>
      <c r="G136" s="25" t="n"/>
      <c r="H136" s="25" t="n"/>
      <c r="I136" s="31" t="n"/>
      <c r="J136" s="32" t="n"/>
      <c r="K136" s="49" t="n"/>
      <c r="L136" s="51">
        <f>IFERROR(IF(A136="","",IF(OR(J136="",K136=""),"",J136*K136)),"")</f>
        <v/>
      </c>
      <c r="M136" s="49" t="n"/>
      <c r="N136" s="49" t="n"/>
      <c r="O136" s="51">
        <f>IFERROR(IF(A136="","",L136+M136+N136),"")</f>
        <v/>
      </c>
      <c r="P136" s="32" t="n"/>
      <c r="Q136" s="49" t="n"/>
      <c r="R136" s="51">
        <f>IFERROR(IF(A136="","",IF(F136="Operating",O136,0)),"")</f>
        <v/>
      </c>
      <c r="S136" s="51">
        <f>IFERROR(IF(A136="","",IF(F136="Capital",O136,0)),"")</f>
        <v/>
      </c>
      <c r="T136" s="25" t="n"/>
      <c r="U136" s="25" t="n"/>
      <c r="V136" s="27">
        <f>IFERROR(IF(A136="","",IF(D136="","Missing Vendor",IF(E136="","Missing Category",IF(O136&gt;'Assumptions'!$B$114,"High Expense",IF(AND(U136="No",T136&lt;&gt;"Canceled",T136&lt;&gt;"Excluded"),"Missing Receipt","OK"))))),"")</f>
        <v/>
      </c>
      <c r="W136" s="31" t="n"/>
    </row>
    <row r="137">
      <c r="A137" s="25" t="n"/>
      <c r="B137" s="26" t="n"/>
      <c r="C137" s="25" t="n"/>
      <c r="D137" s="25" t="n"/>
      <c r="E137" s="25" t="n"/>
      <c r="F137" s="25" t="n"/>
      <c r="G137" s="25" t="n"/>
      <c r="H137" s="25" t="n"/>
      <c r="I137" s="31" t="n"/>
      <c r="J137" s="32" t="n"/>
      <c r="K137" s="49" t="n"/>
      <c r="L137" s="51">
        <f>IFERROR(IF(A137="","",IF(OR(J137="",K137=""),"",J137*K137)),"")</f>
        <v/>
      </c>
      <c r="M137" s="49" t="n"/>
      <c r="N137" s="49" t="n"/>
      <c r="O137" s="51">
        <f>IFERROR(IF(A137="","",L137+M137+N137),"")</f>
        <v/>
      </c>
      <c r="P137" s="32" t="n"/>
      <c r="Q137" s="49" t="n"/>
      <c r="R137" s="51">
        <f>IFERROR(IF(A137="","",IF(F137="Operating",O137,0)),"")</f>
        <v/>
      </c>
      <c r="S137" s="51">
        <f>IFERROR(IF(A137="","",IF(F137="Capital",O137,0)),"")</f>
        <v/>
      </c>
      <c r="T137" s="25" t="n"/>
      <c r="U137" s="25" t="n"/>
      <c r="V137" s="27">
        <f>IFERROR(IF(A137="","",IF(D137="","Missing Vendor",IF(E137="","Missing Category",IF(O137&gt;'Assumptions'!$B$114,"High Expense",IF(AND(U137="No",T137&lt;&gt;"Canceled",T137&lt;&gt;"Excluded"),"Missing Receipt","OK"))))),"")</f>
        <v/>
      </c>
      <c r="W137" s="31" t="n"/>
    </row>
    <row r="138">
      <c r="A138" s="25" t="n"/>
      <c r="B138" s="26" t="n"/>
      <c r="C138" s="25" t="n"/>
      <c r="D138" s="25" t="n"/>
      <c r="E138" s="25" t="n"/>
      <c r="F138" s="25" t="n"/>
      <c r="G138" s="25" t="n"/>
      <c r="H138" s="25" t="n"/>
      <c r="I138" s="31" t="n"/>
      <c r="J138" s="32" t="n"/>
      <c r="K138" s="49" t="n"/>
      <c r="L138" s="51">
        <f>IFERROR(IF(A138="","",IF(OR(J138="",K138=""),"",J138*K138)),"")</f>
        <v/>
      </c>
      <c r="M138" s="49" t="n"/>
      <c r="N138" s="49" t="n"/>
      <c r="O138" s="51">
        <f>IFERROR(IF(A138="","",L138+M138+N138),"")</f>
        <v/>
      </c>
      <c r="P138" s="32" t="n"/>
      <c r="Q138" s="49" t="n"/>
      <c r="R138" s="51">
        <f>IFERROR(IF(A138="","",IF(F138="Operating",O138,0)),"")</f>
        <v/>
      </c>
      <c r="S138" s="51">
        <f>IFERROR(IF(A138="","",IF(F138="Capital",O138,0)),"")</f>
        <v/>
      </c>
      <c r="T138" s="25" t="n"/>
      <c r="U138" s="25" t="n"/>
      <c r="V138" s="27">
        <f>IFERROR(IF(A138="","",IF(D138="","Missing Vendor",IF(E138="","Missing Category",IF(O138&gt;'Assumptions'!$B$114,"High Expense",IF(AND(U138="No",T138&lt;&gt;"Canceled",T138&lt;&gt;"Excluded"),"Missing Receipt","OK"))))),"")</f>
        <v/>
      </c>
      <c r="W138" s="31" t="n"/>
    </row>
    <row r="139">
      <c r="A139" s="25" t="n"/>
      <c r="B139" s="26" t="n"/>
      <c r="C139" s="25" t="n"/>
      <c r="D139" s="25" t="n"/>
      <c r="E139" s="25" t="n"/>
      <c r="F139" s="25" t="n"/>
      <c r="G139" s="25" t="n"/>
      <c r="H139" s="25" t="n"/>
      <c r="I139" s="31" t="n"/>
      <c r="J139" s="32" t="n"/>
      <c r="K139" s="49" t="n"/>
      <c r="L139" s="51">
        <f>IFERROR(IF(A139="","",IF(OR(J139="",K139=""),"",J139*K139)),"")</f>
        <v/>
      </c>
      <c r="M139" s="49" t="n"/>
      <c r="N139" s="49" t="n"/>
      <c r="O139" s="51">
        <f>IFERROR(IF(A139="","",L139+M139+N139),"")</f>
        <v/>
      </c>
      <c r="P139" s="32" t="n"/>
      <c r="Q139" s="49" t="n"/>
      <c r="R139" s="51">
        <f>IFERROR(IF(A139="","",IF(F139="Operating",O139,0)),"")</f>
        <v/>
      </c>
      <c r="S139" s="51">
        <f>IFERROR(IF(A139="","",IF(F139="Capital",O139,0)),"")</f>
        <v/>
      </c>
      <c r="T139" s="25" t="n"/>
      <c r="U139" s="25" t="n"/>
      <c r="V139" s="27">
        <f>IFERROR(IF(A139="","",IF(D139="","Missing Vendor",IF(E139="","Missing Category",IF(O139&gt;'Assumptions'!$B$114,"High Expense",IF(AND(U139="No",T139&lt;&gt;"Canceled",T139&lt;&gt;"Excluded"),"Missing Receipt","OK"))))),"")</f>
        <v/>
      </c>
      <c r="W139" s="31" t="n"/>
    </row>
    <row r="140">
      <c r="A140" s="25" t="n"/>
      <c r="B140" s="26" t="n"/>
      <c r="C140" s="25" t="n"/>
      <c r="D140" s="25" t="n"/>
      <c r="E140" s="25" t="n"/>
      <c r="F140" s="25" t="n"/>
      <c r="G140" s="25" t="n"/>
      <c r="H140" s="25" t="n"/>
      <c r="I140" s="31" t="n"/>
      <c r="J140" s="32" t="n"/>
      <c r="K140" s="49" t="n"/>
      <c r="L140" s="51">
        <f>IFERROR(IF(A140="","",IF(OR(J140="",K140=""),"",J140*K140)),"")</f>
        <v/>
      </c>
      <c r="M140" s="49" t="n"/>
      <c r="N140" s="49" t="n"/>
      <c r="O140" s="51">
        <f>IFERROR(IF(A140="","",L140+M140+N140),"")</f>
        <v/>
      </c>
      <c r="P140" s="32" t="n"/>
      <c r="Q140" s="49" t="n"/>
      <c r="R140" s="51">
        <f>IFERROR(IF(A140="","",IF(F140="Operating",O140,0)),"")</f>
        <v/>
      </c>
      <c r="S140" s="51">
        <f>IFERROR(IF(A140="","",IF(F140="Capital",O140,0)),"")</f>
        <v/>
      </c>
      <c r="T140" s="25" t="n"/>
      <c r="U140" s="25" t="n"/>
      <c r="V140" s="27">
        <f>IFERROR(IF(A140="","",IF(D140="","Missing Vendor",IF(E140="","Missing Category",IF(O140&gt;'Assumptions'!$B$114,"High Expense",IF(AND(U140="No",T140&lt;&gt;"Canceled",T140&lt;&gt;"Excluded"),"Missing Receipt","OK"))))),"")</f>
        <v/>
      </c>
      <c r="W140" s="31" t="n"/>
    </row>
    <row r="141">
      <c r="A141" s="25" t="n"/>
      <c r="B141" s="26" t="n"/>
      <c r="C141" s="25" t="n"/>
      <c r="D141" s="25" t="n"/>
      <c r="E141" s="25" t="n"/>
      <c r="F141" s="25" t="n"/>
      <c r="G141" s="25" t="n"/>
      <c r="H141" s="25" t="n"/>
      <c r="I141" s="31" t="n"/>
      <c r="J141" s="32" t="n"/>
      <c r="K141" s="49" t="n"/>
      <c r="L141" s="51">
        <f>IFERROR(IF(A141="","",IF(OR(J141="",K141=""),"",J141*K141)),"")</f>
        <v/>
      </c>
      <c r="M141" s="49" t="n"/>
      <c r="N141" s="49" t="n"/>
      <c r="O141" s="51">
        <f>IFERROR(IF(A141="","",L141+M141+N141),"")</f>
        <v/>
      </c>
      <c r="P141" s="32" t="n"/>
      <c r="Q141" s="49" t="n"/>
      <c r="R141" s="51">
        <f>IFERROR(IF(A141="","",IF(F141="Operating",O141,0)),"")</f>
        <v/>
      </c>
      <c r="S141" s="51">
        <f>IFERROR(IF(A141="","",IF(F141="Capital",O141,0)),"")</f>
        <v/>
      </c>
      <c r="T141" s="25" t="n"/>
      <c r="U141" s="25" t="n"/>
      <c r="V141" s="27">
        <f>IFERROR(IF(A141="","",IF(D141="","Missing Vendor",IF(E141="","Missing Category",IF(O141&gt;'Assumptions'!$B$114,"High Expense",IF(AND(U141="No",T141&lt;&gt;"Canceled",T141&lt;&gt;"Excluded"),"Missing Receipt","OK"))))),"")</f>
        <v/>
      </c>
      <c r="W141" s="31" t="n"/>
    </row>
    <row r="142">
      <c r="A142" s="25" t="n"/>
      <c r="B142" s="26" t="n"/>
      <c r="C142" s="25" t="n"/>
      <c r="D142" s="25" t="n"/>
      <c r="E142" s="25" t="n"/>
      <c r="F142" s="25" t="n"/>
      <c r="G142" s="25" t="n"/>
      <c r="H142" s="25" t="n"/>
      <c r="I142" s="31" t="n"/>
      <c r="J142" s="32" t="n"/>
      <c r="K142" s="49" t="n"/>
      <c r="L142" s="51">
        <f>IFERROR(IF(A142="","",IF(OR(J142="",K142=""),"",J142*K142)),"")</f>
        <v/>
      </c>
      <c r="M142" s="49" t="n"/>
      <c r="N142" s="49" t="n"/>
      <c r="O142" s="51">
        <f>IFERROR(IF(A142="","",L142+M142+N142),"")</f>
        <v/>
      </c>
      <c r="P142" s="32" t="n"/>
      <c r="Q142" s="49" t="n"/>
      <c r="R142" s="51">
        <f>IFERROR(IF(A142="","",IF(F142="Operating",O142,0)),"")</f>
        <v/>
      </c>
      <c r="S142" s="51">
        <f>IFERROR(IF(A142="","",IF(F142="Capital",O142,0)),"")</f>
        <v/>
      </c>
      <c r="T142" s="25" t="n"/>
      <c r="U142" s="25" t="n"/>
      <c r="V142" s="27">
        <f>IFERROR(IF(A142="","",IF(D142="","Missing Vendor",IF(E142="","Missing Category",IF(O142&gt;'Assumptions'!$B$114,"High Expense",IF(AND(U142="No",T142&lt;&gt;"Canceled",T142&lt;&gt;"Excluded"),"Missing Receipt","OK"))))),"")</f>
        <v/>
      </c>
      <c r="W142" s="31" t="n"/>
    </row>
    <row r="143">
      <c r="A143" s="25" t="n"/>
      <c r="B143" s="26" t="n"/>
      <c r="C143" s="25" t="n"/>
      <c r="D143" s="25" t="n"/>
      <c r="E143" s="25" t="n"/>
      <c r="F143" s="25" t="n"/>
      <c r="G143" s="25" t="n"/>
      <c r="H143" s="25" t="n"/>
      <c r="I143" s="31" t="n"/>
      <c r="J143" s="32" t="n"/>
      <c r="K143" s="49" t="n"/>
      <c r="L143" s="51">
        <f>IFERROR(IF(A143="","",IF(OR(J143="",K143=""),"",J143*K143)),"")</f>
        <v/>
      </c>
      <c r="M143" s="49" t="n"/>
      <c r="N143" s="49" t="n"/>
      <c r="O143" s="51">
        <f>IFERROR(IF(A143="","",L143+M143+N143),"")</f>
        <v/>
      </c>
      <c r="P143" s="32" t="n"/>
      <c r="Q143" s="49" t="n"/>
      <c r="R143" s="51">
        <f>IFERROR(IF(A143="","",IF(F143="Operating",O143,0)),"")</f>
        <v/>
      </c>
      <c r="S143" s="51">
        <f>IFERROR(IF(A143="","",IF(F143="Capital",O143,0)),"")</f>
        <v/>
      </c>
      <c r="T143" s="25" t="n"/>
      <c r="U143" s="25" t="n"/>
      <c r="V143" s="27">
        <f>IFERROR(IF(A143="","",IF(D143="","Missing Vendor",IF(E143="","Missing Category",IF(O143&gt;'Assumptions'!$B$114,"High Expense",IF(AND(U143="No",T143&lt;&gt;"Canceled",T143&lt;&gt;"Excluded"),"Missing Receipt","OK"))))),"")</f>
        <v/>
      </c>
      <c r="W143" s="31" t="n"/>
    </row>
    <row r="144">
      <c r="A144" s="25" t="n"/>
      <c r="B144" s="26" t="n"/>
      <c r="C144" s="25" t="n"/>
      <c r="D144" s="25" t="n"/>
      <c r="E144" s="25" t="n"/>
      <c r="F144" s="25" t="n"/>
      <c r="G144" s="25" t="n"/>
      <c r="H144" s="25" t="n"/>
      <c r="I144" s="31" t="n"/>
      <c r="J144" s="32" t="n"/>
      <c r="K144" s="49" t="n"/>
      <c r="L144" s="51">
        <f>IFERROR(IF(A144="","",IF(OR(J144="",K144=""),"",J144*K144)),"")</f>
        <v/>
      </c>
      <c r="M144" s="49" t="n"/>
      <c r="N144" s="49" t="n"/>
      <c r="O144" s="51">
        <f>IFERROR(IF(A144="","",L144+M144+N144),"")</f>
        <v/>
      </c>
      <c r="P144" s="32" t="n"/>
      <c r="Q144" s="49" t="n"/>
      <c r="R144" s="51">
        <f>IFERROR(IF(A144="","",IF(F144="Operating",O144,0)),"")</f>
        <v/>
      </c>
      <c r="S144" s="51">
        <f>IFERROR(IF(A144="","",IF(F144="Capital",O144,0)),"")</f>
        <v/>
      </c>
      <c r="T144" s="25" t="n"/>
      <c r="U144" s="25" t="n"/>
      <c r="V144" s="27">
        <f>IFERROR(IF(A144="","",IF(D144="","Missing Vendor",IF(E144="","Missing Category",IF(O144&gt;'Assumptions'!$B$114,"High Expense",IF(AND(U144="No",T144&lt;&gt;"Canceled",T144&lt;&gt;"Excluded"),"Missing Receipt","OK"))))),"")</f>
        <v/>
      </c>
      <c r="W144" s="31" t="n"/>
    </row>
    <row r="145">
      <c r="A145" s="25" t="n"/>
      <c r="B145" s="26" t="n"/>
      <c r="C145" s="25" t="n"/>
      <c r="D145" s="25" t="n"/>
      <c r="E145" s="25" t="n"/>
      <c r="F145" s="25" t="n"/>
      <c r="G145" s="25" t="n"/>
      <c r="H145" s="25" t="n"/>
      <c r="I145" s="31" t="n"/>
      <c r="J145" s="32" t="n"/>
      <c r="K145" s="49" t="n"/>
      <c r="L145" s="51">
        <f>IFERROR(IF(A145="","",IF(OR(J145="",K145=""),"",J145*K145)),"")</f>
        <v/>
      </c>
      <c r="M145" s="49" t="n"/>
      <c r="N145" s="49" t="n"/>
      <c r="O145" s="51">
        <f>IFERROR(IF(A145="","",L145+M145+N145),"")</f>
        <v/>
      </c>
      <c r="P145" s="32" t="n"/>
      <c r="Q145" s="49" t="n"/>
      <c r="R145" s="51">
        <f>IFERROR(IF(A145="","",IF(F145="Operating",O145,0)),"")</f>
        <v/>
      </c>
      <c r="S145" s="51">
        <f>IFERROR(IF(A145="","",IF(F145="Capital",O145,0)),"")</f>
        <v/>
      </c>
      <c r="T145" s="25" t="n"/>
      <c r="U145" s="25" t="n"/>
      <c r="V145" s="27">
        <f>IFERROR(IF(A145="","",IF(D145="","Missing Vendor",IF(E145="","Missing Category",IF(O145&gt;'Assumptions'!$B$114,"High Expense",IF(AND(U145="No",T145&lt;&gt;"Canceled",T145&lt;&gt;"Excluded"),"Missing Receipt","OK"))))),"")</f>
        <v/>
      </c>
      <c r="W145" s="31" t="n"/>
    </row>
    <row r="146">
      <c r="A146" s="25" t="n"/>
      <c r="B146" s="26" t="n"/>
      <c r="C146" s="25" t="n"/>
      <c r="D146" s="25" t="n"/>
      <c r="E146" s="25" t="n"/>
      <c r="F146" s="25" t="n"/>
      <c r="G146" s="25" t="n"/>
      <c r="H146" s="25" t="n"/>
      <c r="I146" s="31" t="n"/>
      <c r="J146" s="32" t="n"/>
      <c r="K146" s="49" t="n"/>
      <c r="L146" s="51">
        <f>IFERROR(IF(A146="","",IF(OR(J146="",K146=""),"",J146*K146)),"")</f>
        <v/>
      </c>
      <c r="M146" s="49" t="n"/>
      <c r="N146" s="49" t="n"/>
      <c r="O146" s="51">
        <f>IFERROR(IF(A146="","",L146+M146+N146),"")</f>
        <v/>
      </c>
      <c r="P146" s="32" t="n"/>
      <c r="Q146" s="49" t="n"/>
      <c r="R146" s="51">
        <f>IFERROR(IF(A146="","",IF(F146="Operating",O146,0)),"")</f>
        <v/>
      </c>
      <c r="S146" s="51">
        <f>IFERROR(IF(A146="","",IF(F146="Capital",O146,0)),"")</f>
        <v/>
      </c>
      <c r="T146" s="25" t="n"/>
      <c r="U146" s="25" t="n"/>
      <c r="V146" s="27">
        <f>IFERROR(IF(A146="","",IF(D146="","Missing Vendor",IF(E146="","Missing Category",IF(O146&gt;'Assumptions'!$B$114,"High Expense",IF(AND(U146="No",T146&lt;&gt;"Canceled",T146&lt;&gt;"Excluded"),"Missing Receipt","OK"))))),"")</f>
        <v/>
      </c>
      <c r="W146" s="31" t="n"/>
    </row>
    <row r="147">
      <c r="A147" s="25" t="n"/>
      <c r="B147" s="26" t="n"/>
      <c r="C147" s="25" t="n"/>
      <c r="D147" s="25" t="n"/>
      <c r="E147" s="25" t="n"/>
      <c r="F147" s="25" t="n"/>
      <c r="G147" s="25" t="n"/>
      <c r="H147" s="25" t="n"/>
      <c r="I147" s="31" t="n"/>
      <c r="J147" s="32" t="n"/>
      <c r="K147" s="49" t="n"/>
      <c r="L147" s="51">
        <f>IFERROR(IF(A147="","",IF(OR(J147="",K147=""),"",J147*K147)),"")</f>
        <v/>
      </c>
      <c r="M147" s="49" t="n"/>
      <c r="N147" s="49" t="n"/>
      <c r="O147" s="51">
        <f>IFERROR(IF(A147="","",L147+M147+N147),"")</f>
        <v/>
      </c>
      <c r="P147" s="32" t="n"/>
      <c r="Q147" s="49" t="n"/>
      <c r="R147" s="51">
        <f>IFERROR(IF(A147="","",IF(F147="Operating",O147,0)),"")</f>
        <v/>
      </c>
      <c r="S147" s="51">
        <f>IFERROR(IF(A147="","",IF(F147="Capital",O147,0)),"")</f>
        <v/>
      </c>
      <c r="T147" s="25" t="n"/>
      <c r="U147" s="25" t="n"/>
      <c r="V147" s="27">
        <f>IFERROR(IF(A147="","",IF(D147="","Missing Vendor",IF(E147="","Missing Category",IF(O147&gt;'Assumptions'!$B$114,"High Expense",IF(AND(U147="No",T147&lt;&gt;"Canceled",T147&lt;&gt;"Excluded"),"Missing Receipt","OK"))))),"")</f>
        <v/>
      </c>
      <c r="W147" s="31" t="n"/>
    </row>
    <row r="148">
      <c r="A148" s="25" t="n"/>
      <c r="B148" s="26" t="n"/>
      <c r="C148" s="25" t="n"/>
      <c r="D148" s="25" t="n"/>
      <c r="E148" s="25" t="n"/>
      <c r="F148" s="25" t="n"/>
      <c r="G148" s="25" t="n"/>
      <c r="H148" s="25" t="n"/>
      <c r="I148" s="31" t="n"/>
      <c r="J148" s="32" t="n"/>
      <c r="K148" s="49" t="n"/>
      <c r="L148" s="51">
        <f>IFERROR(IF(A148="","",IF(OR(J148="",K148=""),"",J148*K148)),"")</f>
        <v/>
      </c>
      <c r="M148" s="49" t="n"/>
      <c r="N148" s="49" t="n"/>
      <c r="O148" s="51">
        <f>IFERROR(IF(A148="","",L148+M148+N148),"")</f>
        <v/>
      </c>
      <c r="P148" s="32" t="n"/>
      <c r="Q148" s="49" t="n"/>
      <c r="R148" s="51">
        <f>IFERROR(IF(A148="","",IF(F148="Operating",O148,0)),"")</f>
        <v/>
      </c>
      <c r="S148" s="51">
        <f>IFERROR(IF(A148="","",IF(F148="Capital",O148,0)),"")</f>
        <v/>
      </c>
      <c r="T148" s="25" t="n"/>
      <c r="U148" s="25" t="n"/>
      <c r="V148" s="27">
        <f>IFERROR(IF(A148="","",IF(D148="","Missing Vendor",IF(E148="","Missing Category",IF(O148&gt;'Assumptions'!$B$114,"High Expense",IF(AND(U148="No",T148&lt;&gt;"Canceled",T148&lt;&gt;"Excluded"),"Missing Receipt","OK"))))),"")</f>
        <v/>
      </c>
      <c r="W148" s="31" t="n"/>
    </row>
    <row r="149">
      <c r="A149" s="25" t="n"/>
      <c r="B149" s="26" t="n"/>
      <c r="C149" s="25" t="n"/>
      <c r="D149" s="25" t="n"/>
      <c r="E149" s="25" t="n"/>
      <c r="F149" s="25" t="n"/>
      <c r="G149" s="25" t="n"/>
      <c r="H149" s="25" t="n"/>
      <c r="I149" s="31" t="n"/>
      <c r="J149" s="32" t="n"/>
      <c r="K149" s="49" t="n"/>
      <c r="L149" s="51">
        <f>IFERROR(IF(A149="","",IF(OR(J149="",K149=""),"",J149*K149)),"")</f>
        <v/>
      </c>
      <c r="M149" s="49" t="n"/>
      <c r="N149" s="49" t="n"/>
      <c r="O149" s="51">
        <f>IFERROR(IF(A149="","",L149+M149+N149),"")</f>
        <v/>
      </c>
      <c r="P149" s="32" t="n"/>
      <c r="Q149" s="49" t="n"/>
      <c r="R149" s="51">
        <f>IFERROR(IF(A149="","",IF(F149="Operating",O149,0)),"")</f>
        <v/>
      </c>
      <c r="S149" s="51">
        <f>IFERROR(IF(A149="","",IF(F149="Capital",O149,0)),"")</f>
        <v/>
      </c>
      <c r="T149" s="25" t="n"/>
      <c r="U149" s="25" t="n"/>
      <c r="V149" s="27">
        <f>IFERROR(IF(A149="","",IF(D149="","Missing Vendor",IF(E149="","Missing Category",IF(O149&gt;'Assumptions'!$B$114,"High Expense",IF(AND(U149="No",T149&lt;&gt;"Canceled",T149&lt;&gt;"Excluded"),"Missing Receipt","OK"))))),"")</f>
        <v/>
      </c>
      <c r="W149" s="31" t="n"/>
    </row>
    <row r="150">
      <c r="A150" s="25" t="n"/>
      <c r="B150" s="26" t="n"/>
      <c r="C150" s="25" t="n"/>
      <c r="D150" s="25" t="n"/>
      <c r="E150" s="25" t="n"/>
      <c r="F150" s="25" t="n"/>
      <c r="G150" s="25" t="n"/>
      <c r="H150" s="25" t="n"/>
      <c r="I150" s="31" t="n"/>
      <c r="J150" s="32" t="n"/>
      <c r="K150" s="49" t="n"/>
      <c r="L150" s="51">
        <f>IFERROR(IF(A150="","",IF(OR(J150="",K150=""),"",J150*K150)),"")</f>
        <v/>
      </c>
      <c r="M150" s="49" t="n"/>
      <c r="N150" s="49" t="n"/>
      <c r="O150" s="51">
        <f>IFERROR(IF(A150="","",L150+M150+N150),"")</f>
        <v/>
      </c>
      <c r="P150" s="32" t="n"/>
      <c r="Q150" s="49" t="n"/>
      <c r="R150" s="51">
        <f>IFERROR(IF(A150="","",IF(F150="Operating",O150,0)),"")</f>
        <v/>
      </c>
      <c r="S150" s="51">
        <f>IFERROR(IF(A150="","",IF(F150="Capital",O150,0)),"")</f>
        <v/>
      </c>
      <c r="T150" s="25" t="n"/>
      <c r="U150" s="25" t="n"/>
      <c r="V150" s="27">
        <f>IFERROR(IF(A150="","",IF(D150="","Missing Vendor",IF(E150="","Missing Category",IF(O150&gt;'Assumptions'!$B$114,"High Expense",IF(AND(U150="No",T150&lt;&gt;"Canceled",T150&lt;&gt;"Excluded"),"Missing Receipt","OK"))))),"")</f>
        <v/>
      </c>
      <c r="W150" s="31" t="n"/>
    </row>
    <row r="151">
      <c r="A151" s="25" t="n"/>
      <c r="B151" s="26" t="n"/>
      <c r="C151" s="25" t="n"/>
      <c r="D151" s="25" t="n"/>
      <c r="E151" s="25" t="n"/>
      <c r="F151" s="25" t="n"/>
      <c r="G151" s="25" t="n"/>
      <c r="H151" s="25" t="n"/>
      <c r="I151" s="31" t="n"/>
      <c r="J151" s="32" t="n"/>
      <c r="K151" s="49" t="n"/>
      <c r="L151" s="51">
        <f>IFERROR(IF(A151="","",IF(OR(J151="",K151=""),"",J151*K151)),"")</f>
        <v/>
      </c>
      <c r="M151" s="49" t="n"/>
      <c r="N151" s="49" t="n"/>
      <c r="O151" s="51">
        <f>IFERROR(IF(A151="","",L151+M151+N151),"")</f>
        <v/>
      </c>
      <c r="P151" s="32" t="n"/>
      <c r="Q151" s="49" t="n"/>
      <c r="R151" s="51">
        <f>IFERROR(IF(A151="","",IF(F151="Operating",O151,0)),"")</f>
        <v/>
      </c>
      <c r="S151" s="51">
        <f>IFERROR(IF(A151="","",IF(F151="Capital",O151,0)),"")</f>
        <v/>
      </c>
      <c r="T151" s="25" t="n"/>
      <c r="U151" s="25" t="n"/>
      <c r="V151" s="27">
        <f>IFERROR(IF(A151="","",IF(D151="","Missing Vendor",IF(E151="","Missing Category",IF(O151&gt;'Assumptions'!$B$114,"High Expense",IF(AND(U151="No",T151&lt;&gt;"Canceled",T151&lt;&gt;"Excluded"),"Missing Receipt","OK"))))),"")</f>
        <v/>
      </c>
      <c r="W151" s="31" t="n"/>
    </row>
    <row r="152">
      <c r="A152" s="25" t="n"/>
      <c r="B152" s="26" t="n"/>
      <c r="C152" s="25" t="n"/>
      <c r="D152" s="25" t="n"/>
      <c r="E152" s="25" t="n"/>
      <c r="F152" s="25" t="n"/>
      <c r="G152" s="25" t="n"/>
      <c r="H152" s="25" t="n"/>
      <c r="I152" s="31" t="n"/>
      <c r="J152" s="32" t="n"/>
      <c r="K152" s="49" t="n"/>
      <c r="L152" s="51">
        <f>IFERROR(IF(A152="","",IF(OR(J152="",K152=""),"",J152*K152)),"")</f>
        <v/>
      </c>
      <c r="M152" s="49" t="n"/>
      <c r="N152" s="49" t="n"/>
      <c r="O152" s="51">
        <f>IFERROR(IF(A152="","",L152+M152+N152),"")</f>
        <v/>
      </c>
      <c r="P152" s="32" t="n"/>
      <c r="Q152" s="49" t="n"/>
      <c r="R152" s="51">
        <f>IFERROR(IF(A152="","",IF(F152="Operating",O152,0)),"")</f>
        <v/>
      </c>
      <c r="S152" s="51">
        <f>IFERROR(IF(A152="","",IF(F152="Capital",O152,0)),"")</f>
        <v/>
      </c>
      <c r="T152" s="25" t="n"/>
      <c r="U152" s="25" t="n"/>
      <c r="V152" s="27">
        <f>IFERROR(IF(A152="","",IF(D152="","Missing Vendor",IF(E152="","Missing Category",IF(O152&gt;'Assumptions'!$B$114,"High Expense",IF(AND(U152="No",T152&lt;&gt;"Canceled",T152&lt;&gt;"Excluded"),"Missing Receipt","OK"))))),"")</f>
        <v/>
      </c>
      <c r="W152" s="31" t="n"/>
    </row>
    <row r="153">
      <c r="A153" s="25" t="n"/>
      <c r="B153" s="26" t="n"/>
      <c r="C153" s="25" t="n"/>
      <c r="D153" s="25" t="n"/>
      <c r="E153" s="25" t="n"/>
      <c r="F153" s="25" t="n"/>
      <c r="G153" s="25" t="n"/>
      <c r="H153" s="25" t="n"/>
      <c r="I153" s="31" t="n"/>
      <c r="J153" s="32" t="n"/>
      <c r="K153" s="49" t="n"/>
      <c r="L153" s="51">
        <f>IFERROR(IF(A153="","",IF(OR(J153="",K153=""),"",J153*K153)),"")</f>
        <v/>
      </c>
      <c r="M153" s="49" t="n"/>
      <c r="N153" s="49" t="n"/>
      <c r="O153" s="51">
        <f>IFERROR(IF(A153="","",L153+M153+N153),"")</f>
        <v/>
      </c>
      <c r="P153" s="32" t="n"/>
      <c r="Q153" s="49" t="n"/>
      <c r="R153" s="51">
        <f>IFERROR(IF(A153="","",IF(F153="Operating",O153,0)),"")</f>
        <v/>
      </c>
      <c r="S153" s="51">
        <f>IFERROR(IF(A153="","",IF(F153="Capital",O153,0)),"")</f>
        <v/>
      </c>
      <c r="T153" s="25" t="n"/>
      <c r="U153" s="25" t="n"/>
      <c r="V153" s="27">
        <f>IFERROR(IF(A153="","",IF(D153="","Missing Vendor",IF(E153="","Missing Category",IF(O153&gt;'Assumptions'!$B$114,"High Expense",IF(AND(U153="No",T153&lt;&gt;"Canceled",T153&lt;&gt;"Excluded"),"Missing Receipt","OK"))))),"")</f>
        <v/>
      </c>
      <c r="W153" s="31" t="n"/>
    </row>
  </sheetData>
  <autoFilter ref="A3:W153"/>
  <mergeCells count="2">
    <mergeCell ref="A2:W2"/>
    <mergeCell ref="A1:W1"/>
  </mergeCells>
  <conditionalFormatting sqref="V4:V153">
    <cfRule type="expression" priority="1" dxfId="3">
      <formula>V4="High Expense"</formula>
    </cfRule>
    <cfRule type="expression" priority="2" dxfId="3">
      <formula>OR(V4="Missing Vendor",V4="Missing Category")</formula>
    </cfRule>
    <cfRule type="expression" priority="3" dxfId="2">
      <formula>V4="Missing Receipt"</formula>
    </cfRule>
  </conditionalFormatting>
  <conditionalFormatting sqref="A4:W153">
    <cfRule type="expression" priority="4" dxfId="7">
      <formula>$F4="Capital"</formula>
    </cfRule>
    <cfRule type="expression" priority="5" dxfId="4">
      <formula>OR($T4="Canceled",$T4="Excluded",$F4="Excluded")</formula>
    </cfRule>
  </conditionalFormatting>
  <conditionalFormatting sqref="T4:T153">
    <cfRule type="expression" priority="6" dxfId="8">
      <formula>T4="Pending"</formula>
    </cfRule>
  </conditionalFormatting>
  <dataValidations count="10">
    <dataValidation sqref="B4:B153" showDropDown="0" showInputMessage="0" showErrorMessage="1" allowBlank="0" errorTitle="Invalid Date" error="Enter a valid date between 1/1/2000 and 12/31/2100." type="date" operator="between">
      <formula1>DATE(2000,1,1)</formula1>
      <formula2>DATE(2100,12,31)</formula2>
    </dataValidation>
    <dataValidation sqref="C4:C153" showDropDown="0" showInputMessage="1" showErrorMessage="1" allowBlank="0" errorTitle="Invalid Selection" error="Select a value from the list." promptTitle="Property" prompt="Select a property or Shared Portfolio." type="list">
      <formula1>"Harbor View Cottage,Blue Ridge Cabin,Desert Bloom Casita,Shared Portfolio"</formula1>
    </dataValidation>
    <dataValidation sqref="E4:E153" showDropDown="0" showInputMessage="1" showErrorMessage="1" allowBlank="0" errorTitle="Invalid Selection" error="Select a value from the list." promptTitle="Expense Category" prompt="Select an operating category." type="list">
      <formula1>'Assumptions'!$V$109:$V$125</formula1>
    </dataValidation>
    <dataValidation sqref="F4:F153" showDropDown="0" showInputMessage="1" showErrorMessage="1" allowBlank="0" errorTitle="Invalid Selection" error="Select a value from the list." promptTitle="Expense Type" prompt="Capital improvements are excluded from operating profit." type="list">
      <formula1>'Assumptions'!$W$109:$W$112</formula1>
    </dataValidation>
    <dataValidation sqref="G4:G153" showDropDown="0" showInputMessage="1" showErrorMessage="1" allowBlank="0" errorTitle="Invalid Selection" error="Select a value from the list." promptTitle="Payment Method" prompt="Select the payment method." type="list">
      <formula1>'Assumptions'!$X$109:$X$115</formula1>
    </dataValidation>
    <dataValidation sqref="T4:T153" showDropDown="0" showInputMessage="1" showErrorMessage="1" allowBlank="0" errorTitle="Invalid Selection" error="Select a value from the list." promptTitle="Expense Status" prompt="Select the current expense status." type="list">
      <formula1>'Assumptions'!$Y$109:$Y$113</formula1>
    </dataValidation>
    <dataValidation sqref="U4:U153" showDropDown="0" showInputMessage="1" showErrorMessage="1" allowBlank="0" errorTitle="Invalid Selection" error="Select a value from the list." promptTitle="Receipt Availability" prompt="Indicate whether supporting documentation is available." type="list">
      <formula1>'Assumptions'!$Z$109:$Z$111</formula1>
    </dataValidation>
    <dataValidation sqref="J4:K153" showDropDown="0" showInputMessage="0" showErrorMessage="1" allowBlank="0" errorTitle="Invalid Number" error="Enter a valid nonnegative number within the allowed range." type="decimal" operator="greaterThanOrEqual">
      <formula1>0</formula1>
    </dataValidation>
    <dataValidation sqref="M4:N153" showDropDown="0" showInputMessage="0" showErrorMessage="1" allowBlank="0" errorTitle="Invalid Number" error="Enter a valid nonnegative number within the allowed range." type="decimal" operator="greaterThanOrEqual">
      <formula1>0</formula1>
    </dataValidation>
    <dataValidation sqref="P4:Q153" showDropDown="0" showInputMessage="0" showErrorMessage="1" allowBlank="0" errorTitle="Invalid Number" error="Enter a valid nonnegative number within the allowed range." type="decimal" operator="greaterThanOrEqual">
      <formula1>0</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AA125"/>
  <sheetViews>
    <sheetView showGridLines="0" zoomScale="70" zoomScaleNormal="70" workbookViewId="0">
      <pane ySplit="4" topLeftCell="A5" activePane="bottomLeft" state="frozen"/>
      <selection pane="bottomLeft" activeCell="A1" sqref="A1"/>
    </sheetView>
  </sheetViews>
  <sheetFormatPr baseColWidth="8" defaultRowHeight="15"/>
  <cols>
    <col width="27"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34" customWidth="1" min="18" max="18"/>
    <col width="20" customWidth="1" min="21" max="21"/>
    <col width="18" customWidth="1" min="22" max="22"/>
    <col width="38" customWidth="1" min="23" max="23"/>
    <col width="25" customWidth="1" min="24" max="24"/>
    <col width="25" customWidth="1" min="25" max="25"/>
    <col width="25" customWidth="1" min="26" max="26"/>
    <col width="25" customWidth="1" min="27" max="27"/>
  </cols>
  <sheetData>
    <row r="1" ht="28" customHeight="1">
      <c r="A1" s="1" t="inlineStr">
        <is>
          <t>Editable Assumptions and Validation Lists</t>
        </is>
      </c>
    </row>
    <row r="2" ht="30" customHeight="1">
      <c r="A2" s="2" t="inlineStr">
        <is>
          <t>Update the blue input cells to match your properties and agreements. Tax rates, fee treatment, channel charges, management fees, and operating targets are planning assumptions and should be verified before use.</t>
        </is>
      </c>
    </row>
    <row r="4">
      <c r="A4" s="10" t="inlineStr">
        <is>
          <t>Property ID</t>
        </is>
      </c>
      <c r="B4" s="10" t="inlineStr">
        <is>
          <t>Property Name</t>
        </is>
      </c>
      <c r="C4" s="10" t="inlineStr">
        <is>
          <t>Market</t>
        </is>
      </c>
      <c r="D4" s="10" t="inlineStr">
        <is>
          <t>State</t>
        </is>
      </c>
      <c r="E4" s="10" t="inlineStr">
        <is>
          <t>Active</t>
        </is>
      </c>
      <c r="F4" s="10" t="inlineStr">
        <is>
          <t>Bedrooms</t>
        </is>
      </c>
      <c r="G4" s="10" t="inlineStr">
        <is>
          <t>Maximum Guests</t>
        </is>
      </c>
      <c r="H4" s="10" t="inlineStr">
        <is>
          <t>Lodging Tax Rate</t>
        </is>
      </c>
      <c r="I4" s="10" t="inlineStr">
        <is>
          <t>Taxable Fee Share</t>
        </is>
      </c>
      <c r="J4" s="10" t="inlineStr">
        <is>
          <t>Processing Fee Rate</t>
        </is>
      </c>
      <c r="K4" s="10" t="inlineStr">
        <is>
          <t>Management Fee Rate</t>
        </is>
      </c>
      <c r="L4" s="10" t="inlineStr">
        <is>
          <t>Annual Owner-Blocked Nights</t>
        </is>
      </c>
      <c r="M4" s="10" t="inlineStr">
        <is>
          <t>Annual Maintenance-Blocked Nights</t>
        </is>
      </c>
      <c r="N4" s="10" t="inlineStr">
        <is>
          <t>Occupancy Target</t>
        </is>
      </c>
      <c r="O4" s="10" t="inlineStr">
        <is>
          <t>Operating Margin Target</t>
        </is>
      </c>
      <c r="P4" s="10" t="inlineStr">
        <is>
          <t>Labor Cost Target</t>
        </is>
      </c>
      <c r="Q4" s="10" t="inlineStr">
        <is>
          <t>Minimum Nightly Rate</t>
        </is>
      </c>
      <c r="R4" s="10" t="inlineStr">
        <is>
          <t>Notes</t>
        </is>
      </c>
      <c r="U4" s="10" t="inlineStr">
        <is>
          <t>Booking Channel</t>
        </is>
      </c>
      <c r="V4" s="10" t="inlineStr">
        <is>
          <t>Commission Rate</t>
        </is>
      </c>
      <c r="W4" s="10" t="inlineStr">
        <is>
          <t>Notes</t>
        </is>
      </c>
    </row>
    <row r="5">
      <c r="A5" s="25" t="inlineStr">
        <is>
          <t>PROP-001</t>
        </is>
      </c>
      <c r="B5" s="25" t="inlineStr">
        <is>
          <t>Harbor View Cottage</t>
        </is>
      </c>
      <c r="C5" s="25" t="inlineStr">
        <is>
          <t>Gulf Shores</t>
        </is>
      </c>
      <c r="D5" s="25" t="inlineStr">
        <is>
          <t>Alabama</t>
        </is>
      </c>
      <c r="E5" s="25" t="inlineStr">
        <is>
          <t>Yes</t>
        </is>
      </c>
      <c r="F5" s="25" t="n">
        <v>3</v>
      </c>
      <c r="G5" s="25" t="n">
        <v>8</v>
      </c>
      <c r="H5" s="52" t="n">
        <v>0.12</v>
      </c>
      <c r="I5" s="52" t="n">
        <v>0.75</v>
      </c>
      <c r="J5" s="52" t="n">
        <v>0.029</v>
      </c>
      <c r="K5" s="52" t="n">
        <v>0.1</v>
      </c>
      <c r="L5" s="25" t="n">
        <v>18</v>
      </c>
      <c r="M5" s="25" t="n">
        <v>10</v>
      </c>
      <c r="N5" s="52" t="n">
        <v>0.7</v>
      </c>
      <c r="O5" s="52" t="n">
        <v>0.35</v>
      </c>
      <c r="P5" s="52" t="n">
        <v>0.15</v>
      </c>
      <c r="Q5" s="49" t="n">
        <v>185</v>
      </c>
      <c r="R5" s="31" t="inlineStr">
        <is>
          <t>Sample planning rates; verify locally.</t>
        </is>
      </c>
      <c r="U5" s="25" t="inlineStr">
        <is>
          <t>Direct</t>
        </is>
      </c>
      <c r="V5" s="52" t="n">
        <v>0</v>
      </c>
      <c r="W5" s="31" t="inlineStr">
        <is>
          <t>Editable sample assumption.</t>
        </is>
      </c>
    </row>
    <row r="6">
      <c r="A6" s="25" t="inlineStr">
        <is>
          <t>PROP-002</t>
        </is>
      </c>
      <c r="B6" s="25" t="inlineStr">
        <is>
          <t>Blue Ridge Cabin</t>
        </is>
      </c>
      <c r="C6" s="25" t="inlineStr">
        <is>
          <t>Asheville Area</t>
        </is>
      </c>
      <c r="D6" s="25" t="inlineStr">
        <is>
          <t>North Carolina</t>
        </is>
      </c>
      <c r="E6" s="25" t="inlineStr">
        <is>
          <t>Yes</t>
        </is>
      </c>
      <c r="F6" s="25" t="n">
        <v>2</v>
      </c>
      <c r="G6" s="25" t="n">
        <v>6</v>
      </c>
      <c r="H6" s="52" t="n">
        <v>0.11</v>
      </c>
      <c r="I6" s="52" t="n">
        <v>0.65</v>
      </c>
      <c r="J6" s="52" t="n">
        <v>0.029</v>
      </c>
      <c r="K6" s="52" t="n">
        <v>0.12</v>
      </c>
      <c r="L6" s="25" t="n">
        <v>24</v>
      </c>
      <c r="M6" s="25" t="n">
        <v>12</v>
      </c>
      <c r="N6" s="52" t="n">
        <v>0.68</v>
      </c>
      <c r="O6" s="52" t="n">
        <v>0.34</v>
      </c>
      <c r="P6" s="52" t="n">
        <v>0.16</v>
      </c>
      <c r="Q6" s="49" t="n">
        <v>165</v>
      </c>
      <c r="R6" s="31" t="inlineStr">
        <is>
          <t>Sample planning rates; verify locally.</t>
        </is>
      </c>
      <c r="U6" s="25" t="inlineStr">
        <is>
          <t>Airbnb</t>
        </is>
      </c>
      <c r="V6" s="52" t="n">
        <v>0.15</v>
      </c>
      <c r="W6" s="31" t="inlineStr">
        <is>
          <t>Editable sample assumption; verify agreement.</t>
        </is>
      </c>
    </row>
    <row r="7">
      <c r="A7" s="25" t="inlineStr">
        <is>
          <t>PROP-003</t>
        </is>
      </c>
      <c r="B7" s="25" t="inlineStr">
        <is>
          <t>Desert Bloom Casita</t>
        </is>
      </c>
      <c r="C7" s="25" t="inlineStr">
        <is>
          <t>Scottsdale</t>
        </is>
      </c>
      <c r="D7" s="25" t="inlineStr">
        <is>
          <t>Arizona</t>
        </is>
      </c>
      <c r="E7" s="25" t="inlineStr">
        <is>
          <t>Yes</t>
        </is>
      </c>
      <c r="F7" s="25" t="n">
        <v>1</v>
      </c>
      <c r="G7" s="25" t="n">
        <v>4</v>
      </c>
      <c r="H7" s="52" t="n">
        <v>0.135</v>
      </c>
      <c r="I7" s="52" t="n">
        <v>0.8</v>
      </c>
      <c r="J7" s="52" t="n">
        <v>0.029</v>
      </c>
      <c r="K7" s="52" t="n">
        <v>0.1</v>
      </c>
      <c r="L7" s="25" t="n">
        <v>15</v>
      </c>
      <c r="M7" s="25" t="n">
        <v>14</v>
      </c>
      <c r="N7" s="52" t="n">
        <v>0.72</v>
      </c>
      <c r="O7" s="52" t="n">
        <v>0.38</v>
      </c>
      <c r="P7" s="52" t="n">
        <v>0.14</v>
      </c>
      <c r="Q7" s="49" t="n">
        <v>145</v>
      </c>
      <c r="R7" s="31" t="inlineStr">
        <is>
          <t>Sample planning rates; verify locally.</t>
        </is>
      </c>
      <c r="U7" s="25" t="inlineStr">
        <is>
          <t>Vrbo</t>
        </is>
      </c>
      <c r="V7" s="52" t="n">
        <v>0.08</v>
      </c>
      <c r="W7" s="31" t="inlineStr">
        <is>
          <t>Editable sample assumption; verify agreement.</t>
        </is>
      </c>
    </row>
    <row r="8">
      <c r="A8" s="25" t="n"/>
      <c r="B8" s="25" t="n"/>
      <c r="C8" s="25" t="n"/>
      <c r="D8" s="25" t="n"/>
      <c r="E8" s="25" t="n"/>
      <c r="F8" s="25" t="n"/>
      <c r="G8" s="25" t="n"/>
      <c r="H8" s="52" t="n"/>
      <c r="I8" s="52" t="n"/>
      <c r="J8" s="52" t="n"/>
      <c r="K8" s="52" t="n"/>
      <c r="L8" s="25" t="n"/>
      <c r="M8" s="25" t="n"/>
      <c r="N8" s="52" t="n"/>
      <c r="O8" s="52" t="n"/>
      <c r="P8" s="52" t="n"/>
      <c r="Q8" s="49" t="n"/>
      <c r="R8" s="31" t="n"/>
      <c r="U8" s="25" t="inlineStr">
        <is>
          <t>Booking.com</t>
        </is>
      </c>
      <c r="V8" s="52" t="n">
        <v>0.15</v>
      </c>
      <c r="W8" s="31" t="inlineStr">
        <is>
          <t>Editable sample assumption; verify agreement.</t>
        </is>
      </c>
    </row>
    <row r="9">
      <c r="A9" s="25" t="n"/>
      <c r="B9" s="25" t="n"/>
      <c r="C9" s="25" t="n"/>
      <c r="D9" s="25" t="n"/>
      <c r="E9" s="25" t="n"/>
      <c r="F9" s="25" t="n"/>
      <c r="G9" s="25" t="n"/>
      <c r="H9" s="52" t="n"/>
      <c r="I9" s="52" t="n"/>
      <c r="J9" s="52" t="n"/>
      <c r="K9" s="52" t="n"/>
      <c r="L9" s="25" t="n"/>
      <c r="M9" s="25" t="n"/>
      <c r="N9" s="52" t="n"/>
      <c r="O9" s="52" t="n"/>
      <c r="P9" s="52" t="n"/>
      <c r="Q9" s="49" t="n"/>
      <c r="R9" s="31" t="n"/>
      <c r="U9" s="25" t="inlineStr">
        <is>
          <t>Corporate</t>
        </is>
      </c>
      <c r="V9" s="52" t="n">
        <v>0.05</v>
      </c>
      <c r="W9" s="31" t="inlineStr">
        <is>
          <t>Editable sample assumption.</t>
        </is>
      </c>
    </row>
    <row r="10">
      <c r="A10" s="25" t="n"/>
      <c r="B10" s="25" t="n"/>
      <c r="C10" s="25" t="n"/>
      <c r="D10" s="25" t="n"/>
      <c r="E10" s="25" t="n"/>
      <c r="F10" s="25" t="n"/>
      <c r="G10" s="25" t="n"/>
      <c r="H10" s="52" t="n"/>
      <c r="I10" s="52" t="n"/>
      <c r="J10" s="52" t="n"/>
      <c r="K10" s="52" t="n"/>
      <c r="L10" s="25" t="n"/>
      <c r="M10" s="25" t="n"/>
      <c r="N10" s="52" t="n"/>
      <c r="O10" s="52" t="n"/>
      <c r="P10" s="52" t="n"/>
      <c r="Q10" s="49" t="n"/>
      <c r="R10" s="31" t="n"/>
      <c r="U10" s="25" t="inlineStr">
        <is>
          <t>Other</t>
        </is>
      </c>
      <c r="V10" s="52" t="n">
        <v>0.1</v>
      </c>
      <c r="W10" s="31" t="inlineStr">
        <is>
          <t>Editable sample assumption.</t>
        </is>
      </c>
    </row>
    <row r="11">
      <c r="A11" s="25" t="n"/>
      <c r="B11" s="25" t="n"/>
      <c r="C11" s="25" t="n"/>
      <c r="D11" s="25" t="n"/>
      <c r="E11" s="25" t="n"/>
      <c r="F11" s="25" t="n"/>
      <c r="G11" s="25" t="n"/>
      <c r="H11" s="52" t="n"/>
      <c r="I11" s="52" t="n"/>
      <c r="J11" s="52" t="n"/>
      <c r="K11" s="52" t="n"/>
      <c r="L11" s="25" t="n"/>
      <c r="M11" s="25" t="n"/>
      <c r="N11" s="52" t="n"/>
      <c r="O11" s="52" t="n"/>
      <c r="P11" s="52" t="n"/>
      <c r="Q11" s="49" t="n"/>
      <c r="R11" s="31" t="n"/>
      <c r="U11" s="25" t="n"/>
      <c r="V11" s="52" t="n"/>
      <c r="W11" s="31" t="n"/>
    </row>
    <row r="12">
      <c r="A12" s="25" t="n"/>
      <c r="B12" s="25" t="n"/>
      <c r="C12" s="25" t="n"/>
      <c r="D12" s="25" t="n"/>
      <c r="E12" s="25" t="n"/>
      <c r="F12" s="25" t="n"/>
      <c r="G12" s="25" t="n"/>
      <c r="H12" s="52" t="n"/>
      <c r="I12" s="52" t="n"/>
      <c r="J12" s="52" t="n"/>
      <c r="K12" s="52" t="n"/>
      <c r="L12" s="25" t="n"/>
      <c r="M12" s="25" t="n"/>
      <c r="N12" s="52" t="n"/>
      <c r="O12" s="52" t="n"/>
      <c r="P12" s="52" t="n"/>
      <c r="Q12" s="49" t="n"/>
      <c r="R12" s="31" t="n"/>
      <c r="U12" s="25" t="n"/>
      <c r="V12" s="52" t="n"/>
      <c r="W12" s="31" t="n"/>
    </row>
    <row r="13">
      <c r="A13" s="25" t="n"/>
      <c r="B13" s="25" t="n"/>
      <c r="C13" s="25" t="n"/>
      <c r="D13" s="25" t="n"/>
      <c r="E13" s="25" t="n"/>
      <c r="F13" s="25" t="n"/>
      <c r="G13" s="25" t="n"/>
      <c r="H13" s="52" t="n"/>
      <c r="I13" s="52" t="n"/>
      <c r="J13" s="52" t="n"/>
      <c r="K13" s="52" t="n"/>
      <c r="L13" s="25" t="n"/>
      <c r="M13" s="25" t="n"/>
      <c r="N13" s="52" t="n"/>
      <c r="O13" s="52" t="n"/>
      <c r="P13" s="52" t="n"/>
      <c r="Q13" s="49" t="n"/>
      <c r="R13" s="31" t="n"/>
      <c r="U13" s="25" t="n"/>
      <c r="V13" s="52" t="n"/>
      <c r="W13" s="31" t="n"/>
    </row>
    <row r="14">
      <c r="A14" s="25" t="n"/>
      <c r="B14" s="25" t="n"/>
      <c r="C14" s="25" t="n"/>
      <c r="D14" s="25" t="n"/>
      <c r="E14" s="25" t="n"/>
      <c r="F14" s="25" t="n"/>
      <c r="G14" s="25" t="n"/>
      <c r="H14" s="52" t="n"/>
      <c r="I14" s="52" t="n"/>
      <c r="J14" s="52" t="n"/>
      <c r="K14" s="52" t="n"/>
      <c r="L14" s="25" t="n"/>
      <c r="M14" s="25" t="n"/>
      <c r="N14" s="52" t="n"/>
      <c r="O14" s="52" t="n"/>
      <c r="P14" s="52" t="n"/>
      <c r="Q14" s="49" t="n"/>
      <c r="R14" s="31" t="n"/>
      <c r="U14" s="25" t="n"/>
      <c r="V14" s="52" t="n"/>
      <c r="W14" s="31" t="n"/>
    </row>
    <row r="15">
      <c r="A15" s="25" t="n"/>
      <c r="B15" s="25" t="n"/>
      <c r="C15" s="25" t="n"/>
      <c r="D15" s="25" t="n"/>
      <c r="E15" s="25" t="n"/>
      <c r="F15" s="25" t="n"/>
      <c r="G15" s="25" t="n"/>
      <c r="H15" s="52" t="n"/>
      <c r="I15" s="52" t="n"/>
      <c r="J15" s="52" t="n"/>
      <c r="K15" s="52" t="n"/>
      <c r="L15" s="25" t="n"/>
      <c r="M15" s="25" t="n"/>
      <c r="N15" s="52" t="n"/>
      <c r="O15" s="52" t="n"/>
      <c r="P15" s="52" t="n"/>
      <c r="Q15" s="49" t="n"/>
      <c r="R15" s="31" t="n"/>
      <c r="U15" s="25" t="n"/>
      <c r="V15" s="52" t="n"/>
      <c r="W15" s="31" t="n"/>
    </row>
    <row r="16">
      <c r="A16" s="25" t="n"/>
      <c r="B16" s="25" t="n"/>
      <c r="C16" s="25" t="n"/>
      <c r="D16" s="25" t="n"/>
      <c r="E16" s="25" t="n"/>
      <c r="F16" s="25" t="n"/>
      <c r="G16" s="25" t="n"/>
      <c r="H16" s="52" t="n"/>
      <c r="I16" s="52" t="n"/>
      <c r="J16" s="52" t="n"/>
      <c r="K16" s="52" t="n"/>
      <c r="L16" s="25" t="n"/>
      <c r="M16" s="25" t="n"/>
      <c r="N16" s="52" t="n"/>
      <c r="O16" s="52" t="n"/>
      <c r="P16" s="52" t="n"/>
      <c r="Q16" s="49" t="n"/>
      <c r="R16" s="31" t="n"/>
      <c r="U16" s="25" t="n"/>
      <c r="V16" s="52" t="n"/>
      <c r="W16" s="31" t="n"/>
    </row>
    <row r="17">
      <c r="A17" s="25" t="n"/>
      <c r="B17" s="25" t="n"/>
      <c r="C17" s="25" t="n"/>
      <c r="D17" s="25" t="n"/>
      <c r="E17" s="25" t="n"/>
      <c r="F17" s="25" t="n"/>
      <c r="G17" s="25" t="n"/>
      <c r="H17" s="52" t="n"/>
      <c r="I17" s="52" t="n"/>
      <c r="J17" s="52" t="n"/>
      <c r="K17" s="52" t="n"/>
      <c r="L17" s="25" t="n"/>
      <c r="M17" s="25" t="n"/>
      <c r="N17" s="52" t="n"/>
      <c r="O17" s="52" t="n"/>
      <c r="P17" s="52" t="n"/>
      <c r="Q17" s="49" t="n"/>
      <c r="R17" s="31" t="n"/>
      <c r="U17" s="25" t="n"/>
      <c r="V17" s="52" t="n"/>
      <c r="W17" s="31" t="n"/>
    </row>
    <row r="18">
      <c r="A18" s="25" t="n"/>
      <c r="B18" s="25" t="n"/>
      <c r="C18" s="25" t="n"/>
      <c r="D18" s="25" t="n"/>
      <c r="E18" s="25" t="n"/>
      <c r="F18" s="25" t="n"/>
      <c r="G18" s="25" t="n"/>
      <c r="H18" s="52" t="n"/>
      <c r="I18" s="52" t="n"/>
      <c r="J18" s="52" t="n"/>
      <c r="K18" s="52" t="n"/>
      <c r="L18" s="25" t="n"/>
      <c r="M18" s="25" t="n"/>
      <c r="N18" s="52" t="n"/>
      <c r="O18" s="52" t="n"/>
      <c r="P18" s="52" t="n"/>
      <c r="Q18" s="49" t="n"/>
      <c r="R18" s="31" t="n"/>
      <c r="U18" s="25" t="n"/>
      <c r="V18" s="52" t="n"/>
      <c r="W18" s="31" t="n"/>
    </row>
    <row r="19">
      <c r="A19" s="25" t="n"/>
      <c r="B19" s="25" t="n"/>
      <c r="C19" s="25" t="n"/>
      <c r="D19" s="25" t="n"/>
      <c r="E19" s="25" t="n"/>
      <c r="F19" s="25" t="n"/>
      <c r="G19" s="25" t="n"/>
      <c r="H19" s="52" t="n"/>
      <c r="I19" s="52" t="n"/>
      <c r="J19" s="52" t="n"/>
      <c r="K19" s="52" t="n"/>
      <c r="L19" s="25" t="n"/>
      <c r="M19" s="25" t="n"/>
      <c r="N19" s="52" t="n"/>
      <c r="O19" s="52" t="n"/>
      <c r="P19" s="52" t="n"/>
      <c r="Q19" s="49" t="n"/>
      <c r="R19" s="31" t="n"/>
      <c r="U19" s="25" t="n"/>
      <c r="V19" s="52" t="n"/>
      <c r="W19" s="31" t="n"/>
    </row>
    <row r="20">
      <c r="A20" s="25" t="n"/>
      <c r="B20" s="25" t="n"/>
      <c r="C20" s="25" t="n"/>
      <c r="D20" s="25" t="n"/>
      <c r="E20" s="25" t="n"/>
      <c r="F20" s="25" t="n"/>
      <c r="G20" s="25" t="n"/>
      <c r="H20" s="52" t="n"/>
      <c r="I20" s="52" t="n"/>
      <c r="J20" s="52" t="n"/>
      <c r="K20" s="52" t="n"/>
      <c r="L20" s="25" t="n"/>
      <c r="M20" s="25" t="n"/>
      <c r="N20" s="52" t="n"/>
      <c r="O20" s="52" t="n"/>
      <c r="P20" s="52" t="n"/>
      <c r="Q20" s="49" t="n"/>
      <c r="R20" s="31" t="n"/>
      <c r="U20" s="25" t="n"/>
      <c r="V20" s="52" t="n"/>
      <c r="W20" s="31" t="n"/>
    </row>
    <row r="21">
      <c r="A21" s="25" t="n"/>
      <c r="B21" s="25" t="n"/>
      <c r="C21" s="25" t="n"/>
      <c r="D21" s="25" t="n"/>
      <c r="E21" s="25" t="n"/>
      <c r="F21" s="25" t="n"/>
      <c r="G21" s="25" t="n"/>
      <c r="H21" s="52" t="n"/>
      <c r="I21" s="52" t="n"/>
      <c r="J21" s="52" t="n"/>
      <c r="K21" s="52" t="n"/>
      <c r="L21" s="25" t="n"/>
      <c r="M21" s="25" t="n"/>
      <c r="N21" s="52" t="n"/>
      <c r="O21" s="52" t="n"/>
      <c r="P21" s="52" t="n"/>
      <c r="Q21" s="49" t="n"/>
      <c r="R21" s="31" t="n"/>
      <c r="U21" s="25" t="n"/>
      <c r="V21" s="52" t="n"/>
      <c r="W21" s="31" t="n"/>
    </row>
    <row r="22">
      <c r="A22" s="25" t="n"/>
      <c r="B22" s="25" t="n"/>
      <c r="C22" s="25" t="n"/>
      <c r="D22" s="25" t="n"/>
      <c r="E22" s="25" t="n"/>
      <c r="F22" s="25" t="n"/>
      <c r="G22" s="25" t="n"/>
      <c r="H22" s="52" t="n"/>
      <c r="I22" s="52" t="n"/>
      <c r="J22" s="52" t="n"/>
      <c r="K22" s="52" t="n"/>
      <c r="L22" s="25" t="n"/>
      <c r="M22" s="25" t="n"/>
      <c r="N22" s="52" t="n"/>
      <c r="O22" s="52" t="n"/>
      <c r="P22" s="52" t="n"/>
      <c r="Q22" s="49" t="n"/>
      <c r="R22" s="31" t="n"/>
      <c r="U22" s="25" t="n"/>
      <c r="V22" s="52" t="n"/>
      <c r="W22" s="31" t="n"/>
    </row>
    <row r="23">
      <c r="A23" s="25" t="n"/>
      <c r="B23" s="25" t="n"/>
      <c r="C23" s="25" t="n"/>
      <c r="D23" s="25" t="n"/>
      <c r="E23" s="25" t="n"/>
      <c r="F23" s="25" t="n"/>
      <c r="G23" s="25" t="n"/>
      <c r="H23" s="52" t="n"/>
      <c r="I23" s="52" t="n"/>
      <c r="J23" s="52" t="n"/>
      <c r="K23" s="52" t="n"/>
      <c r="L23" s="25" t="n"/>
      <c r="M23" s="25" t="n"/>
      <c r="N23" s="52" t="n"/>
      <c r="O23" s="52" t="n"/>
      <c r="P23" s="52" t="n"/>
      <c r="Q23" s="49" t="n"/>
      <c r="R23" s="31" t="n"/>
      <c r="U23" s="25" t="n"/>
      <c r="V23" s="52" t="n"/>
      <c r="W23" s="31" t="n"/>
    </row>
    <row r="24">
      <c r="A24" s="25" t="n"/>
      <c r="B24" s="25" t="n"/>
      <c r="C24" s="25" t="n"/>
      <c r="D24" s="25" t="n"/>
      <c r="E24" s="25" t="n"/>
      <c r="F24" s="25" t="n"/>
      <c r="G24" s="25" t="n"/>
      <c r="H24" s="52" t="n"/>
      <c r="I24" s="52" t="n"/>
      <c r="J24" s="52" t="n"/>
      <c r="K24" s="52" t="n"/>
      <c r="L24" s="25" t="n"/>
      <c r="M24" s="25" t="n"/>
      <c r="N24" s="52" t="n"/>
      <c r="O24" s="52" t="n"/>
      <c r="P24" s="52" t="n"/>
      <c r="Q24" s="49" t="n"/>
      <c r="R24" s="31" t="n"/>
      <c r="U24" s="25" t="n"/>
      <c r="V24" s="52" t="n"/>
      <c r="W24" s="31" t="n"/>
    </row>
    <row r="25">
      <c r="A25" s="25" t="n"/>
      <c r="B25" s="25" t="n"/>
      <c r="C25" s="25" t="n"/>
      <c r="D25" s="25" t="n"/>
      <c r="E25" s="25" t="n"/>
      <c r="F25" s="25" t="n"/>
      <c r="G25" s="25" t="n"/>
      <c r="H25" s="52" t="n"/>
      <c r="I25" s="52" t="n"/>
      <c r="J25" s="52" t="n"/>
      <c r="K25" s="52" t="n"/>
      <c r="L25" s="25" t="n"/>
      <c r="M25" s="25" t="n"/>
      <c r="N25" s="52" t="n"/>
      <c r="O25" s="52" t="n"/>
      <c r="P25" s="52" t="n"/>
      <c r="Q25" s="49" t="n"/>
      <c r="R25" s="31" t="n"/>
      <c r="U25" s="25" t="n"/>
      <c r="V25" s="52" t="n"/>
      <c r="W25" s="31" t="n"/>
    </row>
    <row r="26">
      <c r="A26" s="25" t="n"/>
      <c r="B26" s="25" t="n"/>
      <c r="C26" s="25" t="n"/>
      <c r="D26" s="25" t="n"/>
      <c r="E26" s="25" t="n"/>
      <c r="F26" s="25" t="n"/>
      <c r="G26" s="25" t="n"/>
      <c r="H26" s="52" t="n"/>
      <c r="I26" s="52" t="n"/>
      <c r="J26" s="52" t="n"/>
      <c r="K26" s="52" t="n"/>
      <c r="L26" s="25" t="n"/>
      <c r="M26" s="25" t="n"/>
      <c r="N26" s="52" t="n"/>
      <c r="O26" s="52" t="n"/>
      <c r="P26" s="52" t="n"/>
      <c r="Q26" s="49" t="n"/>
      <c r="R26" s="31" t="n"/>
      <c r="U26" s="25" t="n"/>
      <c r="V26" s="52" t="n"/>
      <c r="W26" s="31" t="n"/>
    </row>
    <row r="27">
      <c r="A27" s="25" t="n"/>
      <c r="B27" s="25" t="n"/>
      <c r="C27" s="25" t="n"/>
      <c r="D27" s="25" t="n"/>
      <c r="E27" s="25" t="n"/>
      <c r="F27" s="25" t="n"/>
      <c r="G27" s="25" t="n"/>
      <c r="H27" s="52" t="n"/>
      <c r="I27" s="52" t="n"/>
      <c r="J27" s="52" t="n"/>
      <c r="K27" s="52" t="n"/>
      <c r="L27" s="25" t="n"/>
      <c r="M27" s="25" t="n"/>
      <c r="N27" s="52" t="n"/>
      <c r="O27" s="52" t="n"/>
      <c r="P27" s="52" t="n"/>
      <c r="Q27" s="49" t="n"/>
      <c r="R27" s="31" t="n"/>
      <c r="U27" s="25" t="n"/>
      <c r="V27" s="52" t="n"/>
      <c r="W27" s="31" t="n"/>
    </row>
    <row r="28">
      <c r="A28" s="25" t="n"/>
      <c r="B28" s="25" t="n"/>
      <c r="C28" s="25" t="n"/>
      <c r="D28" s="25" t="n"/>
      <c r="E28" s="25" t="n"/>
      <c r="F28" s="25" t="n"/>
      <c r="G28" s="25" t="n"/>
      <c r="H28" s="52" t="n"/>
      <c r="I28" s="52" t="n"/>
      <c r="J28" s="52" t="n"/>
      <c r="K28" s="52" t="n"/>
      <c r="L28" s="25" t="n"/>
      <c r="M28" s="25" t="n"/>
      <c r="N28" s="52" t="n"/>
      <c r="O28" s="52" t="n"/>
      <c r="P28" s="52" t="n"/>
      <c r="Q28" s="49" t="n"/>
      <c r="R28" s="31" t="n"/>
      <c r="U28" s="25" t="n"/>
      <c r="V28" s="52" t="n"/>
      <c r="W28" s="31" t="n"/>
    </row>
    <row r="29">
      <c r="A29" s="25" t="n"/>
      <c r="B29" s="25" t="n"/>
      <c r="C29" s="25" t="n"/>
      <c r="D29" s="25" t="n"/>
      <c r="E29" s="25" t="n"/>
      <c r="F29" s="25" t="n"/>
      <c r="G29" s="25" t="n"/>
      <c r="H29" s="52" t="n"/>
      <c r="I29" s="52" t="n"/>
      <c r="J29" s="52" t="n"/>
      <c r="K29" s="52" t="n"/>
      <c r="L29" s="25" t="n"/>
      <c r="M29" s="25" t="n"/>
      <c r="N29" s="52" t="n"/>
      <c r="O29" s="52" t="n"/>
      <c r="P29" s="52" t="n"/>
      <c r="Q29" s="49" t="n"/>
      <c r="R29" s="31" t="n"/>
      <c r="U29" s="25" t="n"/>
      <c r="V29" s="52" t="n"/>
      <c r="W29" s="31" t="n"/>
    </row>
    <row r="30">
      <c r="A30" s="25" t="n"/>
      <c r="B30" s="25" t="n"/>
      <c r="C30" s="25" t="n"/>
      <c r="D30" s="25" t="n"/>
      <c r="E30" s="25" t="n"/>
      <c r="F30" s="25" t="n"/>
      <c r="G30" s="25" t="n"/>
      <c r="H30" s="52" t="n"/>
      <c r="I30" s="52" t="n"/>
      <c r="J30" s="52" t="n"/>
      <c r="K30" s="52" t="n"/>
      <c r="L30" s="25" t="n"/>
      <c r="M30" s="25" t="n"/>
      <c r="N30" s="52" t="n"/>
      <c r="O30" s="52" t="n"/>
      <c r="P30" s="52" t="n"/>
      <c r="Q30" s="49" t="n"/>
      <c r="R30" s="31" t="n"/>
      <c r="U30" s="25" t="n"/>
      <c r="V30" s="52" t="n"/>
      <c r="W30" s="31" t="n"/>
    </row>
    <row r="31">
      <c r="A31" s="25" t="n"/>
      <c r="B31" s="25" t="n"/>
      <c r="C31" s="25" t="n"/>
      <c r="D31" s="25" t="n"/>
      <c r="E31" s="25" t="n"/>
      <c r="F31" s="25" t="n"/>
      <c r="G31" s="25" t="n"/>
      <c r="H31" s="52" t="n"/>
      <c r="I31" s="52" t="n"/>
      <c r="J31" s="52" t="n"/>
      <c r="K31" s="52" t="n"/>
      <c r="L31" s="25" t="n"/>
      <c r="M31" s="25" t="n"/>
      <c r="N31" s="52" t="n"/>
      <c r="O31" s="52" t="n"/>
      <c r="P31" s="52" t="n"/>
      <c r="Q31" s="49" t="n"/>
      <c r="R31" s="31" t="n"/>
      <c r="U31" s="25" t="n"/>
      <c r="V31" s="52" t="n"/>
      <c r="W31" s="31" t="n"/>
    </row>
    <row r="32">
      <c r="A32" s="25" t="n"/>
      <c r="B32" s="25" t="n"/>
      <c r="C32" s="25" t="n"/>
      <c r="D32" s="25" t="n"/>
      <c r="E32" s="25" t="n"/>
      <c r="F32" s="25" t="n"/>
      <c r="G32" s="25" t="n"/>
      <c r="H32" s="52" t="n"/>
      <c r="I32" s="52" t="n"/>
      <c r="J32" s="52" t="n"/>
      <c r="K32" s="52" t="n"/>
      <c r="L32" s="25" t="n"/>
      <c r="M32" s="25" t="n"/>
      <c r="N32" s="52" t="n"/>
      <c r="O32" s="52" t="n"/>
      <c r="P32" s="52" t="n"/>
      <c r="Q32" s="49" t="n"/>
      <c r="R32" s="31" t="n"/>
      <c r="U32" s="25" t="n"/>
      <c r="V32" s="52" t="n"/>
      <c r="W32" s="31" t="n"/>
    </row>
    <row r="33">
      <c r="A33" s="25" t="n"/>
      <c r="B33" s="25" t="n"/>
      <c r="C33" s="25" t="n"/>
      <c r="D33" s="25" t="n"/>
      <c r="E33" s="25" t="n"/>
      <c r="F33" s="25" t="n"/>
      <c r="G33" s="25" t="n"/>
      <c r="H33" s="52" t="n"/>
      <c r="I33" s="52" t="n"/>
      <c r="J33" s="52" t="n"/>
      <c r="K33" s="52" t="n"/>
      <c r="L33" s="25" t="n"/>
      <c r="M33" s="25" t="n"/>
      <c r="N33" s="52" t="n"/>
      <c r="O33" s="52" t="n"/>
      <c r="P33" s="52" t="n"/>
      <c r="Q33" s="49" t="n"/>
      <c r="R33" s="31" t="n"/>
      <c r="U33" s="25" t="n"/>
      <c r="V33" s="52" t="n"/>
      <c r="W33" s="31" t="n"/>
    </row>
    <row r="34">
      <c r="A34" s="25" t="n"/>
      <c r="B34" s="25" t="n"/>
      <c r="C34" s="25" t="n"/>
      <c r="D34" s="25" t="n"/>
      <c r="E34" s="25" t="n"/>
      <c r="F34" s="25" t="n"/>
      <c r="G34" s="25" t="n"/>
      <c r="H34" s="52" t="n"/>
      <c r="I34" s="52" t="n"/>
      <c r="J34" s="52" t="n"/>
      <c r="K34" s="52" t="n"/>
      <c r="L34" s="25" t="n"/>
      <c r="M34" s="25" t="n"/>
      <c r="N34" s="52" t="n"/>
      <c r="O34" s="52" t="n"/>
      <c r="P34" s="52" t="n"/>
      <c r="Q34" s="49" t="n"/>
      <c r="R34" s="31" t="n"/>
      <c r="U34" s="25" t="n"/>
      <c r="V34" s="52" t="n"/>
      <c r="W34" s="31" t="n"/>
    </row>
    <row r="35">
      <c r="A35" s="25" t="n"/>
      <c r="B35" s="25" t="n"/>
      <c r="C35" s="25" t="n"/>
      <c r="D35" s="25" t="n"/>
      <c r="E35" s="25" t="n"/>
      <c r="F35" s="25" t="n"/>
      <c r="G35" s="25" t="n"/>
      <c r="H35" s="52" t="n"/>
      <c r="I35" s="52" t="n"/>
      <c r="J35" s="52" t="n"/>
      <c r="K35" s="52" t="n"/>
      <c r="L35" s="25" t="n"/>
      <c r="M35" s="25" t="n"/>
      <c r="N35" s="52" t="n"/>
      <c r="O35" s="52" t="n"/>
      <c r="P35" s="52" t="n"/>
      <c r="Q35" s="49" t="n"/>
      <c r="R35" s="31" t="n"/>
      <c r="U35" s="25" t="n"/>
      <c r="V35" s="52" t="n"/>
      <c r="W35" s="31" t="n"/>
    </row>
    <row r="36">
      <c r="A36" s="25" t="n"/>
      <c r="B36" s="25" t="n"/>
      <c r="C36" s="25" t="n"/>
      <c r="D36" s="25" t="n"/>
      <c r="E36" s="25" t="n"/>
      <c r="F36" s="25" t="n"/>
      <c r="G36" s="25" t="n"/>
      <c r="H36" s="52" t="n"/>
      <c r="I36" s="52" t="n"/>
      <c r="J36" s="52" t="n"/>
      <c r="K36" s="52" t="n"/>
      <c r="L36" s="25" t="n"/>
      <c r="M36" s="25" t="n"/>
      <c r="N36" s="52" t="n"/>
      <c r="O36" s="52" t="n"/>
      <c r="P36" s="52" t="n"/>
      <c r="Q36" s="49" t="n"/>
      <c r="R36" s="31" t="n"/>
      <c r="U36" s="25" t="n"/>
      <c r="V36" s="52" t="n"/>
      <c r="W36" s="31" t="n"/>
    </row>
    <row r="37">
      <c r="A37" s="25" t="n"/>
      <c r="B37" s="25" t="n"/>
      <c r="C37" s="25" t="n"/>
      <c r="D37" s="25" t="n"/>
      <c r="E37" s="25" t="n"/>
      <c r="F37" s="25" t="n"/>
      <c r="G37" s="25" t="n"/>
      <c r="H37" s="52" t="n"/>
      <c r="I37" s="52" t="n"/>
      <c r="J37" s="52" t="n"/>
      <c r="K37" s="52" t="n"/>
      <c r="L37" s="25" t="n"/>
      <c r="M37" s="25" t="n"/>
      <c r="N37" s="52" t="n"/>
      <c r="O37" s="52" t="n"/>
      <c r="P37" s="52" t="n"/>
      <c r="Q37" s="49" t="n"/>
      <c r="R37" s="31" t="n"/>
      <c r="U37" s="25" t="n"/>
      <c r="V37" s="52" t="n"/>
      <c r="W37" s="31" t="n"/>
    </row>
    <row r="38">
      <c r="A38" s="25" t="n"/>
      <c r="B38" s="25" t="n"/>
      <c r="C38" s="25" t="n"/>
      <c r="D38" s="25" t="n"/>
      <c r="E38" s="25" t="n"/>
      <c r="F38" s="25" t="n"/>
      <c r="G38" s="25" t="n"/>
      <c r="H38" s="52" t="n"/>
      <c r="I38" s="52" t="n"/>
      <c r="J38" s="52" t="n"/>
      <c r="K38" s="52" t="n"/>
      <c r="L38" s="25" t="n"/>
      <c r="M38" s="25" t="n"/>
      <c r="N38" s="52" t="n"/>
      <c r="O38" s="52" t="n"/>
      <c r="P38" s="52" t="n"/>
      <c r="Q38" s="49" t="n"/>
      <c r="R38" s="31" t="n"/>
      <c r="U38" s="25" t="n"/>
      <c r="V38" s="52" t="n"/>
      <c r="W38" s="31" t="n"/>
    </row>
    <row r="39">
      <c r="A39" s="25" t="n"/>
      <c r="B39" s="25" t="n"/>
      <c r="C39" s="25" t="n"/>
      <c r="D39" s="25" t="n"/>
      <c r="E39" s="25" t="n"/>
      <c r="F39" s="25" t="n"/>
      <c r="G39" s="25" t="n"/>
      <c r="H39" s="52" t="n"/>
      <c r="I39" s="52" t="n"/>
      <c r="J39" s="52" t="n"/>
      <c r="K39" s="52" t="n"/>
      <c r="L39" s="25" t="n"/>
      <c r="M39" s="25" t="n"/>
      <c r="N39" s="52" t="n"/>
      <c r="O39" s="52" t="n"/>
      <c r="P39" s="52" t="n"/>
      <c r="Q39" s="49" t="n"/>
      <c r="R39" s="31" t="n"/>
      <c r="U39" s="25" t="n"/>
      <c r="V39" s="52" t="n"/>
      <c r="W39" s="31" t="n"/>
    </row>
    <row r="40">
      <c r="A40" s="25" t="n"/>
      <c r="B40" s="25" t="n"/>
      <c r="C40" s="25" t="n"/>
      <c r="D40" s="25" t="n"/>
      <c r="E40" s="25" t="n"/>
      <c r="F40" s="25" t="n"/>
      <c r="G40" s="25" t="n"/>
      <c r="H40" s="52" t="n"/>
      <c r="I40" s="52" t="n"/>
      <c r="J40" s="52" t="n"/>
      <c r="K40" s="52" t="n"/>
      <c r="L40" s="25" t="n"/>
      <c r="M40" s="25" t="n"/>
      <c r="N40" s="52" t="n"/>
      <c r="O40" s="52" t="n"/>
      <c r="P40" s="52" t="n"/>
      <c r="Q40" s="49" t="n"/>
      <c r="R40" s="31" t="n"/>
      <c r="U40" s="25" t="n"/>
      <c r="V40" s="52" t="n"/>
      <c r="W40" s="31" t="n"/>
    </row>
    <row r="41">
      <c r="A41" s="25" t="n"/>
      <c r="B41" s="25" t="n"/>
      <c r="C41" s="25" t="n"/>
      <c r="D41" s="25" t="n"/>
      <c r="E41" s="25" t="n"/>
      <c r="F41" s="25" t="n"/>
      <c r="G41" s="25" t="n"/>
      <c r="H41" s="52" t="n"/>
      <c r="I41" s="52" t="n"/>
      <c r="J41" s="52" t="n"/>
      <c r="K41" s="52" t="n"/>
      <c r="L41" s="25" t="n"/>
      <c r="M41" s="25" t="n"/>
      <c r="N41" s="52" t="n"/>
      <c r="O41" s="52" t="n"/>
      <c r="P41" s="52" t="n"/>
      <c r="Q41" s="49" t="n"/>
      <c r="R41" s="31" t="n"/>
      <c r="U41" s="25" t="n"/>
      <c r="V41" s="52" t="n"/>
      <c r="W41" s="31" t="n"/>
    </row>
    <row r="42">
      <c r="A42" s="25" t="n"/>
      <c r="B42" s="25" t="n"/>
      <c r="C42" s="25" t="n"/>
      <c r="D42" s="25" t="n"/>
      <c r="E42" s="25" t="n"/>
      <c r="F42" s="25" t="n"/>
      <c r="G42" s="25" t="n"/>
      <c r="H42" s="52" t="n"/>
      <c r="I42" s="52" t="n"/>
      <c r="J42" s="52" t="n"/>
      <c r="K42" s="52" t="n"/>
      <c r="L42" s="25" t="n"/>
      <c r="M42" s="25" t="n"/>
      <c r="N42" s="52" t="n"/>
      <c r="O42" s="52" t="n"/>
      <c r="P42" s="52" t="n"/>
      <c r="Q42" s="49" t="n"/>
      <c r="R42" s="31" t="n"/>
      <c r="U42" s="25" t="n"/>
      <c r="V42" s="52" t="n"/>
      <c r="W42" s="31" t="n"/>
    </row>
    <row r="43">
      <c r="A43" s="25" t="n"/>
      <c r="B43" s="25" t="n"/>
      <c r="C43" s="25" t="n"/>
      <c r="D43" s="25" t="n"/>
      <c r="E43" s="25" t="n"/>
      <c r="F43" s="25" t="n"/>
      <c r="G43" s="25" t="n"/>
      <c r="H43" s="52" t="n"/>
      <c r="I43" s="52" t="n"/>
      <c r="J43" s="52" t="n"/>
      <c r="K43" s="52" t="n"/>
      <c r="L43" s="25" t="n"/>
      <c r="M43" s="25" t="n"/>
      <c r="N43" s="52" t="n"/>
      <c r="O43" s="52" t="n"/>
      <c r="P43" s="52" t="n"/>
      <c r="Q43" s="49" t="n"/>
      <c r="R43" s="31" t="n"/>
      <c r="U43" s="25" t="n"/>
      <c r="V43" s="52" t="n"/>
      <c r="W43" s="31" t="n"/>
    </row>
    <row r="44">
      <c r="A44" s="25" t="n"/>
      <c r="B44" s="25" t="n"/>
      <c r="C44" s="25" t="n"/>
      <c r="D44" s="25" t="n"/>
      <c r="E44" s="25" t="n"/>
      <c r="F44" s="25" t="n"/>
      <c r="G44" s="25" t="n"/>
      <c r="H44" s="52" t="n"/>
      <c r="I44" s="52" t="n"/>
      <c r="J44" s="52" t="n"/>
      <c r="K44" s="52" t="n"/>
      <c r="L44" s="25" t="n"/>
      <c r="M44" s="25" t="n"/>
      <c r="N44" s="52" t="n"/>
      <c r="O44" s="52" t="n"/>
      <c r="P44" s="52" t="n"/>
      <c r="Q44" s="49" t="n"/>
      <c r="R44" s="31" t="n"/>
      <c r="U44" s="25" t="n"/>
      <c r="V44" s="52" t="n"/>
      <c r="W44" s="31" t="n"/>
    </row>
    <row r="45">
      <c r="A45" s="25" t="n"/>
      <c r="B45" s="25" t="n"/>
      <c r="C45" s="25" t="n"/>
      <c r="D45" s="25" t="n"/>
      <c r="E45" s="25" t="n"/>
      <c r="F45" s="25" t="n"/>
      <c r="G45" s="25" t="n"/>
      <c r="H45" s="52" t="n"/>
      <c r="I45" s="52" t="n"/>
      <c r="J45" s="52" t="n"/>
      <c r="K45" s="52" t="n"/>
      <c r="L45" s="25" t="n"/>
      <c r="M45" s="25" t="n"/>
      <c r="N45" s="52" t="n"/>
      <c r="O45" s="52" t="n"/>
      <c r="P45" s="52" t="n"/>
      <c r="Q45" s="49" t="n"/>
      <c r="R45" s="31" t="n"/>
      <c r="U45" s="25" t="n"/>
      <c r="V45" s="52" t="n"/>
      <c r="W45" s="31" t="n"/>
    </row>
    <row r="46">
      <c r="A46" s="25" t="n"/>
      <c r="B46" s="25" t="n"/>
      <c r="C46" s="25" t="n"/>
      <c r="D46" s="25" t="n"/>
      <c r="E46" s="25" t="n"/>
      <c r="F46" s="25" t="n"/>
      <c r="G46" s="25" t="n"/>
      <c r="H46" s="52" t="n"/>
      <c r="I46" s="52" t="n"/>
      <c r="J46" s="52" t="n"/>
      <c r="K46" s="52" t="n"/>
      <c r="L46" s="25" t="n"/>
      <c r="M46" s="25" t="n"/>
      <c r="N46" s="52" t="n"/>
      <c r="O46" s="52" t="n"/>
      <c r="P46" s="52" t="n"/>
      <c r="Q46" s="49" t="n"/>
      <c r="R46" s="31" t="n"/>
      <c r="U46" s="25" t="n"/>
      <c r="V46" s="52" t="n"/>
      <c r="W46" s="31" t="n"/>
    </row>
    <row r="47">
      <c r="A47" s="25" t="n"/>
      <c r="B47" s="25" t="n"/>
      <c r="C47" s="25" t="n"/>
      <c r="D47" s="25" t="n"/>
      <c r="E47" s="25" t="n"/>
      <c r="F47" s="25" t="n"/>
      <c r="G47" s="25" t="n"/>
      <c r="H47" s="52" t="n"/>
      <c r="I47" s="52" t="n"/>
      <c r="J47" s="52" t="n"/>
      <c r="K47" s="52" t="n"/>
      <c r="L47" s="25" t="n"/>
      <c r="M47" s="25" t="n"/>
      <c r="N47" s="52" t="n"/>
      <c r="O47" s="52" t="n"/>
      <c r="P47" s="52" t="n"/>
      <c r="Q47" s="49" t="n"/>
      <c r="R47" s="31" t="n"/>
      <c r="U47" s="25" t="n"/>
      <c r="V47" s="52" t="n"/>
      <c r="W47" s="31" t="n"/>
    </row>
    <row r="48">
      <c r="A48" s="25" t="n"/>
      <c r="B48" s="25" t="n"/>
      <c r="C48" s="25" t="n"/>
      <c r="D48" s="25" t="n"/>
      <c r="E48" s="25" t="n"/>
      <c r="F48" s="25" t="n"/>
      <c r="G48" s="25" t="n"/>
      <c r="H48" s="52" t="n"/>
      <c r="I48" s="52" t="n"/>
      <c r="J48" s="52" t="n"/>
      <c r="K48" s="52" t="n"/>
      <c r="L48" s="25" t="n"/>
      <c r="M48" s="25" t="n"/>
      <c r="N48" s="52" t="n"/>
      <c r="O48" s="52" t="n"/>
      <c r="P48" s="52" t="n"/>
      <c r="Q48" s="49" t="n"/>
      <c r="R48" s="31" t="n"/>
      <c r="U48" s="25" t="n"/>
      <c r="V48" s="52" t="n"/>
      <c r="W48" s="31" t="n"/>
    </row>
    <row r="49">
      <c r="A49" s="25" t="n"/>
      <c r="B49" s="25" t="n"/>
      <c r="C49" s="25" t="n"/>
      <c r="D49" s="25" t="n"/>
      <c r="E49" s="25" t="n"/>
      <c r="F49" s="25" t="n"/>
      <c r="G49" s="25" t="n"/>
      <c r="H49" s="52" t="n"/>
      <c r="I49" s="52" t="n"/>
      <c r="J49" s="52" t="n"/>
      <c r="K49" s="52" t="n"/>
      <c r="L49" s="25" t="n"/>
      <c r="M49" s="25" t="n"/>
      <c r="N49" s="52" t="n"/>
      <c r="O49" s="52" t="n"/>
      <c r="P49" s="52" t="n"/>
      <c r="Q49" s="49" t="n"/>
      <c r="R49" s="31" t="n"/>
      <c r="U49" s="25" t="n"/>
      <c r="V49" s="52" t="n"/>
      <c r="W49" s="31" t="n"/>
    </row>
    <row r="50">
      <c r="A50" s="25" t="n"/>
      <c r="B50" s="25" t="n"/>
      <c r="C50" s="25" t="n"/>
      <c r="D50" s="25" t="n"/>
      <c r="E50" s="25" t="n"/>
      <c r="F50" s="25" t="n"/>
      <c r="G50" s="25" t="n"/>
      <c r="H50" s="52" t="n"/>
      <c r="I50" s="52" t="n"/>
      <c r="J50" s="52" t="n"/>
      <c r="K50" s="52" t="n"/>
      <c r="L50" s="25" t="n"/>
      <c r="M50" s="25" t="n"/>
      <c r="N50" s="52" t="n"/>
      <c r="O50" s="52" t="n"/>
      <c r="P50" s="52" t="n"/>
      <c r="Q50" s="49" t="n"/>
      <c r="R50" s="31" t="n"/>
      <c r="U50" s="25" t="n"/>
      <c r="V50" s="52" t="n"/>
      <c r="W50" s="31" t="n"/>
    </row>
    <row r="51">
      <c r="A51" s="25" t="n"/>
      <c r="B51" s="25" t="n"/>
      <c r="C51" s="25" t="n"/>
      <c r="D51" s="25" t="n"/>
      <c r="E51" s="25" t="n"/>
      <c r="F51" s="25" t="n"/>
      <c r="G51" s="25" t="n"/>
      <c r="H51" s="52" t="n"/>
      <c r="I51" s="52" t="n"/>
      <c r="J51" s="52" t="n"/>
      <c r="K51" s="52" t="n"/>
      <c r="L51" s="25" t="n"/>
      <c r="M51" s="25" t="n"/>
      <c r="N51" s="52" t="n"/>
      <c r="O51" s="52" t="n"/>
      <c r="P51" s="52" t="n"/>
      <c r="Q51" s="49" t="n"/>
      <c r="R51" s="31" t="n"/>
      <c r="U51" s="25" t="n"/>
      <c r="V51" s="52" t="n"/>
      <c r="W51" s="31" t="n"/>
    </row>
    <row r="52">
      <c r="A52" s="25" t="n"/>
      <c r="B52" s="25" t="n"/>
      <c r="C52" s="25" t="n"/>
      <c r="D52" s="25" t="n"/>
      <c r="E52" s="25" t="n"/>
      <c r="F52" s="25" t="n"/>
      <c r="G52" s="25" t="n"/>
      <c r="H52" s="52" t="n"/>
      <c r="I52" s="52" t="n"/>
      <c r="J52" s="52" t="n"/>
      <c r="K52" s="52" t="n"/>
      <c r="L52" s="25" t="n"/>
      <c r="M52" s="25" t="n"/>
      <c r="N52" s="52" t="n"/>
      <c r="O52" s="52" t="n"/>
      <c r="P52" s="52" t="n"/>
      <c r="Q52" s="49" t="n"/>
      <c r="R52" s="31" t="n"/>
      <c r="U52" s="25" t="n"/>
      <c r="V52" s="52" t="n"/>
      <c r="W52" s="31" t="n"/>
    </row>
    <row r="53">
      <c r="A53" s="25" t="n"/>
      <c r="B53" s="25" t="n"/>
      <c r="C53" s="25" t="n"/>
      <c r="D53" s="25" t="n"/>
      <c r="E53" s="25" t="n"/>
      <c r="F53" s="25" t="n"/>
      <c r="G53" s="25" t="n"/>
      <c r="H53" s="52" t="n"/>
      <c r="I53" s="52" t="n"/>
      <c r="J53" s="52" t="n"/>
      <c r="K53" s="52" t="n"/>
      <c r="L53" s="25" t="n"/>
      <c r="M53" s="25" t="n"/>
      <c r="N53" s="52" t="n"/>
      <c r="O53" s="52" t="n"/>
      <c r="P53" s="52" t="n"/>
      <c r="Q53" s="49" t="n"/>
      <c r="R53" s="31" t="n"/>
      <c r="U53" s="25" t="n"/>
      <c r="V53" s="52" t="n"/>
      <c r="W53" s="31" t="n"/>
    </row>
    <row r="54">
      <c r="A54" s="25" t="n"/>
      <c r="B54" s="25" t="n"/>
      <c r="C54" s="25" t="n"/>
      <c r="D54" s="25" t="n"/>
      <c r="E54" s="25" t="n"/>
      <c r="F54" s="25" t="n"/>
      <c r="G54" s="25" t="n"/>
      <c r="H54" s="52" t="n"/>
      <c r="I54" s="52" t="n"/>
      <c r="J54" s="52" t="n"/>
      <c r="K54" s="52" t="n"/>
      <c r="L54" s="25" t="n"/>
      <c r="M54" s="25" t="n"/>
      <c r="N54" s="52" t="n"/>
      <c r="O54" s="52" t="n"/>
      <c r="P54" s="52" t="n"/>
      <c r="Q54" s="49" t="n"/>
      <c r="R54" s="31" t="n"/>
      <c r="U54" s="25" t="n"/>
      <c r="V54" s="52" t="n"/>
      <c r="W54" s="31" t="n"/>
    </row>
    <row r="55">
      <c r="A55" s="25" t="n"/>
      <c r="B55" s="25" t="n"/>
      <c r="C55" s="25" t="n"/>
      <c r="D55" s="25" t="n"/>
      <c r="E55" s="25" t="n"/>
      <c r="F55" s="25" t="n"/>
      <c r="G55" s="25" t="n"/>
      <c r="H55" s="52" t="n"/>
      <c r="I55" s="52" t="n"/>
      <c r="J55" s="52" t="n"/>
      <c r="K55" s="52" t="n"/>
      <c r="L55" s="25" t="n"/>
      <c r="M55" s="25" t="n"/>
      <c r="N55" s="52" t="n"/>
      <c r="O55" s="52" t="n"/>
      <c r="P55" s="52" t="n"/>
      <c r="Q55" s="49" t="n"/>
      <c r="R55" s="31" t="n"/>
      <c r="U55" s="25" t="n"/>
      <c r="V55" s="52" t="n"/>
      <c r="W55" s="31" t="n"/>
    </row>
    <row r="56">
      <c r="A56" s="25" t="n"/>
      <c r="B56" s="25" t="n"/>
      <c r="C56" s="25" t="n"/>
      <c r="D56" s="25" t="n"/>
      <c r="E56" s="25" t="n"/>
      <c r="F56" s="25" t="n"/>
      <c r="G56" s="25" t="n"/>
      <c r="H56" s="52" t="n"/>
      <c r="I56" s="52" t="n"/>
      <c r="J56" s="52" t="n"/>
      <c r="K56" s="52" t="n"/>
      <c r="L56" s="25" t="n"/>
      <c r="M56" s="25" t="n"/>
      <c r="N56" s="52" t="n"/>
      <c r="O56" s="52" t="n"/>
      <c r="P56" s="52" t="n"/>
      <c r="Q56" s="49" t="n"/>
      <c r="R56" s="31" t="n"/>
      <c r="U56" s="25" t="n"/>
      <c r="V56" s="52" t="n"/>
      <c r="W56" s="31" t="n"/>
    </row>
    <row r="57">
      <c r="A57" s="25" t="n"/>
      <c r="B57" s="25" t="n"/>
      <c r="C57" s="25" t="n"/>
      <c r="D57" s="25" t="n"/>
      <c r="E57" s="25" t="n"/>
      <c r="F57" s="25" t="n"/>
      <c r="G57" s="25" t="n"/>
      <c r="H57" s="52" t="n"/>
      <c r="I57" s="52" t="n"/>
      <c r="J57" s="52" t="n"/>
      <c r="K57" s="52" t="n"/>
      <c r="L57" s="25" t="n"/>
      <c r="M57" s="25" t="n"/>
      <c r="N57" s="52" t="n"/>
      <c r="O57" s="52" t="n"/>
      <c r="P57" s="52" t="n"/>
      <c r="Q57" s="49" t="n"/>
      <c r="R57" s="31" t="n"/>
      <c r="U57" s="25" t="n"/>
      <c r="V57" s="52" t="n"/>
      <c r="W57" s="31" t="n"/>
    </row>
    <row r="58">
      <c r="A58" s="25" t="n"/>
      <c r="B58" s="25" t="n"/>
      <c r="C58" s="25" t="n"/>
      <c r="D58" s="25" t="n"/>
      <c r="E58" s="25" t="n"/>
      <c r="F58" s="25" t="n"/>
      <c r="G58" s="25" t="n"/>
      <c r="H58" s="52" t="n"/>
      <c r="I58" s="52" t="n"/>
      <c r="J58" s="52" t="n"/>
      <c r="K58" s="52" t="n"/>
      <c r="L58" s="25" t="n"/>
      <c r="M58" s="25" t="n"/>
      <c r="N58" s="52" t="n"/>
      <c r="O58" s="52" t="n"/>
      <c r="P58" s="52" t="n"/>
      <c r="Q58" s="49" t="n"/>
      <c r="R58" s="31" t="n"/>
      <c r="U58" s="25" t="n"/>
      <c r="V58" s="52" t="n"/>
      <c r="W58" s="31" t="n"/>
    </row>
    <row r="59">
      <c r="A59" s="25" t="n"/>
      <c r="B59" s="25" t="n"/>
      <c r="C59" s="25" t="n"/>
      <c r="D59" s="25" t="n"/>
      <c r="E59" s="25" t="n"/>
      <c r="F59" s="25" t="n"/>
      <c r="G59" s="25" t="n"/>
      <c r="H59" s="52" t="n"/>
      <c r="I59" s="52" t="n"/>
      <c r="J59" s="52" t="n"/>
      <c r="K59" s="52" t="n"/>
      <c r="L59" s="25" t="n"/>
      <c r="M59" s="25" t="n"/>
      <c r="N59" s="52" t="n"/>
      <c r="O59" s="52" t="n"/>
      <c r="P59" s="52" t="n"/>
      <c r="Q59" s="49" t="n"/>
      <c r="R59" s="31" t="n"/>
      <c r="U59" s="25" t="n"/>
      <c r="V59" s="52" t="n"/>
      <c r="W59" s="31" t="n"/>
    </row>
    <row r="60">
      <c r="A60" s="25" t="n"/>
      <c r="B60" s="25" t="n"/>
      <c r="C60" s="25" t="n"/>
      <c r="D60" s="25" t="n"/>
      <c r="E60" s="25" t="n"/>
      <c r="F60" s="25" t="n"/>
      <c r="G60" s="25" t="n"/>
      <c r="H60" s="52" t="n"/>
      <c r="I60" s="52" t="n"/>
      <c r="J60" s="52" t="n"/>
      <c r="K60" s="52" t="n"/>
      <c r="L60" s="25" t="n"/>
      <c r="M60" s="25" t="n"/>
      <c r="N60" s="52" t="n"/>
      <c r="O60" s="52" t="n"/>
      <c r="P60" s="52" t="n"/>
      <c r="Q60" s="49" t="n"/>
      <c r="R60" s="31" t="n"/>
      <c r="U60" s="25" t="n"/>
      <c r="V60" s="52" t="n"/>
      <c r="W60" s="31" t="n"/>
    </row>
    <row r="61">
      <c r="A61" s="25" t="n"/>
      <c r="B61" s="25" t="n"/>
      <c r="C61" s="25" t="n"/>
      <c r="D61" s="25" t="n"/>
      <c r="E61" s="25" t="n"/>
      <c r="F61" s="25" t="n"/>
      <c r="G61" s="25" t="n"/>
      <c r="H61" s="52" t="n"/>
      <c r="I61" s="52" t="n"/>
      <c r="J61" s="52" t="n"/>
      <c r="K61" s="52" t="n"/>
      <c r="L61" s="25" t="n"/>
      <c r="M61" s="25" t="n"/>
      <c r="N61" s="52" t="n"/>
      <c r="O61" s="52" t="n"/>
      <c r="P61" s="52" t="n"/>
      <c r="Q61" s="49" t="n"/>
      <c r="R61" s="31" t="n"/>
      <c r="U61" s="25" t="n"/>
      <c r="V61" s="52" t="n"/>
      <c r="W61" s="31" t="n"/>
    </row>
    <row r="62">
      <c r="A62" s="25" t="n"/>
      <c r="B62" s="25" t="n"/>
      <c r="C62" s="25" t="n"/>
      <c r="D62" s="25" t="n"/>
      <c r="E62" s="25" t="n"/>
      <c r="F62" s="25" t="n"/>
      <c r="G62" s="25" t="n"/>
      <c r="H62" s="52" t="n"/>
      <c r="I62" s="52" t="n"/>
      <c r="J62" s="52" t="n"/>
      <c r="K62" s="52" t="n"/>
      <c r="L62" s="25" t="n"/>
      <c r="M62" s="25" t="n"/>
      <c r="N62" s="52" t="n"/>
      <c r="O62" s="52" t="n"/>
      <c r="P62" s="52" t="n"/>
      <c r="Q62" s="49" t="n"/>
      <c r="R62" s="31" t="n"/>
      <c r="U62" s="25" t="n"/>
      <c r="V62" s="52" t="n"/>
      <c r="W62" s="31" t="n"/>
    </row>
    <row r="63">
      <c r="A63" s="25" t="n"/>
      <c r="B63" s="25" t="n"/>
      <c r="C63" s="25" t="n"/>
      <c r="D63" s="25" t="n"/>
      <c r="E63" s="25" t="n"/>
      <c r="F63" s="25" t="n"/>
      <c r="G63" s="25" t="n"/>
      <c r="H63" s="52" t="n"/>
      <c r="I63" s="52" t="n"/>
      <c r="J63" s="52" t="n"/>
      <c r="K63" s="52" t="n"/>
      <c r="L63" s="25" t="n"/>
      <c r="M63" s="25" t="n"/>
      <c r="N63" s="52" t="n"/>
      <c r="O63" s="52" t="n"/>
      <c r="P63" s="52" t="n"/>
      <c r="Q63" s="49" t="n"/>
      <c r="R63" s="31" t="n"/>
      <c r="U63" s="25" t="n"/>
      <c r="V63" s="52" t="n"/>
      <c r="W63" s="31" t="n"/>
    </row>
    <row r="64">
      <c r="A64" s="25" t="n"/>
      <c r="B64" s="25" t="n"/>
      <c r="C64" s="25" t="n"/>
      <c r="D64" s="25" t="n"/>
      <c r="E64" s="25" t="n"/>
      <c r="F64" s="25" t="n"/>
      <c r="G64" s="25" t="n"/>
      <c r="H64" s="52" t="n"/>
      <c r="I64" s="52" t="n"/>
      <c r="J64" s="52" t="n"/>
      <c r="K64" s="52" t="n"/>
      <c r="L64" s="25" t="n"/>
      <c r="M64" s="25" t="n"/>
      <c r="N64" s="52" t="n"/>
      <c r="O64" s="52" t="n"/>
      <c r="P64" s="52" t="n"/>
      <c r="Q64" s="49" t="n"/>
      <c r="R64" s="31" t="n"/>
      <c r="U64" s="25" t="n"/>
      <c r="V64" s="52" t="n"/>
      <c r="W64" s="31" t="n"/>
    </row>
    <row r="65">
      <c r="A65" s="25" t="n"/>
      <c r="B65" s="25" t="n"/>
      <c r="C65" s="25" t="n"/>
      <c r="D65" s="25" t="n"/>
      <c r="E65" s="25" t="n"/>
      <c r="F65" s="25" t="n"/>
      <c r="G65" s="25" t="n"/>
      <c r="H65" s="52" t="n"/>
      <c r="I65" s="52" t="n"/>
      <c r="J65" s="52" t="n"/>
      <c r="K65" s="52" t="n"/>
      <c r="L65" s="25" t="n"/>
      <c r="M65" s="25" t="n"/>
      <c r="N65" s="52" t="n"/>
      <c r="O65" s="52" t="n"/>
      <c r="P65" s="52" t="n"/>
      <c r="Q65" s="49" t="n"/>
      <c r="R65" s="31" t="n"/>
      <c r="U65" s="25" t="n"/>
      <c r="V65" s="52" t="n"/>
      <c r="W65" s="31" t="n"/>
    </row>
    <row r="66">
      <c r="A66" s="25" t="n"/>
      <c r="B66" s="25" t="n"/>
      <c r="C66" s="25" t="n"/>
      <c r="D66" s="25" t="n"/>
      <c r="E66" s="25" t="n"/>
      <c r="F66" s="25" t="n"/>
      <c r="G66" s="25" t="n"/>
      <c r="H66" s="52" t="n"/>
      <c r="I66" s="52" t="n"/>
      <c r="J66" s="52" t="n"/>
      <c r="K66" s="52" t="n"/>
      <c r="L66" s="25" t="n"/>
      <c r="M66" s="25" t="n"/>
      <c r="N66" s="52" t="n"/>
      <c r="O66" s="52" t="n"/>
      <c r="P66" s="52" t="n"/>
      <c r="Q66" s="49" t="n"/>
      <c r="R66" s="31" t="n"/>
      <c r="U66" s="25" t="n"/>
      <c r="V66" s="52" t="n"/>
      <c r="W66" s="31" t="n"/>
    </row>
    <row r="67">
      <c r="A67" s="25" t="n"/>
      <c r="B67" s="25" t="n"/>
      <c r="C67" s="25" t="n"/>
      <c r="D67" s="25" t="n"/>
      <c r="E67" s="25" t="n"/>
      <c r="F67" s="25" t="n"/>
      <c r="G67" s="25" t="n"/>
      <c r="H67" s="52" t="n"/>
      <c r="I67" s="52" t="n"/>
      <c r="J67" s="52" t="n"/>
      <c r="K67" s="52" t="n"/>
      <c r="L67" s="25" t="n"/>
      <c r="M67" s="25" t="n"/>
      <c r="N67" s="52" t="n"/>
      <c r="O67" s="52" t="n"/>
      <c r="P67" s="52" t="n"/>
      <c r="Q67" s="49" t="n"/>
      <c r="R67" s="31" t="n"/>
      <c r="U67" s="25" t="n"/>
      <c r="V67" s="52" t="n"/>
      <c r="W67" s="31" t="n"/>
    </row>
    <row r="68">
      <c r="A68" s="25" t="n"/>
      <c r="B68" s="25" t="n"/>
      <c r="C68" s="25" t="n"/>
      <c r="D68" s="25" t="n"/>
      <c r="E68" s="25" t="n"/>
      <c r="F68" s="25" t="n"/>
      <c r="G68" s="25" t="n"/>
      <c r="H68" s="52" t="n"/>
      <c r="I68" s="52" t="n"/>
      <c r="J68" s="52" t="n"/>
      <c r="K68" s="52" t="n"/>
      <c r="L68" s="25" t="n"/>
      <c r="M68" s="25" t="n"/>
      <c r="N68" s="52" t="n"/>
      <c r="O68" s="52" t="n"/>
      <c r="P68" s="52" t="n"/>
      <c r="Q68" s="49" t="n"/>
      <c r="R68" s="31" t="n"/>
      <c r="U68" s="25" t="n"/>
      <c r="V68" s="52" t="n"/>
      <c r="W68" s="31" t="n"/>
    </row>
    <row r="69">
      <c r="A69" s="25" t="n"/>
      <c r="B69" s="25" t="n"/>
      <c r="C69" s="25" t="n"/>
      <c r="D69" s="25" t="n"/>
      <c r="E69" s="25" t="n"/>
      <c r="F69" s="25" t="n"/>
      <c r="G69" s="25" t="n"/>
      <c r="H69" s="52" t="n"/>
      <c r="I69" s="52" t="n"/>
      <c r="J69" s="52" t="n"/>
      <c r="K69" s="52" t="n"/>
      <c r="L69" s="25" t="n"/>
      <c r="M69" s="25" t="n"/>
      <c r="N69" s="52" t="n"/>
      <c r="O69" s="52" t="n"/>
      <c r="P69" s="52" t="n"/>
      <c r="Q69" s="49" t="n"/>
      <c r="R69" s="31" t="n"/>
      <c r="U69" s="25" t="n"/>
      <c r="V69" s="52" t="n"/>
      <c r="W69" s="31" t="n"/>
    </row>
    <row r="70">
      <c r="A70" s="25" t="n"/>
      <c r="B70" s="25" t="n"/>
      <c r="C70" s="25" t="n"/>
      <c r="D70" s="25" t="n"/>
      <c r="E70" s="25" t="n"/>
      <c r="F70" s="25" t="n"/>
      <c r="G70" s="25" t="n"/>
      <c r="H70" s="52" t="n"/>
      <c r="I70" s="52" t="n"/>
      <c r="J70" s="52" t="n"/>
      <c r="K70" s="52" t="n"/>
      <c r="L70" s="25" t="n"/>
      <c r="M70" s="25" t="n"/>
      <c r="N70" s="52" t="n"/>
      <c r="O70" s="52" t="n"/>
      <c r="P70" s="52" t="n"/>
      <c r="Q70" s="49" t="n"/>
      <c r="R70" s="31" t="n"/>
      <c r="U70" s="25" t="n"/>
      <c r="V70" s="52" t="n"/>
      <c r="W70" s="31" t="n"/>
    </row>
    <row r="71">
      <c r="A71" s="25" t="n"/>
      <c r="B71" s="25" t="n"/>
      <c r="C71" s="25" t="n"/>
      <c r="D71" s="25" t="n"/>
      <c r="E71" s="25" t="n"/>
      <c r="F71" s="25" t="n"/>
      <c r="G71" s="25" t="n"/>
      <c r="H71" s="52" t="n"/>
      <c r="I71" s="52" t="n"/>
      <c r="J71" s="52" t="n"/>
      <c r="K71" s="52" t="n"/>
      <c r="L71" s="25" t="n"/>
      <c r="M71" s="25" t="n"/>
      <c r="N71" s="52" t="n"/>
      <c r="O71" s="52" t="n"/>
      <c r="P71" s="52" t="n"/>
      <c r="Q71" s="49" t="n"/>
      <c r="R71" s="31" t="n"/>
      <c r="U71" s="25" t="n"/>
      <c r="V71" s="52" t="n"/>
      <c r="W71" s="31" t="n"/>
    </row>
    <row r="72">
      <c r="A72" s="25" t="n"/>
      <c r="B72" s="25" t="n"/>
      <c r="C72" s="25" t="n"/>
      <c r="D72" s="25" t="n"/>
      <c r="E72" s="25" t="n"/>
      <c r="F72" s="25" t="n"/>
      <c r="G72" s="25" t="n"/>
      <c r="H72" s="52" t="n"/>
      <c r="I72" s="52" t="n"/>
      <c r="J72" s="52" t="n"/>
      <c r="K72" s="52" t="n"/>
      <c r="L72" s="25" t="n"/>
      <c r="M72" s="25" t="n"/>
      <c r="N72" s="52" t="n"/>
      <c r="O72" s="52" t="n"/>
      <c r="P72" s="52" t="n"/>
      <c r="Q72" s="49" t="n"/>
      <c r="R72" s="31" t="n"/>
      <c r="U72" s="25" t="n"/>
      <c r="V72" s="52" t="n"/>
      <c r="W72" s="31" t="n"/>
    </row>
    <row r="73">
      <c r="A73" s="25" t="n"/>
      <c r="B73" s="25" t="n"/>
      <c r="C73" s="25" t="n"/>
      <c r="D73" s="25" t="n"/>
      <c r="E73" s="25" t="n"/>
      <c r="F73" s="25" t="n"/>
      <c r="G73" s="25" t="n"/>
      <c r="H73" s="52" t="n"/>
      <c r="I73" s="52" t="n"/>
      <c r="J73" s="52" t="n"/>
      <c r="K73" s="52" t="n"/>
      <c r="L73" s="25" t="n"/>
      <c r="M73" s="25" t="n"/>
      <c r="N73" s="52" t="n"/>
      <c r="O73" s="52" t="n"/>
      <c r="P73" s="52" t="n"/>
      <c r="Q73" s="49" t="n"/>
      <c r="R73" s="31" t="n"/>
      <c r="U73" s="25" t="n"/>
      <c r="V73" s="52" t="n"/>
      <c r="W73" s="31" t="n"/>
    </row>
    <row r="74">
      <c r="A74" s="25" t="n"/>
      <c r="B74" s="25" t="n"/>
      <c r="C74" s="25" t="n"/>
      <c r="D74" s="25" t="n"/>
      <c r="E74" s="25" t="n"/>
      <c r="F74" s="25" t="n"/>
      <c r="G74" s="25" t="n"/>
      <c r="H74" s="52" t="n"/>
      <c r="I74" s="52" t="n"/>
      <c r="J74" s="52" t="n"/>
      <c r="K74" s="52" t="n"/>
      <c r="L74" s="25" t="n"/>
      <c r="M74" s="25" t="n"/>
      <c r="N74" s="52" t="n"/>
      <c r="O74" s="52" t="n"/>
      <c r="P74" s="52" t="n"/>
      <c r="Q74" s="49" t="n"/>
      <c r="R74" s="31" t="n"/>
      <c r="U74" s="25" t="n"/>
      <c r="V74" s="52" t="n"/>
      <c r="W74" s="31" t="n"/>
    </row>
    <row r="75">
      <c r="A75" s="25" t="n"/>
      <c r="B75" s="25" t="n"/>
      <c r="C75" s="25" t="n"/>
      <c r="D75" s="25" t="n"/>
      <c r="E75" s="25" t="n"/>
      <c r="F75" s="25" t="n"/>
      <c r="G75" s="25" t="n"/>
      <c r="H75" s="52" t="n"/>
      <c r="I75" s="52" t="n"/>
      <c r="J75" s="52" t="n"/>
      <c r="K75" s="52" t="n"/>
      <c r="L75" s="25" t="n"/>
      <c r="M75" s="25" t="n"/>
      <c r="N75" s="52" t="n"/>
      <c r="O75" s="52" t="n"/>
      <c r="P75" s="52" t="n"/>
      <c r="Q75" s="49" t="n"/>
      <c r="R75" s="31" t="n"/>
      <c r="U75" s="25" t="n"/>
      <c r="V75" s="52" t="n"/>
      <c r="W75" s="31" t="n"/>
    </row>
    <row r="76">
      <c r="A76" s="25" t="n"/>
      <c r="B76" s="25" t="n"/>
      <c r="C76" s="25" t="n"/>
      <c r="D76" s="25" t="n"/>
      <c r="E76" s="25" t="n"/>
      <c r="F76" s="25" t="n"/>
      <c r="G76" s="25" t="n"/>
      <c r="H76" s="52" t="n"/>
      <c r="I76" s="52" t="n"/>
      <c r="J76" s="52" t="n"/>
      <c r="K76" s="52" t="n"/>
      <c r="L76" s="25" t="n"/>
      <c r="M76" s="25" t="n"/>
      <c r="N76" s="52" t="n"/>
      <c r="O76" s="52" t="n"/>
      <c r="P76" s="52" t="n"/>
      <c r="Q76" s="49" t="n"/>
      <c r="R76" s="31" t="n"/>
      <c r="U76" s="25" t="n"/>
      <c r="V76" s="52" t="n"/>
      <c r="W76" s="31" t="n"/>
    </row>
    <row r="77">
      <c r="A77" s="25" t="n"/>
      <c r="B77" s="25" t="n"/>
      <c r="C77" s="25" t="n"/>
      <c r="D77" s="25" t="n"/>
      <c r="E77" s="25" t="n"/>
      <c r="F77" s="25" t="n"/>
      <c r="G77" s="25" t="n"/>
      <c r="H77" s="52" t="n"/>
      <c r="I77" s="52" t="n"/>
      <c r="J77" s="52" t="n"/>
      <c r="K77" s="52" t="n"/>
      <c r="L77" s="25" t="n"/>
      <c r="M77" s="25" t="n"/>
      <c r="N77" s="52" t="n"/>
      <c r="O77" s="52" t="n"/>
      <c r="P77" s="52" t="n"/>
      <c r="Q77" s="49" t="n"/>
      <c r="R77" s="31" t="n"/>
      <c r="U77" s="25" t="n"/>
      <c r="V77" s="52" t="n"/>
      <c r="W77" s="31" t="n"/>
    </row>
    <row r="78">
      <c r="A78" s="25" t="n"/>
      <c r="B78" s="25" t="n"/>
      <c r="C78" s="25" t="n"/>
      <c r="D78" s="25" t="n"/>
      <c r="E78" s="25" t="n"/>
      <c r="F78" s="25" t="n"/>
      <c r="G78" s="25" t="n"/>
      <c r="H78" s="52" t="n"/>
      <c r="I78" s="52" t="n"/>
      <c r="J78" s="52" t="n"/>
      <c r="K78" s="52" t="n"/>
      <c r="L78" s="25" t="n"/>
      <c r="M78" s="25" t="n"/>
      <c r="N78" s="52" t="n"/>
      <c r="O78" s="52" t="n"/>
      <c r="P78" s="52" t="n"/>
      <c r="Q78" s="49" t="n"/>
      <c r="R78" s="31" t="n"/>
      <c r="U78" s="25" t="n"/>
      <c r="V78" s="52" t="n"/>
      <c r="W78" s="31" t="n"/>
    </row>
    <row r="79">
      <c r="A79" s="25" t="n"/>
      <c r="B79" s="25" t="n"/>
      <c r="C79" s="25" t="n"/>
      <c r="D79" s="25" t="n"/>
      <c r="E79" s="25" t="n"/>
      <c r="F79" s="25" t="n"/>
      <c r="G79" s="25" t="n"/>
      <c r="H79" s="52" t="n"/>
      <c r="I79" s="52" t="n"/>
      <c r="J79" s="52" t="n"/>
      <c r="K79" s="52" t="n"/>
      <c r="L79" s="25" t="n"/>
      <c r="M79" s="25" t="n"/>
      <c r="N79" s="52" t="n"/>
      <c r="O79" s="52" t="n"/>
      <c r="P79" s="52" t="n"/>
      <c r="Q79" s="49" t="n"/>
      <c r="R79" s="31" t="n"/>
      <c r="U79" s="25" t="n"/>
      <c r="V79" s="52" t="n"/>
      <c r="W79" s="31" t="n"/>
    </row>
    <row r="80">
      <c r="A80" s="25" t="n"/>
      <c r="B80" s="25" t="n"/>
      <c r="C80" s="25" t="n"/>
      <c r="D80" s="25" t="n"/>
      <c r="E80" s="25" t="n"/>
      <c r="F80" s="25" t="n"/>
      <c r="G80" s="25" t="n"/>
      <c r="H80" s="52" t="n"/>
      <c r="I80" s="52" t="n"/>
      <c r="J80" s="52" t="n"/>
      <c r="K80" s="52" t="n"/>
      <c r="L80" s="25" t="n"/>
      <c r="M80" s="25" t="n"/>
      <c r="N80" s="52" t="n"/>
      <c r="O80" s="52" t="n"/>
      <c r="P80" s="52" t="n"/>
      <c r="Q80" s="49" t="n"/>
      <c r="R80" s="31" t="n"/>
      <c r="U80" s="25" t="n"/>
      <c r="V80" s="52" t="n"/>
      <c r="W80" s="31" t="n"/>
    </row>
    <row r="81">
      <c r="A81" s="25" t="n"/>
      <c r="B81" s="25" t="n"/>
      <c r="C81" s="25" t="n"/>
      <c r="D81" s="25" t="n"/>
      <c r="E81" s="25" t="n"/>
      <c r="F81" s="25" t="n"/>
      <c r="G81" s="25" t="n"/>
      <c r="H81" s="52" t="n"/>
      <c r="I81" s="52" t="n"/>
      <c r="J81" s="52" t="n"/>
      <c r="K81" s="52" t="n"/>
      <c r="L81" s="25" t="n"/>
      <c r="M81" s="25" t="n"/>
      <c r="N81" s="52" t="n"/>
      <c r="O81" s="52" t="n"/>
      <c r="P81" s="52" t="n"/>
      <c r="Q81" s="49" t="n"/>
      <c r="R81" s="31" t="n"/>
      <c r="U81" s="25" t="n"/>
      <c r="V81" s="52" t="n"/>
      <c r="W81" s="31" t="n"/>
    </row>
    <row r="82">
      <c r="A82" s="25" t="n"/>
      <c r="B82" s="25" t="n"/>
      <c r="C82" s="25" t="n"/>
      <c r="D82" s="25" t="n"/>
      <c r="E82" s="25" t="n"/>
      <c r="F82" s="25" t="n"/>
      <c r="G82" s="25" t="n"/>
      <c r="H82" s="52" t="n"/>
      <c r="I82" s="52" t="n"/>
      <c r="J82" s="52" t="n"/>
      <c r="K82" s="52" t="n"/>
      <c r="L82" s="25" t="n"/>
      <c r="M82" s="25" t="n"/>
      <c r="N82" s="52" t="n"/>
      <c r="O82" s="52" t="n"/>
      <c r="P82" s="52" t="n"/>
      <c r="Q82" s="49" t="n"/>
      <c r="R82" s="31" t="n"/>
      <c r="U82" s="25" t="n"/>
      <c r="V82" s="52" t="n"/>
      <c r="W82" s="31" t="n"/>
    </row>
    <row r="83">
      <c r="A83" s="25" t="n"/>
      <c r="B83" s="25" t="n"/>
      <c r="C83" s="25" t="n"/>
      <c r="D83" s="25" t="n"/>
      <c r="E83" s="25" t="n"/>
      <c r="F83" s="25" t="n"/>
      <c r="G83" s="25" t="n"/>
      <c r="H83" s="52" t="n"/>
      <c r="I83" s="52" t="n"/>
      <c r="J83" s="52" t="n"/>
      <c r="K83" s="52" t="n"/>
      <c r="L83" s="25" t="n"/>
      <c r="M83" s="25" t="n"/>
      <c r="N83" s="52" t="n"/>
      <c r="O83" s="52" t="n"/>
      <c r="P83" s="52" t="n"/>
      <c r="Q83" s="49" t="n"/>
      <c r="R83" s="31" t="n"/>
      <c r="U83" s="25" t="n"/>
      <c r="V83" s="52" t="n"/>
      <c r="W83" s="31" t="n"/>
    </row>
    <row r="84">
      <c r="A84" s="25" t="n"/>
      <c r="B84" s="25" t="n"/>
      <c r="C84" s="25" t="n"/>
      <c r="D84" s="25" t="n"/>
      <c r="E84" s="25" t="n"/>
      <c r="F84" s="25" t="n"/>
      <c r="G84" s="25" t="n"/>
      <c r="H84" s="52" t="n"/>
      <c r="I84" s="52" t="n"/>
      <c r="J84" s="52" t="n"/>
      <c r="K84" s="52" t="n"/>
      <c r="L84" s="25" t="n"/>
      <c r="M84" s="25" t="n"/>
      <c r="N84" s="52" t="n"/>
      <c r="O84" s="52" t="n"/>
      <c r="P84" s="52" t="n"/>
      <c r="Q84" s="49" t="n"/>
      <c r="R84" s="31" t="n"/>
      <c r="U84" s="25" t="n"/>
      <c r="V84" s="52" t="n"/>
      <c r="W84" s="31" t="n"/>
    </row>
    <row r="85">
      <c r="A85" s="25" t="n"/>
      <c r="B85" s="25" t="n"/>
      <c r="C85" s="25" t="n"/>
      <c r="D85" s="25" t="n"/>
      <c r="E85" s="25" t="n"/>
      <c r="F85" s="25" t="n"/>
      <c r="G85" s="25" t="n"/>
      <c r="H85" s="52" t="n"/>
      <c r="I85" s="52" t="n"/>
      <c r="J85" s="52" t="n"/>
      <c r="K85" s="52" t="n"/>
      <c r="L85" s="25" t="n"/>
      <c r="M85" s="25" t="n"/>
      <c r="N85" s="52" t="n"/>
      <c r="O85" s="52" t="n"/>
      <c r="P85" s="52" t="n"/>
      <c r="Q85" s="49" t="n"/>
      <c r="R85" s="31" t="n"/>
      <c r="U85" s="25" t="n"/>
      <c r="V85" s="52" t="n"/>
      <c r="W85" s="31" t="n"/>
    </row>
    <row r="86">
      <c r="A86" s="25" t="n"/>
      <c r="B86" s="25" t="n"/>
      <c r="C86" s="25" t="n"/>
      <c r="D86" s="25" t="n"/>
      <c r="E86" s="25" t="n"/>
      <c r="F86" s="25" t="n"/>
      <c r="G86" s="25" t="n"/>
      <c r="H86" s="52" t="n"/>
      <c r="I86" s="52" t="n"/>
      <c r="J86" s="52" t="n"/>
      <c r="K86" s="52" t="n"/>
      <c r="L86" s="25" t="n"/>
      <c r="M86" s="25" t="n"/>
      <c r="N86" s="52" t="n"/>
      <c r="O86" s="52" t="n"/>
      <c r="P86" s="52" t="n"/>
      <c r="Q86" s="49" t="n"/>
      <c r="R86" s="31" t="n"/>
      <c r="U86" s="25" t="n"/>
      <c r="V86" s="52" t="n"/>
      <c r="W86" s="31" t="n"/>
    </row>
    <row r="87">
      <c r="A87" s="25" t="n"/>
      <c r="B87" s="25" t="n"/>
      <c r="C87" s="25" t="n"/>
      <c r="D87" s="25" t="n"/>
      <c r="E87" s="25" t="n"/>
      <c r="F87" s="25" t="n"/>
      <c r="G87" s="25" t="n"/>
      <c r="H87" s="52" t="n"/>
      <c r="I87" s="52" t="n"/>
      <c r="J87" s="52" t="n"/>
      <c r="K87" s="52" t="n"/>
      <c r="L87" s="25" t="n"/>
      <c r="M87" s="25" t="n"/>
      <c r="N87" s="52" t="n"/>
      <c r="O87" s="52" t="n"/>
      <c r="P87" s="52" t="n"/>
      <c r="Q87" s="49" t="n"/>
      <c r="R87" s="31" t="n"/>
      <c r="U87" s="25" t="n"/>
      <c r="V87" s="52" t="n"/>
      <c r="W87" s="31" t="n"/>
    </row>
    <row r="88">
      <c r="A88" s="25" t="n"/>
      <c r="B88" s="25" t="n"/>
      <c r="C88" s="25" t="n"/>
      <c r="D88" s="25" t="n"/>
      <c r="E88" s="25" t="n"/>
      <c r="F88" s="25" t="n"/>
      <c r="G88" s="25" t="n"/>
      <c r="H88" s="52" t="n"/>
      <c r="I88" s="52" t="n"/>
      <c r="J88" s="52" t="n"/>
      <c r="K88" s="52" t="n"/>
      <c r="L88" s="25" t="n"/>
      <c r="M88" s="25" t="n"/>
      <c r="N88" s="52" t="n"/>
      <c r="O88" s="52" t="n"/>
      <c r="P88" s="52" t="n"/>
      <c r="Q88" s="49" t="n"/>
      <c r="R88" s="31" t="n"/>
      <c r="U88" s="25" t="n"/>
      <c r="V88" s="52" t="n"/>
      <c r="W88" s="31" t="n"/>
    </row>
    <row r="89">
      <c r="A89" s="25" t="n"/>
      <c r="B89" s="25" t="n"/>
      <c r="C89" s="25" t="n"/>
      <c r="D89" s="25" t="n"/>
      <c r="E89" s="25" t="n"/>
      <c r="F89" s="25" t="n"/>
      <c r="G89" s="25" t="n"/>
      <c r="H89" s="52" t="n"/>
      <c r="I89" s="52" t="n"/>
      <c r="J89" s="52" t="n"/>
      <c r="K89" s="52" t="n"/>
      <c r="L89" s="25" t="n"/>
      <c r="M89" s="25" t="n"/>
      <c r="N89" s="52" t="n"/>
      <c r="O89" s="52" t="n"/>
      <c r="P89" s="52" t="n"/>
      <c r="Q89" s="49" t="n"/>
      <c r="R89" s="31" t="n"/>
      <c r="U89" s="25" t="n"/>
      <c r="V89" s="52" t="n"/>
      <c r="W89" s="31" t="n"/>
    </row>
    <row r="90">
      <c r="A90" s="25" t="n"/>
      <c r="B90" s="25" t="n"/>
      <c r="C90" s="25" t="n"/>
      <c r="D90" s="25" t="n"/>
      <c r="E90" s="25" t="n"/>
      <c r="F90" s="25" t="n"/>
      <c r="G90" s="25" t="n"/>
      <c r="H90" s="52" t="n"/>
      <c r="I90" s="52" t="n"/>
      <c r="J90" s="52" t="n"/>
      <c r="K90" s="52" t="n"/>
      <c r="L90" s="25" t="n"/>
      <c r="M90" s="25" t="n"/>
      <c r="N90" s="52" t="n"/>
      <c r="O90" s="52" t="n"/>
      <c r="P90" s="52" t="n"/>
      <c r="Q90" s="49" t="n"/>
      <c r="R90" s="31" t="n"/>
      <c r="U90" s="25" t="n"/>
      <c r="V90" s="52" t="n"/>
      <c r="W90" s="31" t="n"/>
    </row>
    <row r="91">
      <c r="A91" s="25" t="n"/>
      <c r="B91" s="25" t="n"/>
      <c r="C91" s="25" t="n"/>
      <c r="D91" s="25" t="n"/>
      <c r="E91" s="25" t="n"/>
      <c r="F91" s="25" t="n"/>
      <c r="G91" s="25" t="n"/>
      <c r="H91" s="52" t="n"/>
      <c r="I91" s="52" t="n"/>
      <c r="J91" s="52" t="n"/>
      <c r="K91" s="52" t="n"/>
      <c r="L91" s="25" t="n"/>
      <c r="M91" s="25" t="n"/>
      <c r="N91" s="52" t="n"/>
      <c r="O91" s="52" t="n"/>
      <c r="P91" s="52" t="n"/>
      <c r="Q91" s="49" t="n"/>
      <c r="R91" s="31" t="n"/>
      <c r="U91" s="25" t="n"/>
      <c r="V91" s="52" t="n"/>
      <c r="W91" s="31" t="n"/>
    </row>
    <row r="92">
      <c r="A92" s="25" t="n"/>
      <c r="B92" s="25" t="n"/>
      <c r="C92" s="25" t="n"/>
      <c r="D92" s="25" t="n"/>
      <c r="E92" s="25" t="n"/>
      <c r="F92" s="25" t="n"/>
      <c r="G92" s="25" t="n"/>
      <c r="H92" s="52" t="n"/>
      <c r="I92" s="52" t="n"/>
      <c r="J92" s="52" t="n"/>
      <c r="K92" s="52" t="n"/>
      <c r="L92" s="25" t="n"/>
      <c r="M92" s="25" t="n"/>
      <c r="N92" s="52" t="n"/>
      <c r="O92" s="52" t="n"/>
      <c r="P92" s="52" t="n"/>
      <c r="Q92" s="49" t="n"/>
      <c r="R92" s="31" t="n"/>
      <c r="U92" s="25" t="n"/>
      <c r="V92" s="52" t="n"/>
      <c r="W92" s="31" t="n"/>
    </row>
    <row r="93">
      <c r="A93" s="25" t="n"/>
      <c r="B93" s="25" t="n"/>
      <c r="C93" s="25" t="n"/>
      <c r="D93" s="25" t="n"/>
      <c r="E93" s="25" t="n"/>
      <c r="F93" s="25" t="n"/>
      <c r="G93" s="25" t="n"/>
      <c r="H93" s="52" t="n"/>
      <c r="I93" s="52" t="n"/>
      <c r="J93" s="52" t="n"/>
      <c r="K93" s="52" t="n"/>
      <c r="L93" s="25" t="n"/>
      <c r="M93" s="25" t="n"/>
      <c r="N93" s="52" t="n"/>
      <c r="O93" s="52" t="n"/>
      <c r="P93" s="52" t="n"/>
      <c r="Q93" s="49" t="n"/>
      <c r="R93" s="31" t="n"/>
      <c r="U93" s="25" t="n"/>
      <c r="V93" s="52" t="n"/>
      <c r="W93" s="31" t="n"/>
    </row>
    <row r="94">
      <c r="A94" s="25" t="n"/>
      <c r="B94" s="25" t="n"/>
      <c r="C94" s="25" t="n"/>
      <c r="D94" s="25" t="n"/>
      <c r="E94" s="25" t="n"/>
      <c r="F94" s="25" t="n"/>
      <c r="G94" s="25" t="n"/>
      <c r="H94" s="52" t="n"/>
      <c r="I94" s="52" t="n"/>
      <c r="J94" s="52" t="n"/>
      <c r="K94" s="52" t="n"/>
      <c r="L94" s="25" t="n"/>
      <c r="M94" s="25" t="n"/>
      <c r="N94" s="52" t="n"/>
      <c r="O94" s="52" t="n"/>
      <c r="P94" s="52" t="n"/>
      <c r="Q94" s="49" t="n"/>
      <c r="R94" s="31" t="n"/>
      <c r="U94" s="25" t="n"/>
      <c r="V94" s="52" t="n"/>
      <c r="W94" s="31" t="n"/>
    </row>
    <row r="95">
      <c r="A95" s="25" t="n"/>
      <c r="B95" s="25" t="n"/>
      <c r="C95" s="25" t="n"/>
      <c r="D95" s="25" t="n"/>
      <c r="E95" s="25" t="n"/>
      <c r="F95" s="25" t="n"/>
      <c r="G95" s="25" t="n"/>
      <c r="H95" s="52" t="n"/>
      <c r="I95" s="52" t="n"/>
      <c r="J95" s="52" t="n"/>
      <c r="K95" s="52" t="n"/>
      <c r="L95" s="25" t="n"/>
      <c r="M95" s="25" t="n"/>
      <c r="N95" s="52" t="n"/>
      <c r="O95" s="52" t="n"/>
      <c r="P95" s="52" t="n"/>
      <c r="Q95" s="49" t="n"/>
      <c r="R95" s="31" t="n"/>
      <c r="U95" s="25" t="n"/>
      <c r="V95" s="52" t="n"/>
      <c r="W95" s="31" t="n"/>
    </row>
    <row r="96">
      <c r="A96" s="25" t="n"/>
      <c r="B96" s="25" t="n"/>
      <c r="C96" s="25" t="n"/>
      <c r="D96" s="25" t="n"/>
      <c r="E96" s="25" t="n"/>
      <c r="F96" s="25" t="n"/>
      <c r="G96" s="25" t="n"/>
      <c r="H96" s="52" t="n"/>
      <c r="I96" s="52" t="n"/>
      <c r="J96" s="52" t="n"/>
      <c r="K96" s="52" t="n"/>
      <c r="L96" s="25" t="n"/>
      <c r="M96" s="25" t="n"/>
      <c r="N96" s="52" t="n"/>
      <c r="O96" s="52" t="n"/>
      <c r="P96" s="52" t="n"/>
      <c r="Q96" s="49" t="n"/>
      <c r="R96" s="31" t="n"/>
      <c r="U96" s="25" t="n"/>
      <c r="V96" s="52" t="n"/>
      <c r="W96" s="31" t="n"/>
    </row>
    <row r="97">
      <c r="A97" s="25" t="n"/>
      <c r="B97" s="25" t="n"/>
      <c r="C97" s="25" t="n"/>
      <c r="D97" s="25" t="n"/>
      <c r="E97" s="25" t="n"/>
      <c r="F97" s="25" t="n"/>
      <c r="G97" s="25" t="n"/>
      <c r="H97" s="52" t="n"/>
      <c r="I97" s="52" t="n"/>
      <c r="J97" s="52" t="n"/>
      <c r="K97" s="52" t="n"/>
      <c r="L97" s="25" t="n"/>
      <c r="M97" s="25" t="n"/>
      <c r="N97" s="52" t="n"/>
      <c r="O97" s="52" t="n"/>
      <c r="P97" s="52" t="n"/>
      <c r="Q97" s="49" t="n"/>
      <c r="R97" s="31" t="n"/>
      <c r="U97" s="25" t="n"/>
      <c r="V97" s="52" t="n"/>
      <c r="W97" s="31" t="n"/>
    </row>
    <row r="98">
      <c r="A98" s="25" t="n"/>
      <c r="B98" s="25" t="n"/>
      <c r="C98" s="25" t="n"/>
      <c r="D98" s="25" t="n"/>
      <c r="E98" s="25" t="n"/>
      <c r="F98" s="25" t="n"/>
      <c r="G98" s="25" t="n"/>
      <c r="H98" s="52" t="n"/>
      <c r="I98" s="52" t="n"/>
      <c r="J98" s="52" t="n"/>
      <c r="K98" s="52" t="n"/>
      <c r="L98" s="25" t="n"/>
      <c r="M98" s="25" t="n"/>
      <c r="N98" s="52" t="n"/>
      <c r="O98" s="52" t="n"/>
      <c r="P98" s="52" t="n"/>
      <c r="Q98" s="49" t="n"/>
      <c r="R98" s="31" t="n"/>
      <c r="U98" s="25" t="n"/>
      <c r="V98" s="52" t="n"/>
      <c r="W98" s="31" t="n"/>
    </row>
    <row r="99">
      <c r="A99" s="25" t="n"/>
      <c r="B99" s="25" t="n"/>
      <c r="C99" s="25" t="n"/>
      <c r="D99" s="25" t="n"/>
      <c r="E99" s="25" t="n"/>
      <c r="F99" s="25" t="n"/>
      <c r="G99" s="25" t="n"/>
      <c r="H99" s="52" t="n"/>
      <c r="I99" s="52" t="n"/>
      <c r="J99" s="52" t="n"/>
      <c r="K99" s="52" t="n"/>
      <c r="L99" s="25" t="n"/>
      <c r="M99" s="25" t="n"/>
      <c r="N99" s="52" t="n"/>
      <c r="O99" s="52" t="n"/>
      <c r="P99" s="52" t="n"/>
      <c r="Q99" s="49" t="n"/>
      <c r="R99" s="31" t="n"/>
      <c r="U99" s="25" t="n"/>
      <c r="V99" s="52" t="n"/>
      <c r="W99" s="31" t="n"/>
    </row>
    <row r="100">
      <c r="A100" s="25" t="n"/>
      <c r="B100" s="25" t="n"/>
      <c r="C100" s="25" t="n"/>
      <c r="D100" s="25" t="n"/>
      <c r="E100" s="25" t="n"/>
      <c r="F100" s="25" t="n"/>
      <c r="G100" s="25" t="n"/>
      <c r="H100" s="52" t="n"/>
      <c r="I100" s="52" t="n"/>
      <c r="J100" s="52" t="n"/>
      <c r="K100" s="52" t="n"/>
      <c r="L100" s="25" t="n"/>
      <c r="M100" s="25" t="n"/>
      <c r="N100" s="52" t="n"/>
      <c r="O100" s="52" t="n"/>
      <c r="P100" s="52" t="n"/>
      <c r="Q100" s="49" t="n"/>
      <c r="R100" s="31" t="n"/>
      <c r="U100" s="25" t="n"/>
      <c r="V100" s="52" t="n"/>
      <c r="W100" s="31" t="n"/>
    </row>
    <row r="101">
      <c r="A101" s="25" t="n"/>
      <c r="B101" s="25" t="n"/>
      <c r="C101" s="25" t="n"/>
      <c r="D101" s="25" t="n"/>
      <c r="E101" s="25" t="n"/>
      <c r="F101" s="25" t="n"/>
      <c r="G101" s="25" t="n"/>
      <c r="H101" s="52" t="n"/>
      <c r="I101" s="52" t="n"/>
      <c r="J101" s="52" t="n"/>
      <c r="K101" s="52" t="n"/>
      <c r="L101" s="25" t="n"/>
      <c r="M101" s="25" t="n"/>
      <c r="N101" s="52" t="n"/>
      <c r="O101" s="52" t="n"/>
      <c r="P101" s="52" t="n"/>
      <c r="Q101" s="49" t="n"/>
      <c r="R101" s="31" t="n"/>
      <c r="U101" s="25" t="n"/>
      <c r="V101" s="52" t="n"/>
      <c r="W101" s="31" t="n"/>
    </row>
    <row r="102">
      <c r="A102" s="25" t="n"/>
      <c r="B102" s="25" t="n"/>
      <c r="C102" s="25" t="n"/>
      <c r="D102" s="25" t="n"/>
      <c r="E102" s="25" t="n"/>
      <c r="F102" s="25" t="n"/>
      <c r="G102" s="25" t="n"/>
      <c r="H102" s="52" t="n"/>
      <c r="I102" s="52" t="n"/>
      <c r="J102" s="52" t="n"/>
      <c r="K102" s="52" t="n"/>
      <c r="L102" s="25" t="n"/>
      <c r="M102" s="25" t="n"/>
      <c r="N102" s="52" t="n"/>
      <c r="O102" s="52" t="n"/>
      <c r="P102" s="52" t="n"/>
      <c r="Q102" s="49" t="n"/>
      <c r="R102" s="31" t="n"/>
      <c r="U102" s="25" t="n"/>
      <c r="V102" s="52" t="n"/>
      <c r="W102" s="31" t="n"/>
    </row>
    <row r="103">
      <c r="A103" s="25" t="n"/>
      <c r="B103" s="25" t="n"/>
      <c r="C103" s="25" t="n"/>
      <c r="D103" s="25" t="n"/>
      <c r="E103" s="25" t="n"/>
      <c r="F103" s="25" t="n"/>
      <c r="G103" s="25" t="n"/>
      <c r="H103" s="52" t="n"/>
      <c r="I103" s="52" t="n"/>
      <c r="J103" s="52" t="n"/>
      <c r="K103" s="52" t="n"/>
      <c r="L103" s="25" t="n"/>
      <c r="M103" s="25" t="n"/>
      <c r="N103" s="52" t="n"/>
      <c r="O103" s="52" t="n"/>
      <c r="P103" s="52" t="n"/>
      <c r="Q103" s="49" t="n"/>
      <c r="R103" s="31" t="n"/>
      <c r="U103" s="25" t="n"/>
      <c r="V103" s="52" t="n"/>
      <c r="W103" s="31" t="n"/>
    </row>
    <row r="104">
      <c r="A104" s="25" t="n"/>
      <c r="B104" s="25" t="n"/>
      <c r="C104" s="25" t="n"/>
      <c r="D104" s="25" t="n"/>
      <c r="E104" s="25" t="n"/>
      <c r="F104" s="25" t="n"/>
      <c r="G104" s="25" t="n"/>
      <c r="H104" s="52" t="n"/>
      <c r="I104" s="52" t="n"/>
      <c r="J104" s="52" t="n"/>
      <c r="K104" s="52" t="n"/>
      <c r="L104" s="25" t="n"/>
      <c r="M104" s="25" t="n"/>
      <c r="N104" s="52" t="n"/>
      <c r="O104" s="52" t="n"/>
      <c r="P104" s="52" t="n"/>
      <c r="Q104" s="49" t="n"/>
      <c r="R104" s="31" t="n"/>
      <c r="U104" s="25" t="n"/>
      <c r="V104" s="52" t="n"/>
      <c r="W104" s="31" t="n"/>
    </row>
    <row r="108">
      <c r="A108" s="23" t="inlineStr">
        <is>
          <t>Global Operating Assumptions</t>
        </is>
      </c>
      <c r="B108" s="34" t="n"/>
      <c r="U108" s="23" t="inlineStr">
        <is>
          <t>Reservation Status</t>
        </is>
      </c>
      <c r="V108" s="23" t="inlineStr">
        <is>
          <t>Expense Category</t>
        </is>
      </c>
      <c r="W108" s="23" t="inlineStr">
        <is>
          <t>Expense Type</t>
        </is>
      </c>
      <c r="X108" s="23" t="inlineStr">
        <is>
          <t>Payment Method</t>
        </is>
      </c>
      <c r="Y108" s="23" t="inlineStr">
        <is>
          <t>Expense Status</t>
        </is>
      </c>
      <c r="Z108" s="23" t="inlineStr">
        <is>
          <t>Receipt Available</t>
        </is>
      </c>
      <c r="AA108" s="23" t="inlineStr">
        <is>
          <t>Yes / No</t>
        </is>
      </c>
    </row>
    <row r="109">
      <c r="A109" s="35" t="inlineStr">
        <is>
          <t>Default Reporting Year</t>
        </is>
      </c>
      <c r="B109" s="36" t="n">
        <v>2026</v>
      </c>
      <c r="U109" s="13" t="inlineStr">
        <is>
          <t>Inquiry</t>
        </is>
      </c>
      <c r="V109" s="13" t="inlineStr">
        <is>
          <t>Cleaning</t>
        </is>
      </c>
      <c r="W109" s="13" t="inlineStr">
        <is>
          <t>Operating</t>
        </is>
      </c>
      <c r="X109" s="13" t="inlineStr">
        <is>
          <t>Credit Card</t>
        </is>
      </c>
      <c r="Y109" s="13" t="inlineStr">
        <is>
          <t>Pending</t>
        </is>
      </c>
      <c r="Z109" s="13" t="inlineStr">
        <is>
          <t>Yes</t>
        </is>
      </c>
      <c r="AA109" s="13" t="inlineStr">
        <is>
          <t>Yes</t>
        </is>
      </c>
    </row>
    <row r="110">
      <c r="A110" s="35" t="inlineStr">
        <is>
          <t>Portfolio Occupancy Target</t>
        </is>
      </c>
      <c r="B110" s="53" t="n">
        <v>0.68</v>
      </c>
      <c r="U110" s="13" t="inlineStr">
        <is>
          <t>Tentative</t>
        </is>
      </c>
      <c r="V110" s="13" t="inlineStr">
        <is>
          <t>Labor</t>
        </is>
      </c>
      <c r="W110" s="13" t="inlineStr">
        <is>
          <t>Capital</t>
        </is>
      </c>
      <c r="X110" s="13" t="inlineStr">
        <is>
          <t>Debit Card</t>
        </is>
      </c>
      <c r="Y110" s="13" t="inlineStr">
        <is>
          <t>Paid</t>
        </is>
      </c>
      <c r="Z110" s="13" t="inlineStr">
        <is>
          <t>No</t>
        </is>
      </c>
      <c r="AA110" s="13" t="inlineStr">
        <is>
          <t>No</t>
        </is>
      </c>
    </row>
    <row r="111">
      <c r="A111" s="35" t="inlineStr">
        <is>
          <t>Portfolio Operating Margin Target</t>
        </is>
      </c>
      <c r="B111" s="53" t="n">
        <v>0.35</v>
      </c>
      <c r="U111" s="13" t="inlineStr">
        <is>
          <t>Confirmed</t>
        </is>
      </c>
      <c r="V111" s="13" t="inlineStr">
        <is>
          <t>Repairs and Maintenance</t>
        </is>
      </c>
      <c r="W111" s="13" t="inlineStr">
        <is>
          <t>Owner Personal</t>
        </is>
      </c>
      <c r="X111" s="13" t="inlineStr">
        <is>
          <t>ACH</t>
        </is>
      </c>
      <c r="Y111" s="13" t="inlineStr">
        <is>
          <t>Reimbursable</t>
        </is>
      </c>
      <c r="Z111" s="13" t="inlineStr">
        <is>
          <t>Not Required</t>
        </is>
      </c>
    </row>
    <row r="112">
      <c r="A112" s="35" t="inlineStr">
        <is>
          <t>Portfolio Labor Cost Target</t>
        </is>
      </c>
      <c r="B112" s="53" t="n">
        <v>0.15</v>
      </c>
      <c r="U112" s="13" t="inlineStr">
        <is>
          <t>Checked In</t>
        </is>
      </c>
      <c r="V112" s="13" t="inlineStr">
        <is>
          <t>Utilities</t>
        </is>
      </c>
      <c r="W112" s="13" t="inlineStr">
        <is>
          <t>Excluded</t>
        </is>
      </c>
      <c r="X112" s="13" t="inlineStr">
        <is>
          <t>Check</t>
        </is>
      </c>
      <c r="Y112" s="13" t="inlineStr">
        <is>
          <t>Canceled</t>
        </is>
      </c>
    </row>
    <row r="113">
      <c r="A113" s="35" t="inlineStr">
        <is>
          <t>Minimum Cash Buffer</t>
        </is>
      </c>
      <c r="B113" s="54" t="n">
        <v>10000</v>
      </c>
      <c r="U113" s="13" t="inlineStr">
        <is>
          <t>Completed</t>
        </is>
      </c>
      <c r="V113" s="13" t="inlineStr">
        <is>
          <t>Internet and Television</t>
        </is>
      </c>
      <c r="X113" s="13" t="inlineStr">
        <is>
          <t>Cash</t>
        </is>
      </c>
      <c r="Y113" s="13" t="inlineStr">
        <is>
          <t>Excluded</t>
        </is>
      </c>
    </row>
    <row r="114">
      <c r="A114" s="35" t="inlineStr">
        <is>
          <t>High Expense Review Threshold</t>
        </is>
      </c>
      <c r="B114" s="54" t="n">
        <v>1000</v>
      </c>
      <c r="U114" s="13" t="inlineStr">
        <is>
          <t>Canceled</t>
        </is>
      </c>
      <c r="V114" s="13" t="inlineStr">
        <is>
          <t>Supplies</t>
        </is>
      </c>
      <c r="X114" s="13" t="inlineStr">
        <is>
          <t>Owner Paid</t>
        </is>
      </c>
    </row>
    <row r="115">
      <c r="A115" s="35" t="inlineStr">
        <is>
          <t>Balance Review Threshold</t>
        </is>
      </c>
      <c r="B115" s="54" t="n">
        <v>1</v>
      </c>
      <c r="U115" s="13" t="inlineStr">
        <is>
          <t>No Show</t>
        </is>
      </c>
      <c r="V115" s="13" t="inlineStr">
        <is>
          <t>Landscaping</t>
        </is>
      </c>
      <c r="X115" s="13" t="inlineStr">
        <is>
          <t>Other</t>
        </is>
      </c>
    </row>
    <row r="116">
      <c r="A116" s="35" t="inlineStr">
        <is>
          <t>Upcoming Stay Window in Days</t>
        </is>
      </c>
      <c r="B116" s="36" t="n">
        <v>14</v>
      </c>
      <c r="V116" s="13" t="inlineStr">
        <is>
          <t>Pest Control</t>
        </is>
      </c>
    </row>
    <row r="117">
      <c r="V117" s="13" t="inlineStr">
        <is>
          <t>Insurance</t>
        </is>
      </c>
    </row>
    <row r="118">
      <c r="V118" s="13" t="inlineStr">
        <is>
          <t>Property Tax</t>
        </is>
      </c>
    </row>
    <row r="119">
      <c r="V119" s="13" t="inlineStr">
        <is>
          <t>Licenses and Permits</t>
        </is>
      </c>
    </row>
    <row r="120">
      <c r="V120" s="13" t="inlineStr">
        <is>
          <t>Marketing</t>
        </is>
      </c>
    </row>
    <row r="121">
      <c r="V121" s="13" t="inlineStr">
        <is>
          <t>Software</t>
        </is>
      </c>
    </row>
    <row r="122">
      <c r="V122" s="13" t="inlineStr">
        <is>
          <t>Professional Fees</t>
        </is>
      </c>
    </row>
    <row r="123">
      <c r="V123" s="13" t="inlineStr">
        <is>
          <t>Guest Refunds</t>
        </is>
      </c>
    </row>
    <row r="124">
      <c r="V124" s="13" t="inlineStr">
        <is>
          <t>Capital Improvement</t>
        </is>
      </c>
    </row>
    <row r="125">
      <c r="V125" s="13" t="inlineStr">
        <is>
          <t>Other</t>
        </is>
      </c>
    </row>
  </sheetData>
  <mergeCells count="2">
    <mergeCell ref="A2:W2"/>
    <mergeCell ref="A1:W1"/>
  </mergeCells>
  <dataValidations count="11">
    <dataValidation sqref="E5:E104" showDropDown="0" showInputMessage="1" showErrorMessage="1" allowBlank="0" errorTitle="Invalid Selection" error="Select a value from the list." promptTitle="Active Property" prompt="Select Yes or No." type="list">
      <formula1>'Assumptions'!$AA$109:$AA$110</formula1>
    </dataValidation>
    <dataValidation sqref="F5:G104" showDropDown="0" showInputMessage="0" showErrorMessage="1" allowBlank="0" errorTitle="Invalid Whole Number" error="Enter a whole number within the allowed range." type="whole" operator="between">
      <formula1>0</formula1>
      <formula2>30</formula2>
    </dataValidation>
    <dataValidation sqref="H5:K104" showDropDown="0" showInputMessage="0" showErrorMessage="1" allowBlank="0" errorTitle="Invalid Number" error="Enter a valid nonnegative number within the allowed range." type="decimal" operator="between">
      <formula1>0</formula1>
      <formula2>1</formula2>
    </dataValidation>
    <dataValidation sqref="L5:M104" showDropDown="0" showInputMessage="0" showErrorMessage="1" allowBlank="0" errorTitle="Invalid Whole Number" error="Enter a whole number within the allowed range." type="whole" operator="between">
      <formula1>0</formula1>
      <formula2>366</formula2>
    </dataValidation>
    <dataValidation sqref="N5:P104" showDropDown="0" showInputMessage="0" showErrorMessage="1" allowBlank="0" errorTitle="Invalid Number" error="Enter a valid nonnegative number within the allowed range." type="decimal" operator="between">
      <formula1>0</formula1>
      <formula2>1</formula2>
    </dataValidation>
    <dataValidation sqref="Q5:Q104" showDropDown="0" showInputMessage="0" showErrorMessage="1" allowBlank="0" errorTitle="Invalid Number" error="Enter a valid nonnegative number within the allowed range." type="decimal" operator="greaterThanOrEqual">
      <formula1>0</formula1>
    </dataValidation>
    <dataValidation sqref="V5:V104" showDropDown="0" showInputMessage="0" showErrorMessage="1" allowBlank="0" errorTitle="Invalid Number" error="Enter a valid nonnegative number within the allowed range." type="decimal" operator="between">
      <formula1>0</formula1>
      <formula2>1</formula2>
    </dataValidation>
    <dataValidation sqref="B109" showDropDown="0" showInputMessage="0" showErrorMessage="1" allowBlank="0" errorTitle="Invalid Whole Number" error="Enter a whole number within the allowed range." type="whole" operator="between">
      <formula1>2020</formula1>
      <formula2>2100</formula2>
    </dataValidation>
    <dataValidation sqref="B110:B112" showDropDown="0" showInputMessage="0" showErrorMessage="1" allowBlank="0" errorTitle="Invalid Number" error="Enter a valid nonnegative number within the allowed range." type="decimal" operator="between">
      <formula1>0</formula1>
      <formula2>1</formula2>
    </dataValidation>
    <dataValidation sqref="B113:B115" showDropDown="0" showInputMessage="0" showErrorMessage="1" allowBlank="0" errorTitle="Invalid Number" error="Enter a valid nonnegative number within the allowed range." type="decimal" operator="greaterThanOrEqual">
      <formula1>0</formula1>
    </dataValidation>
    <dataValidation sqref="B116" showDropDown="0" showInputMessage="0" showErrorMessage="1" allowBlank="0" errorTitle="Invalid Whole Number" error="Enter a whole number within the allowed range." type="whole" operator="between">
      <formula1>0</formula1>
      <formula2>365</formula2>
    </dataValidation>
  </dataValidations>
  <pageMargins left="0.75" right="0.75" top="1" bottom="1" header="0.5" footer="0.5"/>
  <tableParts count="2">
    <tablePart xmlns:r="http://schemas.openxmlformats.org/officeDocument/2006/relationships" r:id="rId1"/>
    <tablePart xmlns:r="http://schemas.openxmlformats.org/officeDocument/2006/relationships" r:id="rId2"/>
  </tableParts>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2026-09-06T20:21:48Z</dcterms:created>
  <dcterms:modified xmlns:dcterms="http://purl.org/dc/terms/" xmlns:xsi="http://www.w3.org/2001/XMLSchema-instance" xsi:type="dcterms:W3CDTF">2026-09-06T20:21:50+00:00Z</dcterms:modified>
</cp:coreProperties>
</file>