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Reservations" sheetId="2" state="visible" r:id="rId2"/>
    <sheet xmlns:r="http://schemas.openxmlformats.org/officeDocument/2006/relationships" name="Setup &amp; Lists" sheetId="3" state="visible" r:id="rId3"/>
    <sheet xmlns:r="http://schemas.openxmlformats.org/officeDocument/2006/relationships" name="Instructions" sheetId="4" state="visible" r:id="rId4"/>
  </sheets>
  <definedNames>
    <definedName name="_xlnm.Print_Area" localSheetId="0">'Dashboard'!$A$1:$R$56</definedName>
    <definedName name="_xlnm._FilterDatabase" localSheetId="1" hidden="1">'Reservations'!$A$1:$AJ$251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m/d/yyyy"/>
    <numFmt numFmtId="166" formatCode="0.0%"/>
    <numFmt numFmtId="167" formatCode="0.0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1"/>
    </font>
    <font>
      <name val="Calibri"/>
      <b val="1"/>
      <color rgb="00243746"/>
      <sz val="10"/>
    </font>
    <font>
      <name val="Calibri"/>
      <color rgb="004F5B66"/>
      <sz val="9"/>
    </font>
    <font>
      <name val="Calibri"/>
      <b val="1"/>
      <color rgb="00FFFFFF"/>
      <sz val="10"/>
    </font>
    <font>
      <name val="Calibri"/>
      <color rgb="00243746"/>
      <sz val="10"/>
    </font>
    <font>
      <name val="Calibri"/>
      <i val="1"/>
      <color rgb="0017324D"/>
      <sz val="11"/>
    </font>
    <font>
      <name val="Calibri"/>
      <b val="1"/>
      <color rgb="0017324D"/>
      <sz val="15"/>
    </font>
    <font>
      <name val="Calibri"/>
      <b val="1"/>
      <color rgb="0017324D"/>
      <sz val="14"/>
    </font>
  </fonts>
  <fills count="9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2B5D74"/>
      </patternFill>
    </fill>
    <fill>
      <patternFill patternType="solid">
        <fgColor rgb="00D9EAF7"/>
      </patternFill>
    </fill>
    <fill>
      <patternFill patternType="solid">
        <fgColor rgb="00FFF1CE"/>
      </patternFill>
    </fill>
    <fill>
      <patternFill patternType="solid">
        <fgColor rgb="00E8F1ED"/>
      </patternFill>
    </fill>
    <fill>
      <patternFill patternType="solid">
        <fgColor rgb="00F2F7F8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C7D5E0"/>
      </left>
      <right style="thin">
        <color rgb="00C7D5E0"/>
      </right>
      <top style="thin">
        <color rgb="00C7D5E0"/>
      </top>
      <bottom style="thin">
        <color rgb="00C7D5E0"/>
      </bottom>
    </border>
    <border>
      <left/>
      <right/>
      <top style="thin">
        <color rgb="00C7D5E0"/>
      </top>
      <bottom/>
      <diagonal/>
    </border>
    <border>
      <left style="thin">
        <color rgb="00C7D5E0"/>
      </left>
      <right/>
      <top/>
      <bottom/>
      <diagonal/>
    </border>
    <border>
      <left/>
      <right style="thin">
        <color rgb="00C7D5E0"/>
      </right>
      <top style="thin">
        <color rgb="00C7D5E0"/>
      </top>
      <bottom/>
      <diagonal/>
    </border>
    <border>
      <left/>
      <right style="thin">
        <color rgb="00C7D5E0"/>
      </right>
      <top/>
      <bottom/>
      <diagonal/>
    </border>
    <border>
      <left style="thin">
        <color rgb="00C7D5E0"/>
      </left>
      <right/>
      <top/>
      <bottom style="thin">
        <color rgb="00C7D5E0"/>
      </bottom>
      <diagonal/>
    </border>
    <border>
      <left/>
      <right/>
      <top/>
      <bottom style="thin">
        <color rgb="00C7D5E0"/>
      </bottom>
      <diagonal/>
    </border>
    <border>
      <left/>
      <right style="thin">
        <color rgb="00C7D5E0"/>
      </right>
      <top/>
      <bottom style="thin">
        <color rgb="00C7D5E0"/>
      </bottom>
      <diagonal/>
    </border>
    <border>
      <left/>
      <right/>
      <top style="thin">
        <color rgb="00C7D5E0"/>
      </top>
      <bottom style="thin">
        <color rgb="00C7D5E0"/>
      </bottom>
      <diagonal/>
    </border>
    <border>
      <left/>
      <right style="thin">
        <color rgb="00C7D5E0"/>
      </right>
      <top style="thin">
        <color rgb="00C7D5E0"/>
      </top>
      <bottom style="thin">
        <color rgb="00C7D5E0"/>
      </bottom>
      <diagonal/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  <xf numFmtId="0" fontId="7" fillId="0" borderId="0" applyAlignment="1" pivotButton="0" quotePrefix="0" xfId="0">
      <alignment horizontal="center" vertical="center"/>
    </xf>
    <xf numFmtId="0" fontId="3" fillId="0" borderId="0" pivotButton="0" quotePrefix="0" xfId="0"/>
    <xf numFmtId="165" fontId="0" fillId="4" borderId="1" applyProtection="1" pivotButton="0" quotePrefix="0" xfId="0">
      <protection locked="0" hidden="0"/>
    </xf>
    <xf numFmtId="0" fontId="4" fillId="0" borderId="0" applyAlignment="1" pivotButton="0" quotePrefix="0" xfId="0">
      <alignment horizontal="left" vertical="top" wrapText="1"/>
    </xf>
    <xf numFmtId="0" fontId="2" fillId="3" borderId="0" pivotButton="0" quotePrefix="0" xfId="0"/>
    <xf numFmtId="0" fontId="0" fillId="3" borderId="0" pivotButton="0" quotePrefix="0" xfId="0"/>
    <xf numFmtId="0" fontId="3" fillId="7" borderId="1" pivotButton="0" quotePrefix="0" xfId="0"/>
    <xf numFmtId="0" fontId="8" fillId="6" borderId="1" pivotButton="0" quotePrefix="0" xfId="0"/>
    <xf numFmtId="166" fontId="8" fillId="6" borderId="1" pivotButton="0" quotePrefix="0" xfId="0"/>
    <xf numFmtId="0" fontId="9" fillId="6" borderId="1" pivotButton="0" quotePrefix="0" xfId="0"/>
    <xf numFmtId="164" fontId="9" fillId="6" borderId="1" pivotButton="0" quotePrefix="0" xfId="0"/>
    <xf numFmtId="167" fontId="9" fillId="6" borderId="1" pivotButton="0" quotePrefix="0" xfId="0"/>
    <xf numFmtId="166" fontId="9" fillId="6" borderId="1" pivotButton="0" quotePrefix="0" xfId="0"/>
    <xf numFmtId="0" fontId="0" fillId="6" borderId="1" pivotButton="0" quotePrefix="0" xfId="0"/>
    <xf numFmtId="0" fontId="5" fillId="2" borderId="1" pivotButton="0" quotePrefix="0" xfId="0"/>
    <xf numFmtId="0" fontId="0" fillId="8" borderId="1" pivotButton="0" quotePrefix="0" xfId="0"/>
    <xf numFmtId="165" fontId="0" fillId="8" borderId="1" pivotButton="0" quotePrefix="0" xfId="0"/>
    <xf numFmtId="164" fontId="0" fillId="8" borderId="1" pivotButton="0" quotePrefix="0" xfId="0"/>
    <xf numFmtId="0" fontId="0" fillId="7" borderId="1" pivotButton="0" quotePrefix="0" xfId="0"/>
    <xf numFmtId="165" fontId="0" fillId="7" borderId="1" pivotButton="0" quotePrefix="0" xfId="0"/>
    <xf numFmtId="164" fontId="0" fillId="7" borderId="1" pivotButton="0" quotePrefix="0" xfId="0"/>
    <xf numFmtId="0" fontId="2" fillId="2" borderId="1" applyAlignment="1" pivotButton="0" quotePrefix="0" xfId="0">
      <alignment horizontal="center" vertical="center"/>
    </xf>
    <xf numFmtId="0" fontId="6" fillId="4" borderId="1" applyAlignment="1" applyProtection="1" pivotButton="0" quotePrefix="0" xfId="0">
      <alignment horizontal="left" vertical="center"/>
      <protection locked="0" hidden="0"/>
    </xf>
    <xf numFmtId="165" fontId="6" fillId="4" borderId="1" applyAlignment="1" applyProtection="1" pivotButton="0" quotePrefix="0" xfId="0">
      <alignment horizontal="left" vertical="center"/>
      <protection locked="0" hidden="0"/>
    </xf>
    <xf numFmtId="1" fontId="6" fillId="6" borderId="1" applyAlignment="1" pivotButton="0" quotePrefix="0" xfId="0">
      <alignment horizontal="left" vertical="center"/>
    </xf>
    <xf numFmtId="1" fontId="6" fillId="4" borderId="1" applyAlignment="1" applyProtection="1" pivotButton="0" quotePrefix="0" xfId="0">
      <alignment horizontal="left" vertical="center"/>
      <protection locked="0" hidden="0"/>
    </xf>
    <xf numFmtId="164" fontId="6" fillId="4" borderId="1" applyAlignment="1" applyProtection="1" pivotButton="0" quotePrefix="0" xfId="0">
      <alignment horizontal="left" vertical="center"/>
      <protection locked="0" hidden="0"/>
    </xf>
    <xf numFmtId="166" fontId="6" fillId="4" borderId="1" applyAlignment="1" applyProtection="1" pivotButton="0" quotePrefix="0" xfId="0">
      <alignment horizontal="left" vertical="center"/>
      <protection locked="0" hidden="0"/>
    </xf>
    <xf numFmtId="164" fontId="6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/>
    </xf>
    <xf numFmtId="165" fontId="6" fillId="6" borderId="1" applyAlignment="1" pivotButton="0" quotePrefix="0" xfId="0">
      <alignment horizontal="left" vertical="center"/>
    </xf>
    <xf numFmtId="0" fontId="0" fillId="4" borderId="1" applyProtection="1" pivotButton="0" quotePrefix="0" xfId="0">
      <protection locked="0" hidden="0"/>
    </xf>
    <xf numFmtId="1" fontId="0" fillId="4" borderId="1" applyProtection="1" pivotButton="0" quotePrefix="0" xfId="0">
      <protection locked="0" hidden="0"/>
    </xf>
    <xf numFmtId="166" fontId="0" fillId="4" borderId="1" applyProtection="1" pivotButton="0" quotePrefix="0" xfId="0">
      <protection locked="0" hidden="0"/>
    </xf>
    <xf numFmtId="0" fontId="4" fillId="5" borderId="1" applyAlignment="1" pivotButton="0" quotePrefix="0" xfId="0">
      <alignment horizontal="left" vertical="top" wrapText="1"/>
    </xf>
    <xf numFmtId="0" fontId="6" fillId="8" borderId="1" applyAlignment="1" pivotButton="0" quotePrefix="0" xfId="0">
      <alignment horizontal="left" vertical="top" wrapText="1"/>
    </xf>
    <xf numFmtId="0" fontId="6" fillId="7" borderId="1" applyAlignment="1" pivotButton="0" quotePrefix="0" xfId="0">
      <alignment horizontal="left" vertical="top" wrapText="1"/>
    </xf>
    <xf numFmtId="164" fontId="0" fillId="0" borderId="0" pivotButton="0" quotePrefix="0" xfId="0"/>
    <xf numFmtId="165" fontId="0" fillId="4" borderId="1" applyProtection="1" pivotButton="0" quotePrefix="0" xfId="0">
      <protection locked="0" hidden="0"/>
    </xf>
    <xf numFmtId="166" fontId="8" fillId="6" borderId="1" pivotButton="0" quotePrefix="0" xfId="0"/>
    <xf numFmtId="164" fontId="9" fillId="6" borderId="1" pivotButton="0" quotePrefix="0" xfId="0"/>
    <xf numFmtId="167" fontId="9" fillId="6" borderId="1" pivotButton="0" quotePrefix="0" xfId="0"/>
    <xf numFmtId="166" fontId="9" fillId="6" borderId="1" pivotButton="0" quotePrefix="0" xfId="0"/>
    <xf numFmtId="165" fontId="0" fillId="8" borderId="1" pivotButton="0" quotePrefix="0" xfId="0"/>
    <xf numFmtId="164" fontId="0" fillId="8" borderId="1" pivotButton="0" quotePrefix="0" xfId="0"/>
    <xf numFmtId="165" fontId="0" fillId="7" borderId="1" pivotButton="0" quotePrefix="0" xfId="0"/>
    <xf numFmtId="164" fontId="0" fillId="7" borderId="1" pivotButton="0" quotePrefix="0" xfId="0"/>
    <xf numFmtId="165" fontId="6" fillId="4" borderId="1" applyAlignment="1" applyProtection="1" pivotButton="0" quotePrefix="0" xfId="0">
      <alignment horizontal="left" vertical="center"/>
      <protection locked="0" hidden="0"/>
    </xf>
    <xf numFmtId="164" fontId="6" fillId="4" borderId="1" applyAlignment="1" applyProtection="1" pivotButton="0" quotePrefix="0" xfId="0">
      <alignment horizontal="left" vertical="center"/>
      <protection locked="0" hidden="0"/>
    </xf>
    <xf numFmtId="166" fontId="6" fillId="4" borderId="1" applyAlignment="1" applyProtection="1" pivotButton="0" quotePrefix="0" xfId="0">
      <alignment horizontal="left" vertical="center"/>
      <protection locked="0" hidden="0"/>
    </xf>
    <xf numFmtId="164" fontId="6" fillId="6" borderId="1" applyAlignment="1" pivotButton="0" quotePrefix="0" xfId="0">
      <alignment horizontal="left" vertical="center"/>
    </xf>
    <xf numFmtId="165" fontId="6" fillId="6" borderId="1" applyAlignment="1" pivotButton="0" quotePrefix="0" xfId="0">
      <alignment horizontal="left" vertical="center"/>
    </xf>
    <xf numFmtId="166" fontId="0" fillId="4" borderId="1" applyProtection="1" pivotButton="0" quotePrefix="0" xfId="0">
      <protection locked="0" hidden="0"/>
    </xf>
    <xf numFmtId="0" fontId="0" fillId="0" borderId="2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1">
    <cellStyle name="Normal" xfId="0" builtinId="0" hidden="0"/>
  </cellStyles>
  <dxfs count="7">
    <dxf>
      <font>
        <name val="Calibri"/>
        <b val="1"/>
        <color rgb="00C73939"/>
        <sz val="10"/>
      </font>
      <fill>
        <patternFill patternType="solid">
          <fgColor rgb="00F4CCCC"/>
        </patternFill>
      </fill>
    </dxf>
    <dxf>
      <font>
        <name val="Calibri"/>
        <b val="1"/>
        <color rgb="00147D64"/>
        <sz val="10"/>
      </font>
      <fill>
        <patternFill patternType="solid">
          <fgColor rgb="00D9EAD3"/>
        </patternFill>
      </fill>
    </dxf>
    <dxf>
      <fill>
        <patternFill patternType="solid">
          <fgColor rgb="00F4CCCC"/>
        </patternFill>
      </fill>
    </dxf>
    <dxf>
      <fill>
        <patternFill patternType="solid">
          <fgColor rgb="00FCE5CD"/>
        </patternFill>
      </fill>
    </dxf>
    <dxf>
      <fill>
        <patternFill patternType="solid">
          <fgColor rgb="00E7E9EC"/>
        </patternFill>
      </fill>
    </dxf>
    <dxf>
      <fill>
        <patternFill patternType="solid">
          <fgColor rgb="00D9EAF7"/>
        </patternFill>
      </fill>
    </dxf>
    <dxf>
      <fill>
        <patternFill patternType="solid">
          <fgColor rgb="00D9D2E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Reservations by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'Dashboard'!U1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'Dashboard'!$T$2:$T$8</f>
            </numRef>
          </cat>
          <val>
            <numRef>
              <f>'Dashboard'!$U$2:$U$8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Reservations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Room Revenue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'Dashboard'!Y1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'Dashboard'!$X$2:$X$13</f>
            </numRef>
          </cat>
          <val>
            <numRef>
              <f>'Dashboard'!$Y$2:$Y$13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Room Revenue</a:t>
                </a:r>
              </a:p>
            </rich>
          </tx>
        </title>
        <numFmt formatCode="$#,##0.0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9</col>
      <colOff>0</colOff>
      <row>6</row>
      <rowOff>0</rowOff>
    </from>
    <ext cx="3780000" cy="23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20</row>
      <rowOff>0</rowOff>
    </from>
    <ext cx="3780000" cy="23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Reservations" displayName="tblReservations" ref="A1:AJ251" headerRowCount="1">
  <autoFilter ref="A1:AJ251"/>
  <tableColumns count="36">
    <tableColumn id="1" name="Reservation ID"/>
    <tableColumn id="2" name="External Reference"/>
    <tableColumn id="3" name="Booking Date"/>
    <tableColumn id="4" name="Guest Name"/>
    <tableColumn id="5" name="Phone"/>
    <tableColumn id="6" name="Email"/>
    <tableColumn id="7" name="Arrival Date"/>
    <tableColumn id="8" name="Departure Date"/>
    <tableColumn id="9" name="Nights"/>
    <tableColumn id="10" name="Rooms"/>
    <tableColumn id="11" name="Adults"/>
    <tableColumn id="12" name="Children"/>
    <tableColumn id="13" name="Room Type"/>
    <tableColumn id="14" name="Rate Plan"/>
    <tableColumn id="15" name="Booking Source"/>
    <tableColumn id="16" name="Reservation Status"/>
    <tableColumn id="17" name="Assigned Room"/>
    <tableColumn id="18" name="Nightly Rate"/>
    <tableColumn id="19" name="Discount %"/>
    <tableColumn id="20" name="Extras"/>
    <tableColumn id="21" name="Tax Rate Override"/>
    <tableColumn id="22" name="Service Charge Rate Override"/>
    <tableColumn id="23" name="Room Revenue"/>
    <tableColumn id="24" name="Service Charge"/>
    <tableColumn id="25" name="Estimated Tax"/>
    <tableColumn id="26" name="Total Reservation Value"/>
    <tableColumn id="27" name="Deposit Override"/>
    <tableColumn id="28" name="Deposit Required"/>
    <tableColumn id="29" name="Deposit Paid"/>
    <tableColumn id="30" name="Balance Due"/>
    <tableColumn id="31" name="Payment Status"/>
    <tableColumn id="32" name="Cancellation Deadline"/>
    <tableColumn id="33" name="Special Requests"/>
    <tableColumn id="34" name="Reservation Owner"/>
    <tableColumn id="35" name="Last Guest Contact"/>
    <tableColumn id="36" name="Operational Chec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251"/>
  <sheetViews>
    <sheetView showGridLines="0" zoomScale="70" zoomScaleNormal="7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4" customWidth="1" min="3" max="3"/>
    <col width="27" customWidth="1" min="4" max="4"/>
    <col width="16" customWidth="1" min="5" max="5"/>
    <col width="4" customWidth="1" min="6" max="6"/>
    <col width="28" customWidth="1" min="7" max="7"/>
    <col width="16" customWidth="1" min="8" max="8"/>
    <col width="4" customWidth="1" min="9" max="9"/>
    <col width="14" customWidth="1" min="10" max="10"/>
    <col width="14" customWidth="1" min="11" max="11"/>
    <col width="14" customWidth="1" min="12" max="12"/>
    <col width="17" customWidth="1" min="20" max="20"/>
    <col width="17" customWidth="1" min="21" max="21"/>
    <col width="17" customWidth="1" min="22" max="22"/>
    <col width="17" customWidth="1" min="23" max="23"/>
    <col width="17" customWidth="1" min="24" max="24"/>
    <col width="17" customWidth="1" min="25" max="25"/>
  </cols>
  <sheetData>
    <row r="1">
      <c r="A1" s="1" t="inlineStr">
        <is>
          <t>Hotel Reservation Dashboard</t>
        </is>
      </c>
      <c r="T1" t="inlineStr">
        <is>
          <t>Status</t>
        </is>
      </c>
      <c r="U1" t="inlineStr">
        <is>
          <t>Count</t>
        </is>
      </c>
      <c r="X1" t="inlineStr">
        <is>
          <t>Month</t>
        </is>
      </c>
      <c r="Y1" t="inlineStr">
        <is>
          <t>Room Revenue</t>
        </is>
      </c>
    </row>
    <row r="2">
      <c r="T2" t="inlineStr">
        <is>
          <t>Inquiry</t>
        </is>
      </c>
      <c r="U2">
        <f>IFERROR(COUNTIFS('Reservations'!$G$2:$G$251,"&gt;="&amp;$E$5,'Reservations'!$G$2:$G$251,"&lt;="&amp;$H$5,'Reservations'!$P$2:$P$251,T2),0)</f>
        <v/>
      </c>
      <c r="V2">
        <f>IFERROR(IF(AND('Reservations'!$G2=$B$5,OR('Reservations'!$P2="Confirmed",'Reservations'!$P2="In House")),COUNTIFS('Reservations'!$G$2:'Reservations'!$G2,$B$5,'Reservations'!$P$2:'Reservations'!$P2,"Confirmed")+COUNTIFS('Reservations'!$G$2:'Reservations'!$G2,$B$5,'Reservations'!$P$2:'Reservations'!$P2,"In House"),""),"")</f>
        <v/>
      </c>
      <c r="W2">
        <f>IFERROR(IF(AND('Reservations'!$H2=$B$5,OR('Reservations'!$P2="In House",'Reservations'!$P2="Checked Out")),COUNTIFS('Reservations'!$H$2:'Reservations'!$H2,$B$5,'Reservations'!$P$2:'Reservations'!$P2,"In House")+COUNTIFS('Reservations'!$H$2:'Reservations'!$H2,$B$5,'Reservations'!$P$2:'Reservations'!$P2,"Checked Out"),""),"")</f>
        <v/>
      </c>
      <c r="X2" t="inlineStr">
        <is>
          <t>January</t>
        </is>
      </c>
      <c r="Y2" s="40">
        <f>IFERROR(SUMIFS('Reservations'!$W$2:$W$251,'Reservations'!$G$2:$G$251,"&gt;="&amp;DATE(2026,1,1),'Reservations'!$G$2:$G$251,"&lt;"&amp;DATE(2026,2,1),'Reservations'!$P$2:$P$251,"&lt;&gt;Cancelled",'Reservations'!$P$2:$P$251,"&lt;&gt;No Show"),0)</f>
        <v/>
      </c>
    </row>
    <row r="3">
      <c r="A3" s="3" t="inlineStr">
        <is>
          <t>Reservations, arrivals, occupancy, revenue, deposits, and follow-up</t>
        </is>
      </c>
      <c r="T3" t="inlineStr">
        <is>
          <t>Tentative</t>
        </is>
      </c>
      <c r="U3">
        <f>IFERROR(COUNTIFS('Reservations'!$G$2:$G$251,"&gt;="&amp;$E$5,'Reservations'!$G$2:$G$251,"&lt;="&amp;$H$5,'Reservations'!$P$2:$P$251,T3),0)</f>
        <v/>
      </c>
      <c r="V3">
        <f>IFERROR(IF(AND('Reservations'!$G3=$B$5,OR('Reservations'!$P3="Confirmed",'Reservations'!$P3="In House")),COUNTIFS('Reservations'!$G$2:'Reservations'!$G3,$B$5,'Reservations'!$P$2:'Reservations'!$P3,"Confirmed")+COUNTIFS('Reservations'!$G$2:'Reservations'!$G3,$B$5,'Reservations'!$P$2:'Reservations'!$P3,"In House"),""),"")</f>
        <v/>
      </c>
      <c r="W3">
        <f>IFERROR(IF(AND('Reservations'!$H3=$B$5,OR('Reservations'!$P3="In House",'Reservations'!$P3="Checked Out")),COUNTIFS('Reservations'!$H$2:'Reservations'!$H3,$B$5,'Reservations'!$P$2:'Reservations'!$P3,"In House")+COUNTIFS('Reservations'!$H$2:'Reservations'!$H3,$B$5,'Reservations'!$P$2:'Reservations'!$P3,"Checked Out"),""),"")</f>
        <v/>
      </c>
      <c r="X3" t="inlineStr">
        <is>
          <t>February</t>
        </is>
      </c>
      <c r="Y3" s="40">
        <f>IFERROR(SUMIFS('Reservations'!$W$2:$W$251,'Reservations'!$G$2:$G$251,"&gt;="&amp;DATE(2026,2,1),'Reservations'!$G$2:$G$251,"&lt;"&amp;DATE(2026,3,1),'Reservations'!$P$2:$P$251,"&lt;&gt;Cancelled",'Reservations'!$P$2:$P$251,"&lt;&gt;No Show"),0)</f>
        <v/>
      </c>
    </row>
    <row r="4">
      <c r="T4" t="inlineStr">
        <is>
          <t>Confirmed</t>
        </is>
      </c>
      <c r="U4">
        <f>IFERROR(COUNTIFS('Reservations'!$G$2:$G$251,"&gt;="&amp;$E$5,'Reservations'!$G$2:$G$251,"&lt;="&amp;$H$5,'Reservations'!$P$2:$P$251,T4),0)</f>
        <v/>
      </c>
      <c r="V4">
        <f>IFERROR(IF(AND('Reservations'!$G4=$B$5,OR('Reservations'!$P4="Confirmed",'Reservations'!$P4="In House")),COUNTIFS('Reservations'!$G$2:'Reservations'!$G4,$B$5,'Reservations'!$P$2:'Reservations'!$P4,"Confirmed")+COUNTIFS('Reservations'!$G$2:'Reservations'!$G4,$B$5,'Reservations'!$P$2:'Reservations'!$P4,"In House"),""),"")</f>
        <v/>
      </c>
      <c r="W4">
        <f>IFERROR(IF(AND('Reservations'!$H4=$B$5,OR('Reservations'!$P4="In House",'Reservations'!$P4="Checked Out")),COUNTIFS('Reservations'!$H$2:'Reservations'!$H4,$B$5,'Reservations'!$P$2:'Reservations'!$P4,"In House")+COUNTIFS('Reservations'!$H$2:'Reservations'!$H4,$B$5,'Reservations'!$P$2:'Reservations'!$P4,"Checked Out"),""),"")</f>
        <v/>
      </c>
      <c r="X4" t="inlineStr">
        <is>
          <t>March</t>
        </is>
      </c>
      <c r="Y4" s="40">
        <f>IFERROR(SUMIFS('Reservations'!$W$2:$W$251,'Reservations'!$G$2:$G$251,"&gt;="&amp;DATE(2026,3,1),'Reservations'!$G$2:$G$251,"&lt;"&amp;DATE(2026,4,1),'Reservations'!$P$2:$P$251,"&lt;&gt;Cancelled",'Reservations'!$P$2:$P$251,"&lt;&gt;No Show"),0)</f>
        <v/>
      </c>
    </row>
    <row r="5">
      <c r="A5" s="4" t="inlineStr">
        <is>
          <t>Business Date</t>
        </is>
      </c>
      <c r="B5" s="41">
        <f>IFERROR(TODAY(),"")</f>
        <v/>
      </c>
      <c r="D5" s="4" t="inlineStr">
        <is>
          <t>Report Start Date</t>
        </is>
      </c>
      <c r="E5" s="41" t="n">
        <v>46023</v>
      </c>
      <c r="G5" s="4" t="inlineStr">
        <is>
          <t>Report End Date</t>
        </is>
      </c>
      <c r="H5" s="41" t="n">
        <v>46387</v>
      </c>
      <c r="J5" s="6" t="inlineStr">
        <is>
          <t>Change the blue cells to update the dashboard.</t>
        </is>
      </c>
      <c r="T5" t="inlineStr">
        <is>
          <t>In House</t>
        </is>
      </c>
      <c r="U5">
        <f>IFERROR(COUNTIFS('Reservations'!$G$2:$G$251,"&gt;="&amp;$E$5,'Reservations'!$G$2:$G$251,"&lt;="&amp;$H$5,'Reservations'!$P$2:$P$251,T5),0)</f>
        <v/>
      </c>
      <c r="V5">
        <f>IFERROR(IF(AND('Reservations'!$G5=$B$5,OR('Reservations'!$P5="Confirmed",'Reservations'!$P5="In House")),COUNTIFS('Reservations'!$G$2:'Reservations'!$G5,$B$5,'Reservations'!$P$2:'Reservations'!$P5,"Confirmed")+COUNTIFS('Reservations'!$G$2:'Reservations'!$G5,$B$5,'Reservations'!$P$2:'Reservations'!$P5,"In House"),""),"")</f>
        <v/>
      </c>
      <c r="W5">
        <f>IFERROR(IF(AND('Reservations'!$H5=$B$5,OR('Reservations'!$P5="In House",'Reservations'!$P5="Checked Out")),COUNTIFS('Reservations'!$H$2:'Reservations'!$H5,$B$5,'Reservations'!$P$2:'Reservations'!$P5,"In House")+COUNTIFS('Reservations'!$H$2:'Reservations'!$H5,$B$5,'Reservations'!$P$2:'Reservations'!$P5,"Checked Out"),""),"")</f>
        <v/>
      </c>
      <c r="X5" t="inlineStr">
        <is>
          <t>April</t>
        </is>
      </c>
      <c r="Y5" s="40">
        <f>IFERROR(SUMIFS('Reservations'!$W$2:$W$251,'Reservations'!$G$2:$G$251,"&gt;="&amp;DATE(2026,4,1),'Reservations'!$G$2:$G$251,"&lt;"&amp;DATE(2026,5,1),'Reservations'!$P$2:$P$251,"&lt;&gt;Cancelled",'Reservations'!$P$2:$P$251,"&lt;&gt;No Show"),0)</f>
        <v/>
      </c>
    </row>
    <row r="6">
      <c r="T6" t="inlineStr">
        <is>
          <t>Checked Out</t>
        </is>
      </c>
      <c r="U6">
        <f>IFERROR(COUNTIFS('Reservations'!$G$2:$G$251,"&gt;="&amp;$E$5,'Reservations'!$G$2:$G$251,"&lt;="&amp;$H$5,'Reservations'!$P$2:$P$251,T6),0)</f>
        <v/>
      </c>
      <c r="V6">
        <f>IFERROR(IF(AND('Reservations'!$G6=$B$5,OR('Reservations'!$P6="Confirmed",'Reservations'!$P6="In House")),COUNTIFS('Reservations'!$G$2:'Reservations'!$G6,$B$5,'Reservations'!$P$2:'Reservations'!$P6,"Confirmed")+COUNTIFS('Reservations'!$G$2:'Reservations'!$G6,$B$5,'Reservations'!$P$2:'Reservations'!$P6,"In House"),""),"")</f>
        <v/>
      </c>
      <c r="W6">
        <f>IFERROR(IF(AND('Reservations'!$H6=$B$5,OR('Reservations'!$P6="In House",'Reservations'!$P6="Checked Out")),COUNTIFS('Reservations'!$H$2:'Reservations'!$H6,$B$5,'Reservations'!$P$2:'Reservations'!$P6,"In House")+COUNTIFS('Reservations'!$H$2:'Reservations'!$H6,$B$5,'Reservations'!$P$2:'Reservations'!$P6,"Checked Out"),""),"")</f>
        <v/>
      </c>
      <c r="X6" t="inlineStr">
        <is>
          <t>May</t>
        </is>
      </c>
      <c r="Y6" s="40">
        <f>IFERROR(SUMIFS('Reservations'!$W$2:$W$251,'Reservations'!$G$2:$G$251,"&gt;="&amp;DATE(2026,5,1),'Reservations'!$G$2:$G$251,"&lt;"&amp;DATE(2026,6,1),'Reservations'!$P$2:$P$251,"&lt;&gt;Cancelled",'Reservations'!$P$2:$P$251,"&lt;&gt;No Show"),0)</f>
        <v/>
      </c>
    </row>
    <row r="7">
      <c r="A7" s="7" t="inlineStr">
        <is>
          <t>Business-Date KPIs</t>
        </is>
      </c>
      <c r="B7" s="8" t="n"/>
      <c r="C7" s="8" t="n"/>
      <c r="D7" s="8" t="n"/>
      <c r="E7" s="8" t="n"/>
      <c r="F7" s="8" t="n"/>
      <c r="G7" s="8" t="n"/>
      <c r="H7" s="8" t="n"/>
      <c r="T7" t="inlineStr">
        <is>
          <t>Cancelled</t>
        </is>
      </c>
      <c r="U7">
        <f>IFERROR(COUNTIFS('Reservations'!$G$2:$G$251,"&gt;="&amp;$E$5,'Reservations'!$G$2:$G$251,"&lt;="&amp;$H$5,'Reservations'!$P$2:$P$251,T7),0)</f>
        <v/>
      </c>
      <c r="V7">
        <f>IFERROR(IF(AND('Reservations'!$G7=$B$5,OR('Reservations'!$P7="Confirmed",'Reservations'!$P7="In House")),COUNTIFS('Reservations'!$G$2:'Reservations'!$G7,$B$5,'Reservations'!$P$2:'Reservations'!$P7,"Confirmed")+COUNTIFS('Reservations'!$G$2:'Reservations'!$G7,$B$5,'Reservations'!$P$2:'Reservations'!$P7,"In House"),""),"")</f>
        <v/>
      </c>
      <c r="W7">
        <f>IFERROR(IF(AND('Reservations'!$H7=$B$5,OR('Reservations'!$P7="In House",'Reservations'!$P7="Checked Out")),COUNTIFS('Reservations'!$H$2:'Reservations'!$H7,$B$5,'Reservations'!$P$2:'Reservations'!$P7,"In House")+COUNTIFS('Reservations'!$H$2:'Reservations'!$H7,$B$5,'Reservations'!$P$2:'Reservations'!$P7,"Checked Out"),""),"")</f>
        <v/>
      </c>
      <c r="X7" t="inlineStr">
        <is>
          <t>June</t>
        </is>
      </c>
      <c r="Y7" s="40">
        <f>IFERROR(SUMIFS('Reservations'!$W$2:$W$251,'Reservations'!$G$2:$G$251,"&gt;="&amp;DATE(2026,6,1),'Reservations'!$G$2:$G$251,"&lt;"&amp;DATE(2026,7,1),'Reservations'!$P$2:$P$251,"&lt;&gt;Cancelled",'Reservations'!$P$2:$P$251,"&lt;&gt;No Show"),0)</f>
        <v/>
      </c>
    </row>
    <row r="8">
      <c r="A8" s="9" t="inlineStr">
        <is>
          <t>Arrivals Today</t>
        </is>
      </c>
      <c r="B8" s="10">
        <f>IFERROR(COUNTIFS('Reservations'!$G$2:$G$251,$B$5,'Reservations'!$P$2:$P$251,"Confirmed")+COUNTIFS('Reservations'!$G$2:$G$251,$B$5,'Reservations'!$P$2:$P$251,"In House"),0)</f>
        <v/>
      </c>
      <c r="D8" s="9" t="inlineStr">
        <is>
          <t>Departures Today</t>
        </is>
      </c>
      <c r="E8" s="9" t="inlineStr">
        <is>
          <t>Rooms Occupied</t>
        </is>
      </c>
      <c r="F8" s="10">
        <f>IFERROR(SUMIFS('Reservations'!$J$2:$J$251,'Reservations'!$G$2:$G$251,"&lt;="&amp;$B$5,'Reservations'!$H$2:$H$251,"&gt;"&amp;$B$5,'Reservations'!$P$2:$P$251,"Confirmed")+SUMIFS('Reservations'!$J$2:$J$251,'Reservations'!$G$2:$G$251,"&lt;="&amp;$B$5,'Reservations'!$H$2:$H$251,"&gt;"&amp;$B$5,'Reservations'!$P$2:$P$251,"In House"),0)</f>
        <v/>
      </c>
      <c r="G8" s="9" t="inlineStr">
        <is>
          <t>Available Rooms</t>
        </is>
      </c>
      <c r="H8" s="10">
        <f>IFERROR(MAX(0,'Setup &amp; Lists'!$B$5-$F$8),0)</f>
        <v/>
      </c>
      <c r="T8" t="inlineStr">
        <is>
          <t>No Show</t>
        </is>
      </c>
      <c r="U8">
        <f>IFERROR(COUNTIFS('Reservations'!$G$2:$G$251,"&gt;="&amp;$E$5,'Reservations'!$G$2:$G$251,"&lt;="&amp;$H$5,'Reservations'!$P$2:$P$251,T8),0)</f>
        <v/>
      </c>
      <c r="V8">
        <f>IFERROR(IF(AND('Reservations'!$G8=$B$5,OR('Reservations'!$P8="Confirmed",'Reservations'!$P8="In House")),COUNTIFS('Reservations'!$G$2:'Reservations'!$G8,$B$5,'Reservations'!$P$2:'Reservations'!$P8,"Confirmed")+COUNTIFS('Reservations'!$G$2:'Reservations'!$G8,$B$5,'Reservations'!$P$2:'Reservations'!$P8,"In House"),""),"")</f>
        <v/>
      </c>
      <c r="W8">
        <f>IFERROR(IF(AND('Reservations'!$H8=$B$5,OR('Reservations'!$P8="In House",'Reservations'!$P8="Checked Out")),COUNTIFS('Reservations'!$H$2:'Reservations'!$H8,$B$5,'Reservations'!$P$2:'Reservations'!$P8,"In House")+COUNTIFS('Reservations'!$H$2:'Reservations'!$H8,$B$5,'Reservations'!$P$2:'Reservations'!$P8,"Checked Out"),""),"")</f>
        <v/>
      </c>
      <c r="X8" t="inlineStr">
        <is>
          <t>July</t>
        </is>
      </c>
      <c r="Y8" s="40">
        <f>IFERROR(SUMIFS('Reservations'!$W$2:$W$251,'Reservations'!$G$2:$G$251,"&gt;="&amp;DATE(2026,7,1),'Reservations'!$G$2:$G$251,"&lt;"&amp;DATE(2026,8,1),'Reservations'!$P$2:$P$251,"&lt;&gt;Cancelled",'Reservations'!$P$2:$P$251,"&lt;&gt;No Show"),0)</f>
        <v/>
      </c>
    </row>
    <row r="9">
      <c r="U9">
        <f>""</f>
        <v/>
      </c>
      <c r="V9">
        <f>IFERROR(IF(AND('Reservations'!$G9=$B$5,OR('Reservations'!$P9="Confirmed",'Reservations'!$P9="In House")),COUNTIFS('Reservations'!$G$2:'Reservations'!$G9,$B$5,'Reservations'!$P$2:'Reservations'!$P9,"Confirmed")+COUNTIFS('Reservations'!$G$2:'Reservations'!$G9,$B$5,'Reservations'!$P$2:'Reservations'!$P9,"In House"),""),"")</f>
        <v/>
      </c>
      <c r="W9">
        <f>IFERROR(IF(AND('Reservations'!$H9=$B$5,OR('Reservations'!$P9="In House",'Reservations'!$P9="Checked Out")),COUNTIFS('Reservations'!$H$2:'Reservations'!$H9,$B$5,'Reservations'!$P$2:'Reservations'!$P9,"In House")+COUNTIFS('Reservations'!$H$2:'Reservations'!$H9,$B$5,'Reservations'!$P$2:'Reservations'!$P9,"Checked Out"),""),"")</f>
        <v/>
      </c>
      <c r="X9" t="inlineStr">
        <is>
          <t>August</t>
        </is>
      </c>
      <c r="Y9" s="40">
        <f>IFERROR(SUMIFS('Reservations'!$W$2:$W$251,'Reservations'!$G$2:$G$251,"&gt;="&amp;DATE(2026,8,1),'Reservations'!$G$2:$G$251,"&lt;"&amp;DATE(2026,9,1),'Reservations'!$P$2:$P$251,"&lt;&gt;Cancelled",'Reservations'!$P$2:$P$251,"&lt;&gt;No Show"),0)</f>
        <v/>
      </c>
    </row>
    <row r="10">
      <c r="U10">
        <f>""</f>
        <v/>
      </c>
      <c r="V10">
        <f>IFERROR(IF(AND('Reservations'!$G10=$B$5,OR('Reservations'!$P10="Confirmed",'Reservations'!$P10="In House")),COUNTIFS('Reservations'!$G$2:'Reservations'!$G10,$B$5,'Reservations'!$P$2:'Reservations'!$P10,"Confirmed")+COUNTIFS('Reservations'!$G$2:'Reservations'!$G10,$B$5,'Reservations'!$P$2:'Reservations'!$P10,"In House"),""),"")</f>
        <v/>
      </c>
      <c r="W10">
        <f>IFERROR(IF(AND('Reservations'!$H10=$B$5,OR('Reservations'!$P10="In House",'Reservations'!$P10="Checked Out")),COUNTIFS('Reservations'!$H$2:'Reservations'!$H10,$B$5,'Reservations'!$P$2:'Reservations'!$P10,"In House")+COUNTIFS('Reservations'!$H$2:'Reservations'!$H10,$B$5,'Reservations'!$P$2:'Reservations'!$P10,"Checked Out"),""),"")</f>
        <v/>
      </c>
      <c r="X10" t="inlineStr">
        <is>
          <t>September</t>
        </is>
      </c>
      <c r="Y10" s="40">
        <f>IFERROR(SUMIFS('Reservations'!$W$2:$W$251,'Reservations'!$G$2:$G$251,"&gt;="&amp;DATE(2026,9,1),'Reservations'!$G$2:$G$251,"&lt;"&amp;DATE(2026,10,1),'Reservations'!$P$2:$P$251,"&lt;&gt;Cancelled",'Reservations'!$P$2:$P$251,"&lt;&gt;No Show"),0)</f>
        <v/>
      </c>
    </row>
    <row r="11">
      <c r="A11" s="9" t="inlineStr">
        <is>
          <t>Occupancy</t>
        </is>
      </c>
      <c r="B11" s="42">
        <f>IFERROR($F$8/'Setup &amp; Lists'!$B$5,0)</f>
        <v/>
      </c>
      <c r="D11" s="9" t="inlineStr">
        <is>
          <t>Guests In House</t>
        </is>
      </c>
      <c r="E11" s="10">
        <f>IFERROR(SUMIFS('Reservations'!$K$2:$K$251,'Reservations'!$G$2:$G$251,"&lt;="&amp;$B$5,'Reservations'!$H$2:$H$251,"&gt;"&amp;$B$5,'Reservations'!$P$2:$P$251,"Confirmed")+SUMIFS('Reservations'!$L$2:$L$251,'Reservations'!$G$2:$G$251,"&lt;="&amp;$B$5,'Reservations'!$H$2:$H$251,"&gt;"&amp;$B$5,'Reservations'!$P$2:$P$251,"Confirmed"),0)</f>
        <v/>
      </c>
      <c r="U11">
        <f>""</f>
        <v/>
      </c>
      <c r="V11">
        <f>IFERROR(IF(AND('Reservations'!$G11=$B$5,OR('Reservations'!$P11="Confirmed",'Reservations'!$P11="In House")),COUNTIFS('Reservations'!$G$2:'Reservations'!$G11,$B$5,'Reservations'!$P$2:'Reservations'!$P11,"Confirmed")+COUNTIFS('Reservations'!$G$2:'Reservations'!$G11,$B$5,'Reservations'!$P$2:'Reservations'!$P11,"In House"),""),"")</f>
        <v/>
      </c>
      <c r="W11">
        <f>IFERROR(IF(AND('Reservations'!$H11=$B$5,OR('Reservations'!$P11="In House",'Reservations'!$P11="Checked Out")),COUNTIFS('Reservations'!$H$2:'Reservations'!$H11,$B$5,'Reservations'!$P$2:'Reservations'!$P11,"In House")+COUNTIFS('Reservations'!$H$2:'Reservations'!$H11,$B$5,'Reservations'!$P$2:'Reservations'!$P11,"Checked Out"),""),"")</f>
        <v/>
      </c>
      <c r="X11" t="inlineStr">
        <is>
          <t>October</t>
        </is>
      </c>
      <c r="Y11" s="40">
        <f>IFERROR(SUMIFS('Reservations'!$W$2:$W$251,'Reservations'!$G$2:$G$251,"&gt;="&amp;DATE(2026,10,1),'Reservations'!$G$2:$G$251,"&lt;"&amp;DATE(2026,11,1),'Reservations'!$P$2:$P$251,"&lt;&gt;Cancelled",'Reservations'!$P$2:$P$251,"&lt;&gt;No Show"),0)</f>
        <v/>
      </c>
    </row>
    <row r="12">
      <c r="U12">
        <f>""</f>
        <v/>
      </c>
      <c r="V12">
        <f>IFERROR(IF(AND('Reservations'!$G12=$B$5,OR('Reservations'!$P12="Confirmed",'Reservations'!$P12="In House")),COUNTIFS('Reservations'!$G$2:'Reservations'!$G12,$B$5,'Reservations'!$P$2:'Reservations'!$P12,"Confirmed")+COUNTIFS('Reservations'!$G$2:'Reservations'!$G12,$B$5,'Reservations'!$P$2:'Reservations'!$P12,"In House"),""),"")</f>
        <v/>
      </c>
      <c r="W12">
        <f>IFERROR(IF(AND('Reservations'!$H12=$B$5,OR('Reservations'!$P12="In House",'Reservations'!$P12="Checked Out")),COUNTIFS('Reservations'!$H$2:'Reservations'!$H12,$B$5,'Reservations'!$P$2:'Reservations'!$P12,"In House")+COUNTIFS('Reservations'!$H$2:'Reservations'!$H12,$B$5,'Reservations'!$P$2:'Reservations'!$P12,"Checked Out"),""),"")</f>
        <v/>
      </c>
      <c r="X12" t="inlineStr">
        <is>
          <t>November</t>
        </is>
      </c>
      <c r="Y12" s="40">
        <f>IFERROR(SUMIFS('Reservations'!$W$2:$W$251,'Reservations'!$G$2:$G$251,"&gt;="&amp;DATE(2026,11,1),'Reservations'!$G$2:$G$251,"&lt;"&amp;DATE(2026,12,1),'Reservations'!$P$2:$P$251,"&lt;&gt;Cancelled",'Reservations'!$P$2:$P$251,"&lt;&gt;No Show"),0)</f>
        <v/>
      </c>
    </row>
    <row r="13">
      <c r="U13">
        <f>""</f>
        <v/>
      </c>
      <c r="V13">
        <f>IFERROR(IF(AND('Reservations'!$G13=$B$5,OR('Reservations'!$P13="Confirmed",'Reservations'!$P13="In House")),COUNTIFS('Reservations'!$G$2:'Reservations'!$G13,$B$5,'Reservations'!$P$2:'Reservations'!$P13,"Confirmed")+COUNTIFS('Reservations'!$G$2:'Reservations'!$G13,$B$5,'Reservations'!$P$2:'Reservations'!$P13,"In House"),""),"")</f>
        <v/>
      </c>
      <c r="W13">
        <f>IFERROR(IF(AND('Reservations'!$H13=$B$5,OR('Reservations'!$P13="In House",'Reservations'!$P13="Checked Out")),COUNTIFS('Reservations'!$H$2:'Reservations'!$H13,$B$5,'Reservations'!$P$2:'Reservations'!$P13,"In House")+COUNTIFS('Reservations'!$H$2:'Reservations'!$H13,$B$5,'Reservations'!$P$2:'Reservations'!$P13,"Checked Out"),""),"")</f>
        <v/>
      </c>
      <c r="X13" t="inlineStr">
        <is>
          <t>December</t>
        </is>
      </c>
      <c r="Y13" s="40">
        <f>IFERROR(SUMIFS('Reservations'!$W$2:$W$251,'Reservations'!$G$2:$G$251,"&gt;="&amp;DATE(2026,12,1),'Reservations'!$G$2:$G$251,"&lt;"&amp;DATE(2026,13,1),'Reservations'!$P$2:$P$251,"&lt;&gt;Cancelled",'Reservations'!$P$2:$P$251,"&lt;&gt;No Show"),0)</f>
        <v/>
      </c>
    </row>
    <row r="14">
      <c r="A14" s="7" t="inlineStr">
        <is>
          <t>Reporting-Period KPIs</t>
        </is>
      </c>
      <c r="B14" s="8" t="n"/>
      <c r="C14" s="8" t="n"/>
      <c r="D14" s="8" t="n"/>
      <c r="E14" s="8" t="n"/>
      <c r="F14" s="8" t="n"/>
      <c r="G14" s="8" t="n"/>
      <c r="H14" s="8" t="n"/>
      <c r="U14">
        <f>""</f>
        <v/>
      </c>
      <c r="V14">
        <f>IFERROR(IF(AND('Reservations'!$G14=$B$5,OR('Reservations'!$P14="Confirmed",'Reservations'!$P14="In House")),COUNTIFS('Reservations'!$G$2:'Reservations'!$G14,$B$5,'Reservations'!$P$2:'Reservations'!$P14,"Confirmed")+COUNTIFS('Reservations'!$G$2:'Reservations'!$G14,$B$5,'Reservations'!$P$2:'Reservations'!$P14,"In House"),""),"")</f>
        <v/>
      </c>
      <c r="W14">
        <f>IFERROR(IF(AND('Reservations'!$H14=$B$5,OR('Reservations'!$P14="In House",'Reservations'!$P14="Checked Out")),COUNTIFS('Reservations'!$H$2:'Reservations'!$H14,$B$5,'Reservations'!$P$2:'Reservations'!$P14,"In House")+COUNTIFS('Reservations'!$H$2:'Reservations'!$H14,$B$5,'Reservations'!$P$2:'Reservations'!$P14,"Checked Out"),""),"")</f>
        <v/>
      </c>
      <c r="Y14">
        <f>""</f>
        <v/>
      </c>
    </row>
    <row r="15">
      <c r="A15" s="9" t="inlineStr">
        <is>
          <t>Reservations Booked</t>
        </is>
      </c>
      <c r="B15" s="12">
        <f>IFERROR(COUNTIFS('Reservations'!$C$2:$C$251,"&gt;="&amp;$E$5,'Reservations'!$C$2:$C$251,"&lt;="&amp;$H$5),0)</f>
        <v/>
      </c>
      <c r="D15" s="9" t="inlineStr">
        <is>
          <t>Room Revenue</t>
        </is>
      </c>
      <c r="E15" s="43">
        <f>IFERROR(SUMIFS('Reservations'!$W$2:$W$251,'Reservations'!$G$2:$G$251,"&gt;="&amp;$E$5,'Reservations'!$G$2:$G$251,"&lt;="&amp;$H$5,'Reservations'!$P$2:$P$251,"&lt;&gt;Cancelled",'Reservations'!$P$2:$P$251,"&lt;&gt;No Show"),0)</f>
        <v/>
      </c>
      <c r="G15" s="9" t="inlineStr">
        <is>
          <t>Total Reservation Value</t>
        </is>
      </c>
      <c r="H15" s="43">
        <f>IFERROR(SUMIFS('Reservations'!$Z$2:$Z$251,'Reservations'!$G$2:$G$251,"&gt;="&amp;$E$5,'Reservations'!$G$2:$G$251,"&lt;="&amp;$H$5,'Reservations'!$P$2:$P$251,"&lt;&gt;Cancelled",'Reservations'!$P$2:$P$251,"&lt;&gt;No Show"),0)</f>
        <v/>
      </c>
      <c r="U15">
        <f>""</f>
        <v/>
      </c>
      <c r="V15">
        <f>IFERROR(IF(AND('Reservations'!$G15=$B$5,OR('Reservations'!$P15="Confirmed",'Reservations'!$P15="In House")),COUNTIFS('Reservations'!$G$2:'Reservations'!$G15,$B$5,'Reservations'!$P$2:'Reservations'!$P15,"Confirmed")+COUNTIFS('Reservations'!$G$2:'Reservations'!$G15,$B$5,'Reservations'!$P$2:'Reservations'!$P15,"In House"),""),"")</f>
        <v/>
      </c>
      <c r="W15">
        <f>IFERROR(IF(AND('Reservations'!$H15=$B$5,OR('Reservations'!$P15="In House",'Reservations'!$P15="Checked Out")),COUNTIFS('Reservations'!$H$2:'Reservations'!$H15,$B$5,'Reservations'!$P$2:'Reservations'!$P15,"In House")+COUNTIFS('Reservations'!$H$2:'Reservations'!$H15,$B$5,'Reservations'!$P$2:'Reservations'!$P15,"Checked Out"),""),"")</f>
        <v/>
      </c>
      <c r="Y15">
        <f>""</f>
        <v/>
      </c>
    </row>
    <row r="16">
      <c r="U16">
        <f>""</f>
        <v/>
      </c>
      <c r="V16">
        <f>IFERROR(IF(AND('Reservations'!$G16=$B$5,OR('Reservations'!$P16="Confirmed",'Reservations'!$P16="In House")),COUNTIFS('Reservations'!$G$2:'Reservations'!$G16,$B$5,'Reservations'!$P$2:'Reservations'!$P16,"Confirmed")+COUNTIFS('Reservations'!$G$2:'Reservations'!$G16,$B$5,'Reservations'!$P$2:'Reservations'!$P16,"In House"),""),"")</f>
        <v/>
      </c>
      <c r="W16">
        <f>IFERROR(IF(AND('Reservations'!$H16=$B$5,OR('Reservations'!$P16="In House",'Reservations'!$P16="Checked Out")),COUNTIFS('Reservations'!$H$2:'Reservations'!$H16,$B$5,'Reservations'!$P$2:'Reservations'!$P16,"In House")+COUNTIFS('Reservations'!$H$2:'Reservations'!$H16,$B$5,'Reservations'!$P$2:'Reservations'!$P16,"Checked Out"),""),"")</f>
        <v/>
      </c>
      <c r="Y16">
        <f>""</f>
        <v/>
      </c>
    </row>
    <row r="17">
      <c r="U17">
        <f>""</f>
        <v/>
      </c>
      <c r="V17">
        <f>IFERROR(IF(AND('Reservations'!$G17=$B$5,OR('Reservations'!$P17="Confirmed",'Reservations'!$P17="In House")),COUNTIFS('Reservations'!$G$2:'Reservations'!$G17,$B$5,'Reservations'!$P$2:'Reservations'!$P17,"Confirmed")+COUNTIFS('Reservations'!$G$2:'Reservations'!$G17,$B$5,'Reservations'!$P$2:'Reservations'!$P17,"In House"),""),"")</f>
        <v/>
      </c>
      <c r="W17">
        <f>IFERROR(IF(AND('Reservations'!$H17=$B$5,OR('Reservations'!$P17="In House",'Reservations'!$P17="Checked Out")),COUNTIFS('Reservations'!$H$2:'Reservations'!$H17,$B$5,'Reservations'!$P$2:'Reservations'!$P17,"In House")+COUNTIFS('Reservations'!$H$2:'Reservations'!$H17,$B$5,'Reservations'!$P$2:'Reservations'!$P17,"Checked Out"),""),"")</f>
        <v/>
      </c>
      <c r="Y17">
        <f>""</f>
        <v/>
      </c>
    </row>
    <row r="18">
      <c r="A18" s="9" t="inlineStr">
        <is>
          <t>Outstanding Balance</t>
        </is>
      </c>
      <c r="B18" s="43">
        <f>IFERROR(SUMIFS('Reservations'!$AD$2:$AD$251,'Reservations'!$G$2:$G$251,"&gt;="&amp;$E$5,'Reservations'!$G$2:$G$251,"&lt;="&amp;$H$5,'Reservations'!$P$2:$P$251,"&lt;&gt;Cancelled"),0)</f>
        <v/>
      </c>
      <c r="D18" s="9" t="inlineStr">
        <is>
          <t>Average Daily Rate</t>
        </is>
      </c>
      <c r="E18" s="43">
        <f>IFERROR($E$15/SUMIFS('Reservations'!$I$2:$I$251,'Reservations'!$G$2:$G$251,"&gt;="&amp;$E$5,'Reservations'!$G$2:$G$251,"&lt;="&amp;$H$5,'Reservations'!$P$2:$P$251,"&lt;&gt;Cancelled",'Reservations'!$P$2:$P$251,"&lt;&gt;No Show"),0)</f>
        <v/>
      </c>
      <c r="G18" s="9" t="inlineStr">
        <is>
          <t>Average Length of Stay</t>
        </is>
      </c>
      <c r="H18" s="44">
        <f>IFERROR(SUMIFS('Reservations'!$I$2:$I$251,'Reservations'!$G$2:$G$251,"&gt;="&amp;$E$5,'Reservations'!$G$2:$G$251,"&lt;="&amp;$H$5)/COUNTIFS('Reservations'!$G$2:$G$251,"&gt;="&amp;$E$5,'Reservations'!$G$2:$G$251,"&lt;="&amp;$H$5),0)</f>
        <v/>
      </c>
      <c r="U18">
        <f>""</f>
        <v/>
      </c>
      <c r="V18">
        <f>IFERROR(IF(AND('Reservations'!$G18=$B$5,OR('Reservations'!$P18="Confirmed",'Reservations'!$P18="In House")),COUNTIFS('Reservations'!$G$2:'Reservations'!$G18,$B$5,'Reservations'!$P$2:'Reservations'!$P18,"Confirmed")+COUNTIFS('Reservations'!$G$2:'Reservations'!$G18,$B$5,'Reservations'!$P$2:'Reservations'!$P18,"In House"),""),"")</f>
        <v/>
      </c>
      <c r="W18">
        <f>IFERROR(IF(AND('Reservations'!$H18=$B$5,OR('Reservations'!$P18="In House",'Reservations'!$P18="Checked Out")),COUNTIFS('Reservations'!$H$2:'Reservations'!$H18,$B$5,'Reservations'!$P$2:'Reservations'!$P18,"In House")+COUNTIFS('Reservations'!$H$2:'Reservations'!$H18,$B$5,'Reservations'!$P$2:'Reservations'!$P18,"Checked Out"),""),"")</f>
        <v/>
      </c>
      <c r="Y18">
        <f>""</f>
        <v/>
      </c>
    </row>
    <row r="19">
      <c r="U19">
        <f>""</f>
        <v/>
      </c>
      <c r="V19">
        <f>IFERROR(IF(AND('Reservations'!$G19=$B$5,OR('Reservations'!$P19="Confirmed",'Reservations'!$P19="In House")),COUNTIFS('Reservations'!$G$2:'Reservations'!$G19,$B$5,'Reservations'!$P$2:'Reservations'!$P19,"Confirmed")+COUNTIFS('Reservations'!$G$2:'Reservations'!$G19,$B$5,'Reservations'!$P$2:'Reservations'!$P19,"In House"),""),"")</f>
        <v/>
      </c>
      <c r="W19">
        <f>IFERROR(IF(AND('Reservations'!$H19=$B$5,OR('Reservations'!$P19="In House",'Reservations'!$P19="Checked Out")),COUNTIFS('Reservations'!$H$2:'Reservations'!$H19,$B$5,'Reservations'!$P$2:'Reservations'!$P19,"In House")+COUNTIFS('Reservations'!$H$2:'Reservations'!$H19,$B$5,'Reservations'!$P$2:'Reservations'!$P19,"Checked Out"),""),"")</f>
        <v/>
      </c>
      <c r="Y19">
        <f>""</f>
        <v/>
      </c>
    </row>
    <row r="20">
      <c r="U20">
        <f>""</f>
        <v/>
      </c>
      <c r="V20">
        <f>IFERROR(IF(AND('Reservations'!$G20=$B$5,OR('Reservations'!$P20="Confirmed",'Reservations'!$P20="In House")),COUNTIFS('Reservations'!$G$2:'Reservations'!$G20,$B$5,'Reservations'!$P$2:'Reservations'!$P20,"Confirmed")+COUNTIFS('Reservations'!$G$2:'Reservations'!$G20,$B$5,'Reservations'!$P$2:'Reservations'!$P20,"In House"),""),"")</f>
        <v/>
      </c>
      <c r="W20">
        <f>IFERROR(IF(AND('Reservations'!$H20=$B$5,OR('Reservations'!$P20="In House",'Reservations'!$P20="Checked Out")),COUNTIFS('Reservations'!$H$2:'Reservations'!$H20,$B$5,'Reservations'!$P$2:'Reservations'!$P20,"In House")+COUNTIFS('Reservations'!$H$2:'Reservations'!$H20,$B$5,'Reservations'!$P$2:'Reservations'!$P20,"Checked Out"),""),"")</f>
        <v/>
      </c>
      <c r="Y20">
        <f>""</f>
        <v/>
      </c>
    </row>
    <row r="21">
      <c r="A21" s="9" t="inlineStr">
        <is>
          <t>Cancellation Rate</t>
        </is>
      </c>
      <c r="B21" s="45">
        <f>IFERROR(COUNTIFS('Reservations'!$C$2:$C$251,"&gt;="&amp;$E$5,'Reservations'!$C$2:$C$251,"&lt;="&amp;$H$5,'Reservations'!$P$2:$P$251,"Cancelled")/$B$15,0)</f>
        <v/>
      </c>
      <c r="U21">
        <f>""</f>
        <v/>
      </c>
      <c r="V21">
        <f>IFERROR(IF(AND('Reservations'!$G21=$B$5,OR('Reservations'!$P21="Confirmed",'Reservations'!$P21="In House")),COUNTIFS('Reservations'!$G$2:'Reservations'!$G21,$B$5,'Reservations'!$P$2:'Reservations'!$P21,"Confirmed")+COUNTIFS('Reservations'!$G$2:'Reservations'!$G21,$B$5,'Reservations'!$P$2:'Reservations'!$P21,"In House"),""),"")</f>
        <v/>
      </c>
      <c r="W21">
        <f>IFERROR(IF(AND('Reservations'!$H21=$B$5,OR('Reservations'!$P21="In House",'Reservations'!$P21="Checked Out")),COUNTIFS('Reservations'!$H$2:'Reservations'!$H21,$B$5,'Reservations'!$P$2:'Reservations'!$P21,"In House")+COUNTIFS('Reservations'!$H$2:'Reservations'!$H21,$B$5,'Reservations'!$P$2:'Reservations'!$P21,"Checked Out"),""),"")</f>
        <v/>
      </c>
      <c r="Y21">
        <f>""</f>
        <v/>
      </c>
    </row>
    <row r="22">
      <c r="U22">
        <f>""</f>
        <v/>
      </c>
      <c r="V22">
        <f>IFERROR(IF(AND('Reservations'!$G22=$B$5,OR('Reservations'!$P22="Confirmed",'Reservations'!$P22="In House")),COUNTIFS('Reservations'!$G$2:'Reservations'!$G22,$B$5,'Reservations'!$P$2:'Reservations'!$P22,"Confirmed")+COUNTIFS('Reservations'!$G$2:'Reservations'!$G22,$B$5,'Reservations'!$P$2:'Reservations'!$P22,"In House"),""),"")</f>
        <v/>
      </c>
      <c r="W22">
        <f>IFERROR(IF(AND('Reservations'!$H22=$B$5,OR('Reservations'!$P22="In House",'Reservations'!$P22="Checked Out")),COUNTIFS('Reservations'!$H$2:'Reservations'!$H22,$B$5,'Reservations'!$P$2:'Reservations'!$P22,"In House")+COUNTIFS('Reservations'!$H$2:'Reservations'!$H22,$B$5,'Reservations'!$P$2:'Reservations'!$P22,"Checked Out"),""),"")</f>
        <v/>
      </c>
      <c r="Y22">
        <f>""</f>
        <v/>
      </c>
    </row>
    <row r="23">
      <c r="U23">
        <f>""</f>
        <v/>
      </c>
      <c r="V23">
        <f>IFERROR(IF(AND('Reservations'!$G23=$B$5,OR('Reservations'!$P23="Confirmed",'Reservations'!$P23="In House")),COUNTIFS('Reservations'!$G$2:'Reservations'!$G23,$B$5,'Reservations'!$P$2:'Reservations'!$P23,"Confirmed")+COUNTIFS('Reservations'!$G$2:'Reservations'!$G23,$B$5,'Reservations'!$P$2:'Reservations'!$P23,"In House"),""),"")</f>
        <v/>
      </c>
      <c r="W23">
        <f>IFERROR(IF(AND('Reservations'!$H23=$B$5,OR('Reservations'!$P23="In House",'Reservations'!$P23="Checked Out")),COUNTIFS('Reservations'!$H$2:'Reservations'!$H23,$B$5,'Reservations'!$P$2:'Reservations'!$P23,"In House")+COUNTIFS('Reservations'!$H$2:'Reservations'!$H23,$B$5,'Reservations'!$P$2:'Reservations'!$P23,"Checked Out"),""),"")</f>
        <v/>
      </c>
      <c r="Y23">
        <f>""</f>
        <v/>
      </c>
    </row>
    <row r="24">
      <c r="A24" s="7" t="inlineStr">
        <is>
          <t>Action Needed</t>
        </is>
      </c>
      <c r="B24" s="8" t="n"/>
      <c r="C24" s="8" t="n"/>
      <c r="D24" s="8" t="n"/>
      <c r="E24" s="8" t="n"/>
      <c r="F24" s="8" t="n"/>
      <c r="G24" s="8" t="n"/>
      <c r="H24" s="8" t="n"/>
      <c r="U24">
        <f>""</f>
        <v/>
      </c>
      <c r="V24">
        <f>IFERROR(IF(AND('Reservations'!$G24=$B$5,OR('Reservations'!$P24="Confirmed",'Reservations'!$P24="In House")),COUNTIFS('Reservations'!$G$2:'Reservations'!$G24,$B$5,'Reservations'!$P$2:'Reservations'!$P24,"Confirmed")+COUNTIFS('Reservations'!$G$2:'Reservations'!$G24,$B$5,'Reservations'!$P$2:'Reservations'!$P24,"In House"),""),"")</f>
        <v/>
      </c>
      <c r="W24">
        <f>IFERROR(IF(AND('Reservations'!$H24=$B$5,OR('Reservations'!$P24="In House",'Reservations'!$P24="Checked Out")),COUNTIFS('Reservations'!$H$2:'Reservations'!$H24,$B$5,'Reservations'!$P$2:'Reservations'!$P24,"In House")+COUNTIFS('Reservations'!$H$2:'Reservations'!$H24,$B$5,'Reservations'!$P$2:'Reservations'!$P24,"Checked Out"),""),"")</f>
        <v/>
      </c>
      <c r="Y24">
        <f>""</f>
        <v/>
      </c>
    </row>
    <row r="25">
      <c r="A25" s="9" t="inlineStr">
        <is>
          <t>Past-Due Arrivals</t>
        </is>
      </c>
      <c r="B25" s="16">
        <f>IFERROR(COUNTIFS('Reservations'!$G$2:$G$251,"&lt;"&amp;$B$5,'Reservations'!$P$2:$P$251,"Confirmed"),0)</f>
        <v/>
      </c>
      <c r="D25" s="9" t="inlineStr">
        <is>
          <t>Unassigned Near-Term Arrivals</t>
        </is>
      </c>
      <c r="E25" s="16">
        <f>IFERROR(COUNTIFS('Reservations'!$G$2:$G$251,"&gt;="&amp;$B$5,'Reservations'!$G$2:$G$251,"&lt;="&amp;$B$5+'Setup &amp; Lists'!$B$12,'Reservations'!$P$2:$P$251,"Confirmed",'Reservations'!$Q$2:$Q$251,""),0)</f>
        <v/>
      </c>
      <c r="G25" s="9" t="inlineStr">
        <is>
          <t>Deposit Shortfalls</t>
        </is>
      </c>
      <c r="H25" s="16">
        <f>IFERROR(SUMPRODUCT(('Reservations'!$G$2:$G$251&gt;$B$5)*('Reservations'!$P$2:$P$251="Confirmed")*('Reservations'!$AC$2:$AC$251&lt;'Reservations'!$AB$2:$AB$251)),0)</f>
        <v/>
      </c>
      <c r="U25">
        <f>""</f>
        <v/>
      </c>
      <c r="V25">
        <f>IFERROR(IF(AND('Reservations'!$G25=$B$5,OR('Reservations'!$P25="Confirmed",'Reservations'!$P25="In House")),COUNTIFS('Reservations'!$G$2:'Reservations'!$G25,$B$5,'Reservations'!$P$2:'Reservations'!$P25,"Confirmed")+COUNTIFS('Reservations'!$G$2:'Reservations'!$G25,$B$5,'Reservations'!$P$2:'Reservations'!$P25,"In House"),""),"")</f>
        <v/>
      </c>
      <c r="W25">
        <f>IFERROR(IF(AND('Reservations'!$H25=$B$5,OR('Reservations'!$P25="In House",'Reservations'!$P25="Checked Out")),COUNTIFS('Reservations'!$H$2:'Reservations'!$H25,$B$5,'Reservations'!$P$2:'Reservations'!$P25,"In House")+COUNTIFS('Reservations'!$H$2:'Reservations'!$H25,$B$5,'Reservations'!$P$2:'Reservations'!$P25,"Checked Out"),""),"")</f>
        <v/>
      </c>
      <c r="Y25">
        <f>""</f>
        <v/>
      </c>
    </row>
    <row r="26">
      <c r="U26">
        <f>""</f>
        <v/>
      </c>
      <c r="V26">
        <f>IFERROR(IF(AND('Reservations'!$G26=$B$5,OR('Reservations'!$P26="Confirmed",'Reservations'!$P26="In House")),COUNTIFS('Reservations'!$G$2:'Reservations'!$G26,$B$5,'Reservations'!$P$2:'Reservations'!$P26,"Confirmed")+COUNTIFS('Reservations'!$G$2:'Reservations'!$G26,$B$5,'Reservations'!$P$2:'Reservations'!$P26,"In House"),""),"")</f>
        <v/>
      </c>
      <c r="W26">
        <f>IFERROR(IF(AND('Reservations'!$H26=$B$5,OR('Reservations'!$P26="In House",'Reservations'!$P26="Checked Out")),COUNTIFS('Reservations'!$H$2:'Reservations'!$H26,$B$5,'Reservations'!$P$2:'Reservations'!$P26,"In House")+COUNTIFS('Reservations'!$H$2:'Reservations'!$H26,$B$5,'Reservations'!$P$2:'Reservations'!$P26,"Checked Out"),""),"")</f>
        <v/>
      </c>
      <c r="Y26">
        <f>""</f>
        <v/>
      </c>
    </row>
    <row r="27">
      <c r="U27">
        <f>""</f>
        <v/>
      </c>
      <c r="V27">
        <f>IFERROR(IF(AND('Reservations'!$G27=$B$5,OR('Reservations'!$P27="Confirmed",'Reservations'!$P27="In House")),COUNTIFS('Reservations'!$G$2:'Reservations'!$G27,$B$5,'Reservations'!$P$2:'Reservations'!$P27,"Confirmed")+COUNTIFS('Reservations'!$G$2:'Reservations'!$G27,$B$5,'Reservations'!$P$2:'Reservations'!$P27,"In House"),""),"")</f>
        <v/>
      </c>
      <c r="W27">
        <f>IFERROR(IF(AND('Reservations'!$H27=$B$5,OR('Reservations'!$P27="In House",'Reservations'!$P27="Checked Out")),COUNTIFS('Reservations'!$H$2:'Reservations'!$H27,$B$5,'Reservations'!$P$2:'Reservations'!$P27,"In House")+COUNTIFS('Reservations'!$H$2:'Reservations'!$H27,$B$5,'Reservations'!$P$2:'Reservations'!$P27,"Checked Out"),""),"")</f>
        <v/>
      </c>
      <c r="Y27">
        <f>""</f>
        <v/>
      </c>
    </row>
    <row r="28">
      <c r="A28" s="9" t="inlineStr">
        <is>
          <t>Past-Due Balances</t>
        </is>
      </c>
      <c r="B28" s="16">
        <f>IFERROR(COUNTIFS('Reservations'!$H$2:$H$251,"&lt;"&amp;$B$5,'Reservations'!$AD$2:$AD$251,"&gt;0",'Reservations'!$P$2:$P$251,"&lt;&gt;Cancelled"),0)</f>
        <v/>
      </c>
      <c r="D28" s="9" t="inlineStr">
        <is>
          <t>Potential Overbooking Today</t>
        </is>
      </c>
      <c r="E28" s="16">
        <f>IFERROR(IF($F$8&gt;'Setup &amp; Lists'!$B$5,"Review","Clear"),"")</f>
        <v/>
      </c>
      <c r="G28" s="9" t="inlineStr">
        <is>
          <t>Data Issues</t>
        </is>
      </c>
      <c r="H28" s="16">
        <f>IFERROR(COUNTIF('Reservations'!$AJ$2:$AJ$251,"&lt;&gt;"),0)</f>
        <v/>
      </c>
      <c r="U28">
        <f>""</f>
        <v/>
      </c>
      <c r="V28">
        <f>IFERROR(IF(AND('Reservations'!$G28=$B$5,OR('Reservations'!$P28="Confirmed",'Reservations'!$P28="In House")),COUNTIFS('Reservations'!$G$2:'Reservations'!$G28,$B$5,'Reservations'!$P$2:'Reservations'!$P28,"Confirmed")+COUNTIFS('Reservations'!$G$2:'Reservations'!$G28,$B$5,'Reservations'!$P$2:'Reservations'!$P28,"In House"),""),"")</f>
        <v/>
      </c>
      <c r="W28">
        <f>IFERROR(IF(AND('Reservations'!$H28=$B$5,OR('Reservations'!$P28="In House",'Reservations'!$P28="Checked Out")),COUNTIFS('Reservations'!$H$2:'Reservations'!$H28,$B$5,'Reservations'!$P$2:'Reservations'!$P28,"In House")+COUNTIFS('Reservations'!$H$2:'Reservations'!$H28,$B$5,'Reservations'!$P$2:'Reservations'!$P28,"Checked Out"),""),"")</f>
        <v/>
      </c>
      <c r="Y28">
        <f>""</f>
        <v/>
      </c>
    </row>
    <row r="29">
      <c r="U29">
        <f>""</f>
        <v/>
      </c>
      <c r="V29">
        <f>IFERROR(IF(AND('Reservations'!$G29=$B$5,OR('Reservations'!$P29="Confirmed",'Reservations'!$P29="In House")),COUNTIFS('Reservations'!$G$2:'Reservations'!$G29,$B$5,'Reservations'!$P$2:'Reservations'!$P29,"Confirmed")+COUNTIFS('Reservations'!$G$2:'Reservations'!$G29,$B$5,'Reservations'!$P$2:'Reservations'!$P29,"In House"),""),"")</f>
        <v/>
      </c>
      <c r="W29">
        <f>IFERROR(IF(AND('Reservations'!$H29=$B$5,OR('Reservations'!$P29="In House",'Reservations'!$P29="Checked Out")),COUNTIFS('Reservations'!$H$2:'Reservations'!$H29,$B$5,'Reservations'!$P$2:'Reservations'!$P29,"In House")+COUNTIFS('Reservations'!$H$2:'Reservations'!$H29,$B$5,'Reservations'!$P$2:'Reservations'!$P29,"Checked Out"),""),"")</f>
        <v/>
      </c>
      <c r="Y29">
        <f>""</f>
        <v/>
      </c>
    </row>
    <row r="30">
      <c r="U30">
        <f>""</f>
        <v/>
      </c>
      <c r="V30">
        <f>IFERROR(IF(AND('Reservations'!$G30=$B$5,OR('Reservations'!$P30="Confirmed",'Reservations'!$P30="In House")),COUNTIFS('Reservations'!$G$2:'Reservations'!$G30,$B$5,'Reservations'!$P$2:'Reservations'!$P30,"Confirmed")+COUNTIFS('Reservations'!$G$2:'Reservations'!$G30,$B$5,'Reservations'!$P$2:'Reservations'!$P30,"In House"),""),"")</f>
        <v/>
      </c>
      <c r="W30">
        <f>IFERROR(IF(AND('Reservations'!$H30=$B$5,OR('Reservations'!$P30="In House",'Reservations'!$P30="Checked Out")),COUNTIFS('Reservations'!$H$2:'Reservations'!$H30,$B$5,'Reservations'!$P$2:'Reservations'!$P30,"In House")+COUNTIFS('Reservations'!$H$2:'Reservations'!$H30,$B$5,'Reservations'!$P$2:'Reservations'!$P30,"Checked Out"),""),"")</f>
        <v/>
      </c>
      <c r="Y30">
        <f>""</f>
        <v/>
      </c>
    </row>
    <row r="31">
      <c r="A31" s="7" t="inlineStr">
        <is>
          <t>Today's Arrivals</t>
        </is>
      </c>
      <c r="B31" s="8" t="n"/>
      <c r="C31" s="8" t="n"/>
      <c r="D31" s="8" t="n"/>
      <c r="E31" s="8" t="n"/>
      <c r="F31" s="8" t="n"/>
      <c r="G31" s="8" t="n"/>
      <c r="H31" s="8" t="n"/>
      <c r="I31" s="8" t="n"/>
      <c r="U31">
        <f>""</f>
        <v/>
      </c>
      <c r="V31">
        <f>IFERROR(IF(AND('Reservations'!$G31=$B$5,OR('Reservations'!$P31="Confirmed",'Reservations'!$P31="In House")),COUNTIFS('Reservations'!$G$2:'Reservations'!$G31,$B$5,'Reservations'!$P$2:'Reservations'!$P31,"Confirmed")+COUNTIFS('Reservations'!$G$2:'Reservations'!$G31,$B$5,'Reservations'!$P$2:'Reservations'!$P31,"In House"),""),"")</f>
        <v/>
      </c>
      <c r="W31">
        <f>IFERROR(IF(AND('Reservations'!$H31=$B$5,OR('Reservations'!$P31="In House",'Reservations'!$P31="Checked Out")),COUNTIFS('Reservations'!$H$2:'Reservations'!$H31,$B$5,'Reservations'!$P$2:'Reservations'!$P31,"In House")+COUNTIFS('Reservations'!$H$2:'Reservations'!$H31,$B$5,'Reservations'!$P$2:'Reservations'!$P31,"Checked Out"),""),"")</f>
        <v/>
      </c>
      <c r="Y31">
        <f>""</f>
        <v/>
      </c>
    </row>
    <row r="32">
      <c r="A32" s="17" t="inlineStr">
        <is>
          <t>Reservation ID</t>
        </is>
      </c>
      <c r="B32" s="17" t="inlineStr">
        <is>
          <t>Guest Name</t>
        </is>
      </c>
      <c r="C32" s="17" t="inlineStr">
        <is>
          <t>Arrival Date</t>
        </is>
      </c>
      <c r="D32" s="17" t="inlineStr">
        <is>
          <t>Departure Date</t>
        </is>
      </c>
      <c r="E32" s="17" t="inlineStr">
        <is>
          <t>Room Type</t>
        </is>
      </c>
      <c r="F32" s="17" t="inlineStr">
        <is>
          <t>Assigned Room</t>
        </is>
      </c>
      <c r="G32" s="17" t="inlineStr">
        <is>
          <t>Rooms</t>
        </is>
      </c>
      <c r="H32" s="17" t="inlineStr">
        <is>
          <t>Status</t>
        </is>
      </c>
      <c r="I32" s="17" t="inlineStr">
        <is>
          <t>Balance Due</t>
        </is>
      </c>
      <c r="U32">
        <f>""</f>
        <v/>
      </c>
      <c r="V32">
        <f>IFERROR(IF(AND('Reservations'!$G32=$B$5,OR('Reservations'!$P32="Confirmed",'Reservations'!$P32="In House")),COUNTIFS('Reservations'!$G$2:'Reservations'!$G32,$B$5,'Reservations'!$P$2:'Reservations'!$P32,"Confirmed")+COUNTIFS('Reservations'!$G$2:'Reservations'!$G32,$B$5,'Reservations'!$P$2:'Reservations'!$P32,"In House"),""),"")</f>
        <v/>
      </c>
      <c r="W32">
        <f>IFERROR(IF(AND('Reservations'!$H32=$B$5,OR('Reservations'!$P32="In House",'Reservations'!$P32="Checked Out")),COUNTIFS('Reservations'!$H$2:'Reservations'!$H32,$B$5,'Reservations'!$P$2:'Reservations'!$P32,"In House")+COUNTIFS('Reservations'!$H$2:'Reservations'!$H32,$B$5,'Reservations'!$P$2:'Reservations'!$P32,"Checked Out"),""),"")</f>
        <v/>
      </c>
      <c r="Y32">
        <f>""</f>
        <v/>
      </c>
    </row>
    <row r="33">
      <c r="A33" s="18">
        <f>IFERROR(INDEX('Reservations'!$A$2:$A$251,MATCH(ROW()-32,$V$2:$V$251,0)),"")</f>
        <v/>
      </c>
      <c r="B33" s="18">
        <f>IFERROR(INDEX('Reservations'!$D$2:$D$251,MATCH(ROW()-32,$V$2:$V$251,0)),"")</f>
        <v/>
      </c>
      <c r="C33" s="46">
        <f>IFERROR(INDEX('Reservations'!$G$2:$G$251,MATCH(ROW()-32,$V$2:$V$251,0)),"")</f>
        <v/>
      </c>
      <c r="D33" s="46">
        <f>IFERROR(INDEX('Reservations'!$H$2:$H$251,MATCH(ROW()-32,$V$2:$V$251,0)),"")</f>
        <v/>
      </c>
      <c r="E33" s="18">
        <f>IFERROR(INDEX('Reservations'!$M$2:$M$251,MATCH(ROW()-32,$V$2:$V$251,0)),"")</f>
        <v/>
      </c>
      <c r="F33" s="18">
        <f>IFERROR(INDEX('Reservations'!$Q$2:$Q$251,MATCH(ROW()-32,$V$2:$V$251,0)),"")</f>
        <v/>
      </c>
      <c r="G33" s="18">
        <f>IFERROR(INDEX('Reservations'!$J$2:$J$251,MATCH(ROW()-32,$V$2:$V$251,0)),"")</f>
        <v/>
      </c>
      <c r="H33" s="18">
        <f>IFERROR(INDEX('Reservations'!$P$2:$P$251,MATCH(ROW()-32,$V$2:$V$251,0)),"")</f>
        <v/>
      </c>
      <c r="I33" s="47">
        <f>IFERROR(INDEX('Reservations'!$AD$2:$AD$251,MATCH(ROW()-32,$V$2:$V$251,0)),"")</f>
        <v/>
      </c>
      <c r="U33">
        <f>""</f>
        <v/>
      </c>
      <c r="V33">
        <f>IFERROR(IF(AND('Reservations'!$G33=$B$5,OR('Reservations'!$P33="Confirmed",'Reservations'!$P33="In House")),COUNTIFS('Reservations'!$G$2:'Reservations'!$G33,$B$5,'Reservations'!$P$2:'Reservations'!$P33,"Confirmed")+COUNTIFS('Reservations'!$G$2:'Reservations'!$G33,$B$5,'Reservations'!$P$2:'Reservations'!$P33,"In House"),""),"")</f>
        <v/>
      </c>
      <c r="W33">
        <f>IFERROR(IF(AND('Reservations'!$H33=$B$5,OR('Reservations'!$P33="In House",'Reservations'!$P33="Checked Out")),COUNTIFS('Reservations'!$H$2:'Reservations'!$H33,$B$5,'Reservations'!$P$2:'Reservations'!$P33,"In House")+COUNTIFS('Reservations'!$H$2:'Reservations'!$H33,$B$5,'Reservations'!$P$2:'Reservations'!$P33,"Checked Out"),""),"")</f>
        <v/>
      </c>
      <c r="Y33">
        <f>""</f>
        <v/>
      </c>
    </row>
    <row r="34">
      <c r="A34" s="21">
        <f>IFERROR(INDEX('Reservations'!$A$2:$A$251,MATCH(ROW()-32,$V$2:$V$251,0)),"")</f>
        <v/>
      </c>
      <c r="B34" s="21">
        <f>IFERROR(INDEX('Reservations'!$D$2:$D$251,MATCH(ROW()-32,$V$2:$V$251,0)),"")</f>
        <v/>
      </c>
      <c r="C34" s="48">
        <f>IFERROR(INDEX('Reservations'!$G$2:$G$251,MATCH(ROW()-32,$V$2:$V$251,0)),"")</f>
        <v/>
      </c>
      <c r="D34" s="48">
        <f>IFERROR(INDEX('Reservations'!$H$2:$H$251,MATCH(ROW()-32,$V$2:$V$251,0)),"")</f>
        <v/>
      </c>
      <c r="E34" s="21">
        <f>IFERROR(INDEX('Reservations'!$M$2:$M$251,MATCH(ROW()-32,$V$2:$V$251,0)),"")</f>
        <v/>
      </c>
      <c r="F34" s="21">
        <f>IFERROR(INDEX('Reservations'!$Q$2:$Q$251,MATCH(ROW()-32,$V$2:$V$251,0)),"")</f>
        <v/>
      </c>
      <c r="G34" s="21">
        <f>IFERROR(INDEX('Reservations'!$J$2:$J$251,MATCH(ROW()-32,$V$2:$V$251,0)),"")</f>
        <v/>
      </c>
      <c r="H34" s="21">
        <f>IFERROR(INDEX('Reservations'!$P$2:$P$251,MATCH(ROW()-32,$V$2:$V$251,0)),"")</f>
        <v/>
      </c>
      <c r="I34" s="49">
        <f>IFERROR(INDEX('Reservations'!$AD$2:$AD$251,MATCH(ROW()-32,$V$2:$V$251,0)),"")</f>
        <v/>
      </c>
      <c r="U34">
        <f>""</f>
        <v/>
      </c>
      <c r="V34">
        <f>IFERROR(IF(AND('Reservations'!$G34=$B$5,OR('Reservations'!$P34="Confirmed",'Reservations'!$P34="In House")),COUNTIFS('Reservations'!$G$2:'Reservations'!$G34,$B$5,'Reservations'!$P$2:'Reservations'!$P34,"Confirmed")+COUNTIFS('Reservations'!$G$2:'Reservations'!$G34,$B$5,'Reservations'!$P$2:'Reservations'!$P34,"In House"),""),"")</f>
        <v/>
      </c>
      <c r="W34">
        <f>IFERROR(IF(AND('Reservations'!$H34=$B$5,OR('Reservations'!$P34="In House",'Reservations'!$P34="Checked Out")),COUNTIFS('Reservations'!$H$2:'Reservations'!$H34,$B$5,'Reservations'!$P$2:'Reservations'!$P34,"In House")+COUNTIFS('Reservations'!$H$2:'Reservations'!$H34,$B$5,'Reservations'!$P$2:'Reservations'!$P34,"Checked Out"),""),"")</f>
        <v/>
      </c>
      <c r="Y34">
        <f>""</f>
        <v/>
      </c>
    </row>
    <row r="35">
      <c r="A35" s="18">
        <f>IFERROR(INDEX('Reservations'!$A$2:$A$251,MATCH(ROW()-32,$V$2:$V$251,0)),"")</f>
        <v/>
      </c>
      <c r="B35" s="18">
        <f>IFERROR(INDEX('Reservations'!$D$2:$D$251,MATCH(ROW()-32,$V$2:$V$251,0)),"")</f>
        <v/>
      </c>
      <c r="C35" s="46">
        <f>IFERROR(INDEX('Reservations'!$G$2:$G$251,MATCH(ROW()-32,$V$2:$V$251,0)),"")</f>
        <v/>
      </c>
      <c r="D35" s="46">
        <f>IFERROR(INDEX('Reservations'!$H$2:$H$251,MATCH(ROW()-32,$V$2:$V$251,0)),"")</f>
        <v/>
      </c>
      <c r="E35" s="18">
        <f>IFERROR(INDEX('Reservations'!$M$2:$M$251,MATCH(ROW()-32,$V$2:$V$251,0)),"")</f>
        <v/>
      </c>
      <c r="F35" s="18">
        <f>IFERROR(INDEX('Reservations'!$Q$2:$Q$251,MATCH(ROW()-32,$V$2:$V$251,0)),"")</f>
        <v/>
      </c>
      <c r="G35" s="18">
        <f>IFERROR(INDEX('Reservations'!$J$2:$J$251,MATCH(ROW()-32,$V$2:$V$251,0)),"")</f>
        <v/>
      </c>
      <c r="H35" s="18">
        <f>IFERROR(INDEX('Reservations'!$P$2:$P$251,MATCH(ROW()-32,$V$2:$V$251,0)),"")</f>
        <v/>
      </c>
      <c r="I35" s="47">
        <f>IFERROR(INDEX('Reservations'!$AD$2:$AD$251,MATCH(ROW()-32,$V$2:$V$251,0)),"")</f>
        <v/>
      </c>
      <c r="U35">
        <f>""</f>
        <v/>
      </c>
      <c r="V35">
        <f>IFERROR(IF(AND('Reservations'!$G35=$B$5,OR('Reservations'!$P35="Confirmed",'Reservations'!$P35="In House")),COUNTIFS('Reservations'!$G$2:'Reservations'!$G35,$B$5,'Reservations'!$P$2:'Reservations'!$P35,"Confirmed")+COUNTIFS('Reservations'!$G$2:'Reservations'!$G35,$B$5,'Reservations'!$P$2:'Reservations'!$P35,"In House"),""),"")</f>
        <v/>
      </c>
      <c r="W35">
        <f>IFERROR(IF(AND('Reservations'!$H35=$B$5,OR('Reservations'!$P35="In House",'Reservations'!$P35="Checked Out")),COUNTIFS('Reservations'!$H$2:'Reservations'!$H35,$B$5,'Reservations'!$P$2:'Reservations'!$P35,"In House")+COUNTIFS('Reservations'!$H$2:'Reservations'!$H35,$B$5,'Reservations'!$P$2:'Reservations'!$P35,"Checked Out"),""),"")</f>
        <v/>
      </c>
      <c r="Y35">
        <f>""</f>
        <v/>
      </c>
    </row>
    <row r="36">
      <c r="A36" s="21">
        <f>IFERROR(INDEX('Reservations'!$A$2:$A$251,MATCH(ROW()-32,$V$2:$V$251,0)),"")</f>
        <v/>
      </c>
      <c r="B36" s="21">
        <f>IFERROR(INDEX('Reservations'!$D$2:$D$251,MATCH(ROW()-32,$V$2:$V$251,0)),"")</f>
        <v/>
      </c>
      <c r="C36" s="48">
        <f>IFERROR(INDEX('Reservations'!$G$2:$G$251,MATCH(ROW()-32,$V$2:$V$251,0)),"")</f>
        <v/>
      </c>
      <c r="D36" s="48">
        <f>IFERROR(INDEX('Reservations'!$H$2:$H$251,MATCH(ROW()-32,$V$2:$V$251,0)),"")</f>
        <v/>
      </c>
      <c r="E36" s="21">
        <f>IFERROR(INDEX('Reservations'!$M$2:$M$251,MATCH(ROW()-32,$V$2:$V$251,0)),"")</f>
        <v/>
      </c>
      <c r="F36" s="21">
        <f>IFERROR(INDEX('Reservations'!$Q$2:$Q$251,MATCH(ROW()-32,$V$2:$V$251,0)),"")</f>
        <v/>
      </c>
      <c r="G36" s="21">
        <f>IFERROR(INDEX('Reservations'!$J$2:$J$251,MATCH(ROW()-32,$V$2:$V$251,0)),"")</f>
        <v/>
      </c>
      <c r="H36" s="21">
        <f>IFERROR(INDEX('Reservations'!$P$2:$P$251,MATCH(ROW()-32,$V$2:$V$251,0)),"")</f>
        <v/>
      </c>
      <c r="I36" s="49">
        <f>IFERROR(INDEX('Reservations'!$AD$2:$AD$251,MATCH(ROW()-32,$V$2:$V$251,0)),"")</f>
        <v/>
      </c>
      <c r="U36">
        <f>""</f>
        <v/>
      </c>
      <c r="V36">
        <f>IFERROR(IF(AND('Reservations'!$G36=$B$5,OR('Reservations'!$P36="Confirmed",'Reservations'!$P36="In House")),COUNTIFS('Reservations'!$G$2:'Reservations'!$G36,$B$5,'Reservations'!$P$2:'Reservations'!$P36,"Confirmed")+COUNTIFS('Reservations'!$G$2:'Reservations'!$G36,$B$5,'Reservations'!$P$2:'Reservations'!$P36,"In House"),""),"")</f>
        <v/>
      </c>
      <c r="W36">
        <f>IFERROR(IF(AND('Reservations'!$H36=$B$5,OR('Reservations'!$P36="In House",'Reservations'!$P36="Checked Out")),COUNTIFS('Reservations'!$H$2:'Reservations'!$H36,$B$5,'Reservations'!$P$2:'Reservations'!$P36,"In House")+COUNTIFS('Reservations'!$H$2:'Reservations'!$H36,$B$5,'Reservations'!$P$2:'Reservations'!$P36,"Checked Out"),""),"")</f>
        <v/>
      </c>
      <c r="Y36">
        <f>""</f>
        <v/>
      </c>
    </row>
    <row r="37">
      <c r="A37" s="18">
        <f>IFERROR(INDEX('Reservations'!$A$2:$A$251,MATCH(ROW()-32,$V$2:$V$251,0)),"")</f>
        <v/>
      </c>
      <c r="B37" s="18">
        <f>IFERROR(INDEX('Reservations'!$D$2:$D$251,MATCH(ROW()-32,$V$2:$V$251,0)),"")</f>
        <v/>
      </c>
      <c r="C37" s="46">
        <f>IFERROR(INDEX('Reservations'!$G$2:$G$251,MATCH(ROW()-32,$V$2:$V$251,0)),"")</f>
        <v/>
      </c>
      <c r="D37" s="46">
        <f>IFERROR(INDEX('Reservations'!$H$2:$H$251,MATCH(ROW()-32,$V$2:$V$251,0)),"")</f>
        <v/>
      </c>
      <c r="E37" s="18">
        <f>IFERROR(INDEX('Reservations'!$M$2:$M$251,MATCH(ROW()-32,$V$2:$V$251,0)),"")</f>
        <v/>
      </c>
      <c r="F37" s="18">
        <f>IFERROR(INDEX('Reservations'!$Q$2:$Q$251,MATCH(ROW()-32,$V$2:$V$251,0)),"")</f>
        <v/>
      </c>
      <c r="G37" s="18">
        <f>IFERROR(INDEX('Reservations'!$J$2:$J$251,MATCH(ROW()-32,$V$2:$V$251,0)),"")</f>
        <v/>
      </c>
      <c r="H37" s="18">
        <f>IFERROR(INDEX('Reservations'!$P$2:$P$251,MATCH(ROW()-32,$V$2:$V$251,0)),"")</f>
        <v/>
      </c>
      <c r="I37" s="47">
        <f>IFERROR(INDEX('Reservations'!$AD$2:$AD$251,MATCH(ROW()-32,$V$2:$V$251,0)),"")</f>
        <v/>
      </c>
      <c r="U37">
        <f>""</f>
        <v/>
      </c>
      <c r="V37">
        <f>IFERROR(IF(AND('Reservations'!$G37=$B$5,OR('Reservations'!$P37="Confirmed",'Reservations'!$P37="In House")),COUNTIFS('Reservations'!$G$2:'Reservations'!$G37,$B$5,'Reservations'!$P$2:'Reservations'!$P37,"Confirmed")+COUNTIFS('Reservations'!$G$2:'Reservations'!$G37,$B$5,'Reservations'!$P$2:'Reservations'!$P37,"In House"),""),"")</f>
        <v/>
      </c>
      <c r="W37">
        <f>IFERROR(IF(AND('Reservations'!$H37=$B$5,OR('Reservations'!$P37="In House",'Reservations'!$P37="Checked Out")),COUNTIFS('Reservations'!$H$2:'Reservations'!$H37,$B$5,'Reservations'!$P$2:'Reservations'!$P37,"In House")+COUNTIFS('Reservations'!$H$2:'Reservations'!$H37,$B$5,'Reservations'!$P$2:'Reservations'!$P37,"Checked Out"),""),"")</f>
        <v/>
      </c>
      <c r="Y37">
        <f>""</f>
        <v/>
      </c>
    </row>
    <row r="38">
      <c r="A38" s="21">
        <f>IFERROR(INDEX('Reservations'!$A$2:$A$251,MATCH(ROW()-32,$V$2:$V$251,0)),"")</f>
        <v/>
      </c>
      <c r="B38" s="21">
        <f>IFERROR(INDEX('Reservations'!$D$2:$D$251,MATCH(ROW()-32,$V$2:$V$251,0)),"")</f>
        <v/>
      </c>
      <c r="C38" s="48">
        <f>IFERROR(INDEX('Reservations'!$G$2:$G$251,MATCH(ROW()-32,$V$2:$V$251,0)),"")</f>
        <v/>
      </c>
      <c r="D38" s="48">
        <f>IFERROR(INDEX('Reservations'!$H$2:$H$251,MATCH(ROW()-32,$V$2:$V$251,0)),"")</f>
        <v/>
      </c>
      <c r="E38" s="21">
        <f>IFERROR(INDEX('Reservations'!$M$2:$M$251,MATCH(ROW()-32,$V$2:$V$251,0)),"")</f>
        <v/>
      </c>
      <c r="F38" s="21">
        <f>IFERROR(INDEX('Reservations'!$Q$2:$Q$251,MATCH(ROW()-32,$V$2:$V$251,0)),"")</f>
        <v/>
      </c>
      <c r="G38" s="21">
        <f>IFERROR(INDEX('Reservations'!$J$2:$J$251,MATCH(ROW()-32,$V$2:$V$251,0)),"")</f>
        <v/>
      </c>
      <c r="H38" s="21">
        <f>IFERROR(INDEX('Reservations'!$P$2:$P$251,MATCH(ROW()-32,$V$2:$V$251,0)),"")</f>
        <v/>
      </c>
      <c r="I38" s="49">
        <f>IFERROR(INDEX('Reservations'!$AD$2:$AD$251,MATCH(ROW()-32,$V$2:$V$251,0)),"")</f>
        <v/>
      </c>
      <c r="U38">
        <f>""</f>
        <v/>
      </c>
      <c r="V38">
        <f>IFERROR(IF(AND('Reservations'!$G38=$B$5,OR('Reservations'!$P38="Confirmed",'Reservations'!$P38="In House")),COUNTIFS('Reservations'!$G$2:'Reservations'!$G38,$B$5,'Reservations'!$P$2:'Reservations'!$P38,"Confirmed")+COUNTIFS('Reservations'!$G$2:'Reservations'!$G38,$B$5,'Reservations'!$P$2:'Reservations'!$P38,"In House"),""),"")</f>
        <v/>
      </c>
      <c r="W38">
        <f>IFERROR(IF(AND('Reservations'!$H38=$B$5,OR('Reservations'!$P38="In House",'Reservations'!$P38="Checked Out")),COUNTIFS('Reservations'!$H$2:'Reservations'!$H38,$B$5,'Reservations'!$P$2:'Reservations'!$P38,"In House")+COUNTIFS('Reservations'!$H$2:'Reservations'!$H38,$B$5,'Reservations'!$P$2:'Reservations'!$P38,"Checked Out"),""),"")</f>
        <v/>
      </c>
      <c r="Y38">
        <f>""</f>
        <v/>
      </c>
    </row>
    <row r="39">
      <c r="A39" s="18">
        <f>IFERROR(INDEX('Reservations'!$A$2:$A$251,MATCH(ROW()-32,$V$2:$V$251,0)),"")</f>
        <v/>
      </c>
      <c r="B39" s="18">
        <f>IFERROR(INDEX('Reservations'!$D$2:$D$251,MATCH(ROW()-32,$V$2:$V$251,0)),"")</f>
        <v/>
      </c>
      <c r="C39" s="46">
        <f>IFERROR(INDEX('Reservations'!$G$2:$G$251,MATCH(ROW()-32,$V$2:$V$251,0)),"")</f>
        <v/>
      </c>
      <c r="D39" s="46">
        <f>IFERROR(INDEX('Reservations'!$H$2:$H$251,MATCH(ROW()-32,$V$2:$V$251,0)),"")</f>
        <v/>
      </c>
      <c r="E39" s="18">
        <f>IFERROR(INDEX('Reservations'!$M$2:$M$251,MATCH(ROW()-32,$V$2:$V$251,0)),"")</f>
        <v/>
      </c>
      <c r="F39" s="18">
        <f>IFERROR(INDEX('Reservations'!$Q$2:$Q$251,MATCH(ROW()-32,$V$2:$V$251,0)),"")</f>
        <v/>
      </c>
      <c r="G39" s="18">
        <f>IFERROR(INDEX('Reservations'!$J$2:$J$251,MATCH(ROW()-32,$V$2:$V$251,0)),"")</f>
        <v/>
      </c>
      <c r="H39" s="18">
        <f>IFERROR(INDEX('Reservations'!$P$2:$P$251,MATCH(ROW()-32,$V$2:$V$251,0)),"")</f>
        <v/>
      </c>
      <c r="I39" s="47">
        <f>IFERROR(INDEX('Reservations'!$AD$2:$AD$251,MATCH(ROW()-32,$V$2:$V$251,0)),"")</f>
        <v/>
      </c>
      <c r="U39">
        <f>""</f>
        <v/>
      </c>
      <c r="V39">
        <f>IFERROR(IF(AND('Reservations'!$G39=$B$5,OR('Reservations'!$P39="Confirmed",'Reservations'!$P39="In House")),COUNTIFS('Reservations'!$G$2:'Reservations'!$G39,$B$5,'Reservations'!$P$2:'Reservations'!$P39,"Confirmed")+COUNTIFS('Reservations'!$G$2:'Reservations'!$G39,$B$5,'Reservations'!$P$2:'Reservations'!$P39,"In House"),""),"")</f>
        <v/>
      </c>
      <c r="W39">
        <f>IFERROR(IF(AND('Reservations'!$H39=$B$5,OR('Reservations'!$P39="In House",'Reservations'!$P39="Checked Out")),COUNTIFS('Reservations'!$H$2:'Reservations'!$H39,$B$5,'Reservations'!$P$2:'Reservations'!$P39,"In House")+COUNTIFS('Reservations'!$H$2:'Reservations'!$H39,$B$5,'Reservations'!$P$2:'Reservations'!$P39,"Checked Out"),""),"")</f>
        <v/>
      </c>
      <c r="Y39">
        <f>""</f>
        <v/>
      </c>
    </row>
    <row r="40">
      <c r="A40" s="21">
        <f>IFERROR(INDEX('Reservations'!$A$2:$A$251,MATCH(ROW()-32,$V$2:$V$251,0)),"")</f>
        <v/>
      </c>
      <c r="B40" s="21">
        <f>IFERROR(INDEX('Reservations'!$D$2:$D$251,MATCH(ROW()-32,$V$2:$V$251,0)),"")</f>
        <v/>
      </c>
      <c r="C40" s="48">
        <f>IFERROR(INDEX('Reservations'!$G$2:$G$251,MATCH(ROW()-32,$V$2:$V$251,0)),"")</f>
        <v/>
      </c>
      <c r="D40" s="48">
        <f>IFERROR(INDEX('Reservations'!$H$2:$H$251,MATCH(ROW()-32,$V$2:$V$251,0)),"")</f>
        <v/>
      </c>
      <c r="E40" s="21">
        <f>IFERROR(INDEX('Reservations'!$M$2:$M$251,MATCH(ROW()-32,$V$2:$V$251,0)),"")</f>
        <v/>
      </c>
      <c r="F40" s="21">
        <f>IFERROR(INDEX('Reservations'!$Q$2:$Q$251,MATCH(ROW()-32,$V$2:$V$251,0)),"")</f>
        <v/>
      </c>
      <c r="G40" s="21">
        <f>IFERROR(INDEX('Reservations'!$J$2:$J$251,MATCH(ROW()-32,$V$2:$V$251,0)),"")</f>
        <v/>
      </c>
      <c r="H40" s="21">
        <f>IFERROR(INDEX('Reservations'!$P$2:$P$251,MATCH(ROW()-32,$V$2:$V$251,0)),"")</f>
        <v/>
      </c>
      <c r="I40" s="49">
        <f>IFERROR(INDEX('Reservations'!$AD$2:$AD$251,MATCH(ROW()-32,$V$2:$V$251,0)),"")</f>
        <v/>
      </c>
      <c r="U40">
        <f>""</f>
        <v/>
      </c>
      <c r="V40">
        <f>IFERROR(IF(AND('Reservations'!$G40=$B$5,OR('Reservations'!$P40="Confirmed",'Reservations'!$P40="In House")),COUNTIFS('Reservations'!$G$2:'Reservations'!$G40,$B$5,'Reservations'!$P$2:'Reservations'!$P40,"Confirmed")+COUNTIFS('Reservations'!$G$2:'Reservations'!$G40,$B$5,'Reservations'!$P$2:'Reservations'!$P40,"In House"),""),"")</f>
        <v/>
      </c>
      <c r="W40">
        <f>IFERROR(IF(AND('Reservations'!$H40=$B$5,OR('Reservations'!$P40="In House",'Reservations'!$P40="Checked Out")),COUNTIFS('Reservations'!$H$2:'Reservations'!$H40,$B$5,'Reservations'!$P$2:'Reservations'!$P40,"In House")+COUNTIFS('Reservations'!$H$2:'Reservations'!$H40,$B$5,'Reservations'!$P$2:'Reservations'!$P40,"Checked Out"),""),"")</f>
        <v/>
      </c>
      <c r="Y40">
        <f>""</f>
        <v/>
      </c>
    </row>
    <row r="41">
      <c r="A41" s="18">
        <f>IFERROR(INDEX('Reservations'!$A$2:$A$251,MATCH(ROW()-32,$V$2:$V$251,0)),"")</f>
        <v/>
      </c>
      <c r="B41" s="18">
        <f>IFERROR(INDEX('Reservations'!$D$2:$D$251,MATCH(ROW()-32,$V$2:$V$251,0)),"")</f>
        <v/>
      </c>
      <c r="C41" s="46">
        <f>IFERROR(INDEX('Reservations'!$G$2:$G$251,MATCH(ROW()-32,$V$2:$V$251,0)),"")</f>
        <v/>
      </c>
      <c r="D41" s="46">
        <f>IFERROR(INDEX('Reservations'!$H$2:$H$251,MATCH(ROW()-32,$V$2:$V$251,0)),"")</f>
        <v/>
      </c>
      <c r="E41" s="18">
        <f>IFERROR(INDEX('Reservations'!$M$2:$M$251,MATCH(ROW()-32,$V$2:$V$251,0)),"")</f>
        <v/>
      </c>
      <c r="F41" s="18">
        <f>IFERROR(INDEX('Reservations'!$Q$2:$Q$251,MATCH(ROW()-32,$V$2:$V$251,0)),"")</f>
        <v/>
      </c>
      <c r="G41" s="18">
        <f>IFERROR(INDEX('Reservations'!$J$2:$J$251,MATCH(ROW()-32,$V$2:$V$251,0)),"")</f>
        <v/>
      </c>
      <c r="H41" s="18">
        <f>IFERROR(INDEX('Reservations'!$P$2:$P$251,MATCH(ROW()-32,$V$2:$V$251,0)),"")</f>
        <v/>
      </c>
      <c r="I41" s="47">
        <f>IFERROR(INDEX('Reservations'!$AD$2:$AD$251,MATCH(ROW()-32,$V$2:$V$251,0)),"")</f>
        <v/>
      </c>
      <c r="U41">
        <f>""</f>
        <v/>
      </c>
      <c r="V41">
        <f>IFERROR(IF(AND('Reservations'!$G41=$B$5,OR('Reservations'!$P41="Confirmed",'Reservations'!$P41="In House")),COUNTIFS('Reservations'!$G$2:'Reservations'!$G41,$B$5,'Reservations'!$P$2:'Reservations'!$P41,"Confirmed")+COUNTIFS('Reservations'!$G$2:'Reservations'!$G41,$B$5,'Reservations'!$P$2:'Reservations'!$P41,"In House"),""),"")</f>
        <v/>
      </c>
      <c r="W41">
        <f>IFERROR(IF(AND('Reservations'!$H41=$B$5,OR('Reservations'!$P41="In House",'Reservations'!$P41="Checked Out")),COUNTIFS('Reservations'!$H$2:'Reservations'!$H41,$B$5,'Reservations'!$P$2:'Reservations'!$P41,"In House")+COUNTIFS('Reservations'!$H$2:'Reservations'!$H41,$B$5,'Reservations'!$P$2:'Reservations'!$P41,"Checked Out"),""),"")</f>
        <v/>
      </c>
      <c r="Y41">
        <f>""</f>
        <v/>
      </c>
    </row>
    <row r="42">
      <c r="A42" s="21">
        <f>IFERROR(INDEX('Reservations'!$A$2:$A$251,MATCH(ROW()-32,$V$2:$V$251,0)),"")</f>
        <v/>
      </c>
      <c r="B42" s="21">
        <f>IFERROR(INDEX('Reservations'!$D$2:$D$251,MATCH(ROW()-32,$V$2:$V$251,0)),"")</f>
        <v/>
      </c>
      <c r="C42" s="48">
        <f>IFERROR(INDEX('Reservations'!$G$2:$G$251,MATCH(ROW()-32,$V$2:$V$251,0)),"")</f>
        <v/>
      </c>
      <c r="D42" s="48">
        <f>IFERROR(INDEX('Reservations'!$H$2:$H$251,MATCH(ROW()-32,$V$2:$V$251,0)),"")</f>
        <v/>
      </c>
      <c r="E42" s="21">
        <f>IFERROR(INDEX('Reservations'!$M$2:$M$251,MATCH(ROW()-32,$V$2:$V$251,0)),"")</f>
        <v/>
      </c>
      <c r="F42" s="21">
        <f>IFERROR(INDEX('Reservations'!$Q$2:$Q$251,MATCH(ROW()-32,$V$2:$V$251,0)),"")</f>
        <v/>
      </c>
      <c r="G42" s="21">
        <f>IFERROR(INDEX('Reservations'!$J$2:$J$251,MATCH(ROW()-32,$V$2:$V$251,0)),"")</f>
        <v/>
      </c>
      <c r="H42" s="21">
        <f>IFERROR(INDEX('Reservations'!$P$2:$P$251,MATCH(ROW()-32,$V$2:$V$251,0)),"")</f>
        <v/>
      </c>
      <c r="I42" s="49">
        <f>IFERROR(INDEX('Reservations'!$AD$2:$AD$251,MATCH(ROW()-32,$V$2:$V$251,0)),"")</f>
        <v/>
      </c>
      <c r="U42">
        <f>""</f>
        <v/>
      </c>
      <c r="V42">
        <f>IFERROR(IF(AND('Reservations'!$G42=$B$5,OR('Reservations'!$P42="Confirmed",'Reservations'!$P42="In House")),COUNTIFS('Reservations'!$G$2:'Reservations'!$G42,$B$5,'Reservations'!$P$2:'Reservations'!$P42,"Confirmed")+COUNTIFS('Reservations'!$G$2:'Reservations'!$G42,$B$5,'Reservations'!$P$2:'Reservations'!$P42,"In House"),""),"")</f>
        <v/>
      </c>
      <c r="W42">
        <f>IFERROR(IF(AND('Reservations'!$H42=$B$5,OR('Reservations'!$P42="In House",'Reservations'!$P42="Checked Out")),COUNTIFS('Reservations'!$H$2:'Reservations'!$H42,$B$5,'Reservations'!$P$2:'Reservations'!$P42,"In House")+COUNTIFS('Reservations'!$H$2:'Reservations'!$H42,$B$5,'Reservations'!$P$2:'Reservations'!$P42,"Checked Out"),""),"")</f>
        <v/>
      </c>
      <c r="Y42">
        <f>""</f>
        <v/>
      </c>
    </row>
    <row r="43">
      <c r="U43">
        <f>""</f>
        <v/>
      </c>
      <c r="V43">
        <f>IFERROR(IF(AND('Reservations'!$G43=$B$5,OR('Reservations'!$P43="Confirmed",'Reservations'!$P43="In House")),COUNTIFS('Reservations'!$G$2:'Reservations'!$G43,$B$5,'Reservations'!$P$2:'Reservations'!$P43,"Confirmed")+COUNTIFS('Reservations'!$G$2:'Reservations'!$G43,$B$5,'Reservations'!$P$2:'Reservations'!$P43,"In House"),""),"")</f>
        <v/>
      </c>
      <c r="W43">
        <f>IFERROR(IF(AND('Reservations'!$H43=$B$5,OR('Reservations'!$P43="In House",'Reservations'!$P43="Checked Out")),COUNTIFS('Reservations'!$H$2:'Reservations'!$H43,$B$5,'Reservations'!$P$2:'Reservations'!$P43,"In House")+COUNTIFS('Reservations'!$H$2:'Reservations'!$H43,$B$5,'Reservations'!$P$2:'Reservations'!$P43,"Checked Out"),""),"")</f>
        <v/>
      </c>
      <c r="Y43">
        <f>""</f>
        <v/>
      </c>
    </row>
    <row r="44">
      <c r="U44">
        <f>""</f>
        <v/>
      </c>
      <c r="V44">
        <f>IFERROR(IF(AND('Reservations'!$G44=$B$5,OR('Reservations'!$P44="Confirmed",'Reservations'!$P44="In House")),COUNTIFS('Reservations'!$G$2:'Reservations'!$G44,$B$5,'Reservations'!$P$2:'Reservations'!$P44,"Confirmed")+COUNTIFS('Reservations'!$G$2:'Reservations'!$G44,$B$5,'Reservations'!$P$2:'Reservations'!$P44,"In House"),""),"")</f>
        <v/>
      </c>
      <c r="W44">
        <f>IFERROR(IF(AND('Reservations'!$H44=$B$5,OR('Reservations'!$P44="In House",'Reservations'!$P44="Checked Out")),COUNTIFS('Reservations'!$H$2:'Reservations'!$H44,$B$5,'Reservations'!$P$2:'Reservations'!$P44,"In House")+COUNTIFS('Reservations'!$H$2:'Reservations'!$H44,$B$5,'Reservations'!$P$2:'Reservations'!$P44,"Checked Out"),""),"")</f>
        <v/>
      </c>
      <c r="Y44">
        <f>""</f>
        <v/>
      </c>
    </row>
    <row r="45">
      <c r="A45" s="7" t="inlineStr">
        <is>
          <t>Today's Departures</t>
        </is>
      </c>
      <c r="B45" s="8" t="n"/>
      <c r="C45" s="8" t="n"/>
      <c r="D45" s="8" t="n"/>
      <c r="E45" s="8" t="n"/>
      <c r="F45" s="8" t="n"/>
      <c r="G45" s="8" t="n"/>
      <c r="H45" s="8" t="n"/>
      <c r="I45" s="8" t="n"/>
      <c r="U45">
        <f>""</f>
        <v/>
      </c>
      <c r="V45">
        <f>IFERROR(IF(AND('Reservations'!$G45=$B$5,OR('Reservations'!$P45="Confirmed",'Reservations'!$P45="In House")),COUNTIFS('Reservations'!$G$2:'Reservations'!$G45,$B$5,'Reservations'!$P$2:'Reservations'!$P45,"Confirmed")+COUNTIFS('Reservations'!$G$2:'Reservations'!$G45,$B$5,'Reservations'!$P$2:'Reservations'!$P45,"In House"),""),"")</f>
        <v/>
      </c>
      <c r="W45">
        <f>IFERROR(IF(AND('Reservations'!$H45=$B$5,OR('Reservations'!$P45="In House",'Reservations'!$P45="Checked Out")),COUNTIFS('Reservations'!$H$2:'Reservations'!$H45,$B$5,'Reservations'!$P$2:'Reservations'!$P45,"In House")+COUNTIFS('Reservations'!$H$2:'Reservations'!$H45,$B$5,'Reservations'!$P$2:'Reservations'!$P45,"Checked Out"),""),"")</f>
        <v/>
      </c>
      <c r="Y45">
        <f>""</f>
        <v/>
      </c>
    </row>
    <row r="46">
      <c r="A46" s="17" t="inlineStr">
        <is>
          <t>Reservation ID</t>
        </is>
      </c>
      <c r="B46" s="17" t="inlineStr">
        <is>
          <t>Guest Name</t>
        </is>
      </c>
      <c r="C46" s="17" t="inlineStr">
        <is>
          <t>Arrival Date</t>
        </is>
      </c>
      <c r="D46" s="17" t="inlineStr">
        <is>
          <t>Departure Date</t>
        </is>
      </c>
      <c r="E46" s="17" t="inlineStr">
        <is>
          <t>Room Type</t>
        </is>
      </c>
      <c r="F46" s="17" t="inlineStr">
        <is>
          <t>Assigned Room</t>
        </is>
      </c>
      <c r="G46" s="17" t="inlineStr">
        <is>
          <t>Rooms</t>
        </is>
      </c>
      <c r="H46" s="17" t="inlineStr">
        <is>
          <t>Status</t>
        </is>
      </c>
      <c r="I46" s="17" t="inlineStr">
        <is>
          <t>Balance Due</t>
        </is>
      </c>
      <c r="U46">
        <f>""</f>
        <v/>
      </c>
      <c r="V46">
        <f>IFERROR(IF(AND('Reservations'!$G46=$B$5,OR('Reservations'!$P46="Confirmed",'Reservations'!$P46="In House")),COUNTIFS('Reservations'!$G$2:'Reservations'!$G46,$B$5,'Reservations'!$P$2:'Reservations'!$P46,"Confirmed")+COUNTIFS('Reservations'!$G$2:'Reservations'!$G46,$B$5,'Reservations'!$P$2:'Reservations'!$P46,"In House"),""),"")</f>
        <v/>
      </c>
      <c r="W46">
        <f>IFERROR(IF(AND('Reservations'!$H46=$B$5,OR('Reservations'!$P46="In House",'Reservations'!$P46="Checked Out")),COUNTIFS('Reservations'!$H$2:'Reservations'!$H46,$B$5,'Reservations'!$P$2:'Reservations'!$P46,"In House")+COUNTIFS('Reservations'!$H$2:'Reservations'!$H46,$B$5,'Reservations'!$P$2:'Reservations'!$P46,"Checked Out"),""),"")</f>
        <v/>
      </c>
      <c r="Y46">
        <f>""</f>
        <v/>
      </c>
    </row>
    <row r="47">
      <c r="A47" s="18">
        <f>IFERROR(INDEX('Reservations'!$A$2:$A$251,MATCH(ROW()-46,$W$2:$W$251,0)),"")</f>
        <v/>
      </c>
      <c r="B47" s="18">
        <f>IFERROR(INDEX('Reservations'!$D$2:$D$251,MATCH(ROW()-46,$W$2:$W$251,0)),"")</f>
        <v/>
      </c>
      <c r="C47" s="46">
        <f>IFERROR(INDEX('Reservations'!$G$2:$G$251,MATCH(ROW()-46,$W$2:$W$251,0)),"")</f>
        <v/>
      </c>
      <c r="D47" s="46">
        <f>IFERROR(INDEX('Reservations'!$H$2:$H$251,MATCH(ROW()-46,$W$2:$W$251,0)),"")</f>
        <v/>
      </c>
      <c r="E47" s="18">
        <f>IFERROR(INDEX('Reservations'!$M$2:$M$251,MATCH(ROW()-46,$W$2:$W$251,0)),"")</f>
        <v/>
      </c>
      <c r="F47" s="18">
        <f>IFERROR(INDEX('Reservations'!$Q$2:$Q$251,MATCH(ROW()-46,$W$2:$W$251,0)),"")</f>
        <v/>
      </c>
      <c r="G47" s="18">
        <f>IFERROR(INDEX('Reservations'!$J$2:$J$251,MATCH(ROW()-46,$W$2:$W$251,0)),"")</f>
        <v/>
      </c>
      <c r="H47" s="18">
        <f>IFERROR(INDEX('Reservations'!$P$2:$P$251,MATCH(ROW()-46,$W$2:$W$251,0)),"")</f>
        <v/>
      </c>
      <c r="I47" s="47">
        <f>IFERROR(INDEX('Reservations'!$AD$2:$AD$251,MATCH(ROW()-46,$W$2:$W$251,0)),"")</f>
        <v/>
      </c>
      <c r="U47">
        <f>""</f>
        <v/>
      </c>
      <c r="V47">
        <f>IFERROR(IF(AND('Reservations'!$G47=$B$5,OR('Reservations'!$P47="Confirmed",'Reservations'!$P47="In House")),COUNTIFS('Reservations'!$G$2:'Reservations'!$G47,$B$5,'Reservations'!$P$2:'Reservations'!$P47,"Confirmed")+COUNTIFS('Reservations'!$G$2:'Reservations'!$G47,$B$5,'Reservations'!$P$2:'Reservations'!$P47,"In House"),""),"")</f>
        <v/>
      </c>
      <c r="W47">
        <f>IFERROR(IF(AND('Reservations'!$H47=$B$5,OR('Reservations'!$P47="In House",'Reservations'!$P47="Checked Out")),COUNTIFS('Reservations'!$H$2:'Reservations'!$H47,$B$5,'Reservations'!$P$2:'Reservations'!$P47,"In House")+COUNTIFS('Reservations'!$H$2:'Reservations'!$H47,$B$5,'Reservations'!$P$2:'Reservations'!$P47,"Checked Out"),""),"")</f>
        <v/>
      </c>
      <c r="Y47">
        <f>""</f>
        <v/>
      </c>
    </row>
    <row r="48">
      <c r="A48" s="21">
        <f>IFERROR(INDEX('Reservations'!$A$2:$A$251,MATCH(ROW()-46,$W$2:$W$251,0)),"")</f>
        <v/>
      </c>
      <c r="B48" s="21">
        <f>IFERROR(INDEX('Reservations'!$D$2:$D$251,MATCH(ROW()-46,$W$2:$W$251,0)),"")</f>
        <v/>
      </c>
      <c r="C48" s="48">
        <f>IFERROR(INDEX('Reservations'!$G$2:$G$251,MATCH(ROW()-46,$W$2:$W$251,0)),"")</f>
        <v/>
      </c>
      <c r="D48" s="48">
        <f>IFERROR(INDEX('Reservations'!$H$2:$H$251,MATCH(ROW()-46,$W$2:$W$251,0)),"")</f>
        <v/>
      </c>
      <c r="E48" s="21">
        <f>IFERROR(INDEX('Reservations'!$M$2:$M$251,MATCH(ROW()-46,$W$2:$W$251,0)),"")</f>
        <v/>
      </c>
      <c r="F48" s="21">
        <f>IFERROR(INDEX('Reservations'!$Q$2:$Q$251,MATCH(ROW()-46,$W$2:$W$251,0)),"")</f>
        <v/>
      </c>
      <c r="G48" s="21">
        <f>IFERROR(INDEX('Reservations'!$J$2:$J$251,MATCH(ROW()-46,$W$2:$W$251,0)),"")</f>
        <v/>
      </c>
      <c r="H48" s="21">
        <f>IFERROR(INDEX('Reservations'!$P$2:$P$251,MATCH(ROW()-46,$W$2:$W$251,0)),"")</f>
        <v/>
      </c>
      <c r="I48" s="49">
        <f>IFERROR(INDEX('Reservations'!$AD$2:$AD$251,MATCH(ROW()-46,$W$2:$W$251,0)),"")</f>
        <v/>
      </c>
      <c r="U48">
        <f>""</f>
        <v/>
      </c>
      <c r="V48">
        <f>IFERROR(IF(AND('Reservations'!$G48=$B$5,OR('Reservations'!$P48="Confirmed",'Reservations'!$P48="In House")),COUNTIFS('Reservations'!$G$2:'Reservations'!$G48,$B$5,'Reservations'!$P$2:'Reservations'!$P48,"Confirmed")+COUNTIFS('Reservations'!$G$2:'Reservations'!$G48,$B$5,'Reservations'!$P$2:'Reservations'!$P48,"In House"),""),"")</f>
        <v/>
      </c>
      <c r="W48">
        <f>IFERROR(IF(AND('Reservations'!$H48=$B$5,OR('Reservations'!$P48="In House",'Reservations'!$P48="Checked Out")),COUNTIFS('Reservations'!$H$2:'Reservations'!$H48,$B$5,'Reservations'!$P$2:'Reservations'!$P48,"In House")+COUNTIFS('Reservations'!$H$2:'Reservations'!$H48,$B$5,'Reservations'!$P$2:'Reservations'!$P48,"Checked Out"),""),"")</f>
        <v/>
      </c>
      <c r="Y48">
        <f>""</f>
        <v/>
      </c>
    </row>
    <row r="49">
      <c r="A49" s="18">
        <f>IFERROR(INDEX('Reservations'!$A$2:$A$251,MATCH(ROW()-46,$W$2:$W$251,0)),"")</f>
        <v/>
      </c>
      <c r="B49" s="18">
        <f>IFERROR(INDEX('Reservations'!$D$2:$D$251,MATCH(ROW()-46,$W$2:$W$251,0)),"")</f>
        <v/>
      </c>
      <c r="C49" s="46">
        <f>IFERROR(INDEX('Reservations'!$G$2:$G$251,MATCH(ROW()-46,$W$2:$W$251,0)),"")</f>
        <v/>
      </c>
      <c r="D49" s="46">
        <f>IFERROR(INDEX('Reservations'!$H$2:$H$251,MATCH(ROW()-46,$W$2:$W$251,0)),"")</f>
        <v/>
      </c>
      <c r="E49" s="18">
        <f>IFERROR(INDEX('Reservations'!$M$2:$M$251,MATCH(ROW()-46,$W$2:$W$251,0)),"")</f>
        <v/>
      </c>
      <c r="F49" s="18">
        <f>IFERROR(INDEX('Reservations'!$Q$2:$Q$251,MATCH(ROW()-46,$W$2:$W$251,0)),"")</f>
        <v/>
      </c>
      <c r="G49" s="18">
        <f>IFERROR(INDEX('Reservations'!$J$2:$J$251,MATCH(ROW()-46,$W$2:$W$251,0)),"")</f>
        <v/>
      </c>
      <c r="H49" s="18">
        <f>IFERROR(INDEX('Reservations'!$P$2:$P$251,MATCH(ROW()-46,$W$2:$W$251,0)),"")</f>
        <v/>
      </c>
      <c r="I49" s="47">
        <f>IFERROR(INDEX('Reservations'!$AD$2:$AD$251,MATCH(ROW()-46,$W$2:$W$251,0)),"")</f>
        <v/>
      </c>
      <c r="U49">
        <f>""</f>
        <v/>
      </c>
      <c r="V49">
        <f>IFERROR(IF(AND('Reservations'!$G49=$B$5,OR('Reservations'!$P49="Confirmed",'Reservations'!$P49="In House")),COUNTIFS('Reservations'!$G$2:'Reservations'!$G49,$B$5,'Reservations'!$P$2:'Reservations'!$P49,"Confirmed")+COUNTIFS('Reservations'!$G$2:'Reservations'!$G49,$B$5,'Reservations'!$P$2:'Reservations'!$P49,"In House"),""),"")</f>
        <v/>
      </c>
      <c r="W49">
        <f>IFERROR(IF(AND('Reservations'!$H49=$B$5,OR('Reservations'!$P49="In House",'Reservations'!$P49="Checked Out")),COUNTIFS('Reservations'!$H$2:'Reservations'!$H49,$B$5,'Reservations'!$P$2:'Reservations'!$P49,"In House")+COUNTIFS('Reservations'!$H$2:'Reservations'!$H49,$B$5,'Reservations'!$P$2:'Reservations'!$P49,"Checked Out"),""),"")</f>
        <v/>
      </c>
      <c r="Y49">
        <f>""</f>
        <v/>
      </c>
    </row>
    <row r="50">
      <c r="A50" s="21">
        <f>IFERROR(INDEX('Reservations'!$A$2:$A$251,MATCH(ROW()-46,$W$2:$W$251,0)),"")</f>
        <v/>
      </c>
      <c r="B50" s="21">
        <f>IFERROR(INDEX('Reservations'!$D$2:$D$251,MATCH(ROW()-46,$W$2:$W$251,0)),"")</f>
        <v/>
      </c>
      <c r="C50" s="48">
        <f>IFERROR(INDEX('Reservations'!$G$2:$G$251,MATCH(ROW()-46,$W$2:$W$251,0)),"")</f>
        <v/>
      </c>
      <c r="D50" s="48">
        <f>IFERROR(INDEX('Reservations'!$H$2:$H$251,MATCH(ROW()-46,$W$2:$W$251,0)),"")</f>
        <v/>
      </c>
      <c r="E50" s="21">
        <f>IFERROR(INDEX('Reservations'!$M$2:$M$251,MATCH(ROW()-46,$W$2:$W$251,0)),"")</f>
        <v/>
      </c>
      <c r="F50" s="21">
        <f>IFERROR(INDEX('Reservations'!$Q$2:$Q$251,MATCH(ROW()-46,$W$2:$W$251,0)),"")</f>
        <v/>
      </c>
      <c r="G50" s="21">
        <f>IFERROR(INDEX('Reservations'!$J$2:$J$251,MATCH(ROW()-46,$W$2:$W$251,0)),"")</f>
        <v/>
      </c>
      <c r="H50" s="21">
        <f>IFERROR(INDEX('Reservations'!$P$2:$P$251,MATCH(ROW()-46,$W$2:$W$251,0)),"")</f>
        <v/>
      </c>
      <c r="I50" s="49">
        <f>IFERROR(INDEX('Reservations'!$AD$2:$AD$251,MATCH(ROW()-46,$W$2:$W$251,0)),"")</f>
        <v/>
      </c>
      <c r="U50">
        <f>""</f>
        <v/>
      </c>
      <c r="V50">
        <f>IFERROR(IF(AND('Reservations'!$G50=$B$5,OR('Reservations'!$P50="Confirmed",'Reservations'!$P50="In House")),COUNTIFS('Reservations'!$G$2:'Reservations'!$G50,$B$5,'Reservations'!$P$2:'Reservations'!$P50,"Confirmed")+COUNTIFS('Reservations'!$G$2:'Reservations'!$G50,$B$5,'Reservations'!$P$2:'Reservations'!$P50,"In House"),""),"")</f>
        <v/>
      </c>
      <c r="W50">
        <f>IFERROR(IF(AND('Reservations'!$H50=$B$5,OR('Reservations'!$P50="In House",'Reservations'!$P50="Checked Out")),COUNTIFS('Reservations'!$H$2:'Reservations'!$H50,$B$5,'Reservations'!$P$2:'Reservations'!$P50,"In House")+COUNTIFS('Reservations'!$H$2:'Reservations'!$H50,$B$5,'Reservations'!$P$2:'Reservations'!$P50,"Checked Out"),""),"")</f>
        <v/>
      </c>
      <c r="Y50">
        <f>""</f>
        <v/>
      </c>
    </row>
    <row r="51">
      <c r="A51" s="18">
        <f>IFERROR(INDEX('Reservations'!$A$2:$A$251,MATCH(ROW()-46,$W$2:$W$251,0)),"")</f>
        <v/>
      </c>
      <c r="B51" s="18">
        <f>IFERROR(INDEX('Reservations'!$D$2:$D$251,MATCH(ROW()-46,$W$2:$W$251,0)),"")</f>
        <v/>
      </c>
      <c r="C51" s="46">
        <f>IFERROR(INDEX('Reservations'!$G$2:$G$251,MATCH(ROW()-46,$W$2:$W$251,0)),"")</f>
        <v/>
      </c>
      <c r="D51" s="46">
        <f>IFERROR(INDEX('Reservations'!$H$2:$H$251,MATCH(ROW()-46,$W$2:$W$251,0)),"")</f>
        <v/>
      </c>
      <c r="E51" s="18">
        <f>IFERROR(INDEX('Reservations'!$M$2:$M$251,MATCH(ROW()-46,$W$2:$W$251,0)),"")</f>
        <v/>
      </c>
      <c r="F51" s="18">
        <f>IFERROR(INDEX('Reservations'!$Q$2:$Q$251,MATCH(ROW()-46,$W$2:$W$251,0)),"")</f>
        <v/>
      </c>
      <c r="G51" s="18">
        <f>IFERROR(INDEX('Reservations'!$J$2:$J$251,MATCH(ROW()-46,$W$2:$W$251,0)),"")</f>
        <v/>
      </c>
      <c r="H51" s="18">
        <f>IFERROR(INDEX('Reservations'!$P$2:$P$251,MATCH(ROW()-46,$W$2:$W$251,0)),"")</f>
        <v/>
      </c>
      <c r="I51" s="47">
        <f>IFERROR(INDEX('Reservations'!$AD$2:$AD$251,MATCH(ROW()-46,$W$2:$W$251,0)),"")</f>
        <v/>
      </c>
      <c r="U51">
        <f>""</f>
        <v/>
      </c>
      <c r="V51">
        <f>IFERROR(IF(AND('Reservations'!$G51=$B$5,OR('Reservations'!$P51="Confirmed",'Reservations'!$P51="In House")),COUNTIFS('Reservations'!$G$2:'Reservations'!$G51,$B$5,'Reservations'!$P$2:'Reservations'!$P51,"Confirmed")+COUNTIFS('Reservations'!$G$2:'Reservations'!$G51,$B$5,'Reservations'!$P$2:'Reservations'!$P51,"In House"),""),"")</f>
        <v/>
      </c>
      <c r="W51">
        <f>IFERROR(IF(AND('Reservations'!$H51=$B$5,OR('Reservations'!$P51="In House",'Reservations'!$P51="Checked Out")),COUNTIFS('Reservations'!$H$2:'Reservations'!$H51,$B$5,'Reservations'!$P$2:'Reservations'!$P51,"In House")+COUNTIFS('Reservations'!$H$2:'Reservations'!$H51,$B$5,'Reservations'!$P$2:'Reservations'!$P51,"Checked Out"),""),"")</f>
        <v/>
      </c>
      <c r="Y51">
        <f>""</f>
        <v/>
      </c>
    </row>
    <row r="52">
      <c r="A52" s="21">
        <f>IFERROR(INDEX('Reservations'!$A$2:$A$251,MATCH(ROW()-46,$W$2:$W$251,0)),"")</f>
        <v/>
      </c>
      <c r="B52" s="21">
        <f>IFERROR(INDEX('Reservations'!$D$2:$D$251,MATCH(ROW()-46,$W$2:$W$251,0)),"")</f>
        <v/>
      </c>
      <c r="C52" s="48">
        <f>IFERROR(INDEX('Reservations'!$G$2:$G$251,MATCH(ROW()-46,$W$2:$W$251,0)),"")</f>
        <v/>
      </c>
      <c r="D52" s="48">
        <f>IFERROR(INDEX('Reservations'!$H$2:$H$251,MATCH(ROW()-46,$W$2:$W$251,0)),"")</f>
        <v/>
      </c>
      <c r="E52" s="21">
        <f>IFERROR(INDEX('Reservations'!$M$2:$M$251,MATCH(ROW()-46,$W$2:$W$251,0)),"")</f>
        <v/>
      </c>
      <c r="F52" s="21">
        <f>IFERROR(INDEX('Reservations'!$Q$2:$Q$251,MATCH(ROW()-46,$W$2:$W$251,0)),"")</f>
        <v/>
      </c>
      <c r="G52" s="21">
        <f>IFERROR(INDEX('Reservations'!$J$2:$J$251,MATCH(ROW()-46,$W$2:$W$251,0)),"")</f>
        <v/>
      </c>
      <c r="H52" s="21">
        <f>IFERROR(INDEX('Reservations'!$P$2:$P$251,MATCH(ROW()-46,$W$2:$W$251,0)),"")</f>
        <v/>
      </c>
      <c r="I52" s="49">
        <f>IFERROR(INDEX('Reservations'!$AD$2:$AD$251,MATCH(ROW()-46,$W$2:$W$251,0)),"")</f>
        <v/>
      </c>
      <c r="U52">
        <f>""</f>
        <v/>
      </c>
      <c r="V52">
        <f>IFERROR(IF(AND('Reservations'!$G52=$B$5,OR('Reservations'!$P52="Confirmed",'Reservations'!$P52="In House")),COUNTIFS('Reservations'!$G$2:'Reservations'!$G52,$B$5,'Reservations'!$P$2:'Reservations'!$P52,"Confirmed")+COUNTIFS('Reservations'!$G$2:'Reservations'!$G52,$B$5,'Reservations'!$P$2:'Reservations'!$P52,"In House"),""),"")</f>
        <v/>
      </c>
      <c r="W52">
        <f>IFERROR(IF(AND('Reservations'!$H52=$B$5,OR('Reservations'!$P52="In House",'Reservations'!$P52="Checked Out")),COUNTIFS('Reservations'!$H$2:'Reservations'!$H52,$B$5,'Reservations'!$P$2:'Reservations'!$P52,"In House")+COUNTIFS('Reservations'!$H$2:'Reservations'!$H52,$B$5,'Reservations'!$P$2:'Reservations'!$P52,"Checked Out"),""),"")</f>
        <v/>
      </c>
      <c r="Y52">
        <f>""</f>
        <v/>
      </c>
    </row>
    <row r="53">
      <c r="A53" s="18">
        <f>IFERROR(INDEX('Reservations'!$A$2:$A$251,MATCH(ROW()-46,$W$2:$W$251,0)),"")</f>
        <v/>
      </c>
      <c r="B53" s="18">
        <f>IFERROR(INDEX('Reservations'!$D$2:$D$251,MATCH(ROW()-46,$W$2:$W$251,0)),"")</f>
        <v/>
      </c>
      <c r="C53" s="46">
        <f>IFERROR(INDEX('Reservations'!$G$2:$G$251,MATCH(ROW()-46,$W$2:$W$251,0)),"")</f>
        <v/>
      </c>
      <c r="D53" s="46">
        <f>IFERROR(INDEX('Reservations'!$H$2:$H$251,MATCH(ROW()-46,$W$2:$W$251,0)),"")</f>
        <v/>
      </c>
      <c r="E53" s="18">
        <f>IFERROR(INDEX('Reservations'!$M$2:$M$251,MATCH(ROW()-46,$W$2:$W$251,0)),"")</f>
        <v/>
      </c>
      <c r="F53" s="18">
        <f>IFERROR(INDEX('Reservations'!$Q$2:$Q$251,MATCH(ROW()-46,$W$2:$W$251,0)),"")</f>
        <v/>
      </c>
      <c r="G53" s="18">
        <f>IFERROR(INDEX('Reservations'!$J$2:$J$251,MATCH(ROW()-46,$W$2:$W$251,0)),"")</f>
        <v/>
      </c>
      <c r="H53" s="18">
        <f>IFERROR(INDEX('Reservations'!$P$2:$P$251,MATCH(ROW()-46,$W$2:$W$251,0)),"")</f>
        <v/>
      </c>
      <c r="I53" s="47">
        <f>IFERROR(INDEX('Reservations'!$AD$2:$AD$251,MATCH(ROW()-46,$W$2:$W$251,0)),"")</f>
        <v/>
      </c>
      <c r="U53">
        <f>""</f>
        <v/>
      </c>
      <c r="V53">
        <f>IFERROR(IF(AND('Reservations'!$G53=$B$5,OR('Reservations'!$P53="Confirmed",'Reservations'!$P53="In House")),COUNTIFS('Reservations'!$G$2:'Reservations'!$G53,$B$5,'Reservations'!$P$2:'Reservations'!$P53,"Confirmed")+COUNTIFS('Reservations'!$G$2:'Reservations'!$G53,$B$5,'Reservations'!$P$2:'Reservations'!$P53,"In House"),""),"")</f>
        <v/>
      </c>
      <c r="W53">
        <f>IFERROR(IF(AND('Reservations'!$H53=$B$5,OR('Reservations'!$P53="In House",'Reservations'!$P53="Checked Out")),COUNTIFS('Reservations'!$H$2:'Reservations'!$H53,$B$5,'Reservations'!$P$2:'Reservations'!$P53,"In House")+COUNTIFS('Reservations'!$H$2:'Reservations'!$H53,$B$5,'Reservations'!$P$2:'Reservations'!$P53,"Checked Out"),""),"")</f>
        <v/>
      </c>
      <c r="Y53">
        <f>""</f>
        <v/>
      </c>
    </row>
    <row r="54">
      <c r="A54" s="21">
        <f>IFERROR(INDEX('Reservations'!$A$2:$A$251,MATCH(ROW()-46,$W$2:$W$251,0)),"")</f>
        <v/>
      </c>
      <c r="B54" s="21">
        <f>IFERROR(INDEX('Reservations'!$D$2:$D$251,MATCH(ROW()-46,$W$2:$W$251,0)),"")</f>
        <v/>
      </c>
      <c r="C54" s="48">
        <f>IFERROR(INDEX('Reservations'!$G$2:$G$251,MATCH(ROW()-46,$W$2:$W$251,0)),"")</f>
        <v/>
      </c>
      <c r="D54" s="48">
        <f>IFERROR(INDEX('Reservations'!$H$2:$H$251,MATCH(ROW()-46,$W$2:$W$251,0)),"")</f>
        <v/>
      </c>
      <c r="E54" s="21">
        <f>IFERROR(INDEX('Reservations'!$M$2:$M$251,MATCH(ROW()-46,$W$2:$W$251,0)),"")</f>
        <v/>
      </c>
      <c r="F54" s="21">
        <f>IFERROR(INDEX('Reservations'!$Q$2:$Q$251,MATCH(ROW()-46,$W$2:$W$251,0)),"")</f>
        <v/>
      </c>
      <c r="G54" s="21">
        <f>IFERROR(INDEX('Reservations'!$J$2:$J$251,MATCH(ROW()-46,$W$2:$W$251,0)),"")</f>
        <v/>
      </c>
      <c r="H54" s="21">
        <f>IFERROR(INDEX('Reservations'!$P$2:$P$251,MATCH(ROW()-46,$W$2:$W$251,0)),"")</f>
        <v/>
      </c>
      <c r="I54" s="49">
        <f>IFERROR(INDEX('Reservations'!$AD$2:$AD$251,MATCH(ROW()-46,$W$2:$W$251,0)),"")</f>
        <v/>
      </c>
      <c r="U54">
        <f>""</f>
        <v/>
      </c>
      <c r="V54">
        <f>IFERROR(IF(AND('Reservations'!$G54=$B$5,OR('Reservations'!$P54="Confirmed",'Reservations'!$P54="In House")),COUNTIFS('Reservations'!$G$2:'Reservations'!$G54,$B$5,'Reservations'!$P$2:'Reservations'!$P54,"Confirmed")+COUNTIFS('Reservations'!$G$2:'Reservations'!$G54,$B$5,'Reservations'!$P$2:'Reservations'!$P54,"In House"),""),"")</f>
        <v/>
      </c>
      <c r="W54">
        <f>IFERROR(IF(AND('Reservations'!$H54=$B$5,OR('Reservations'!$P54="In House",'Reservations'!$P54="Checked Out")),COUNTIFS('Reservations'!$H$2:'Reservations'!$H54,$B$5,'Reservations'!$P$2:'Reservations'!$P54,"In House")+COUNTIFS('Reservations'!$H$2:'Reservations'!$H54,$B$5,'Reservations'!$P$2:'Reservations'!$P54,"Checked Out"),""),"")</f>
        <v/>
      </c>
      <c r="Y54">
        <f>""</f>
        <v/>
      </c>
    </row>
    <row r="55">
      <c r="A55" s="18">
        <f>IFERROR(INDEX('Reservations'!$A$2:$A$251,MATCH(ROW()-46,$W$2:$W$251,0)),"")</f>
        <v/>
      </c>
      <c r="B55" s="18">
        <f>IFERROR(INDEX('Reservations'!$D$2:$D$251,MATCH(ROW()-46,$W$2:$W$251,0)),"")</f>
        <v/>
      </c>
      <c r="C55" s="46">
        <f>IFERROR(INDEX('Reservations'!$G$2:$G$251,MATCH(ROW()-46,$W$2:$W$251,0)),"")</f>
        <v/>
      </c>
      <c r="D55" s="46">
        <f>IFERROR(INDEX('Reservations'!$H$2:$H$251,MATCH(ROW()-46,$W$2:$W$251,0)),"")</f>
        <v/>
      </c>
      <c r="E55" s="18">
        <f>IFERROR(INDEX('Reservations'!$M$2:$M$251,MATCH(ROW()-46,$W$2:$W$251,0)),"")</f>
        <v/>
      </c>
      <c r="F55" s="18">
        <f>IFERROR(INDEX('Reservations'!$Q$2:$Q$251,MATCH(ROW()-46,$W$2:$W$251,0)),"")</f>
        <v/>
      </c>
      <c r="G55" s="18">
        <f>IFERROR(INDEX('Reservations'!$J$2:$J$251,MATCH(ROW()-46,$W$2:$W$251,0)),"")</f>
        <v/>
      </c>
      <c r="H55" s="18">
        <f>IFERROR(INDEX('Reservations'!$P$2:$P$251,MATCH(ROW()-46,$W$2:$W$251,0)),"")</f>
        <v/>
      </c>
      <c r="I55" s="47">
        <f>IFERROR(INDEX('Reservations'!$AD$2:$AD$251,MATCH(ROW()-46,$W$2:$W$251,0)),"")</f>
        <v/>
      </c>
      <c r="U55">
        <f>""</f>
        <v/>
      </c>
      <c r="V55">
        <f>IFERROR(IF(AND('Reservations'!$G55=$B$5,OR('Reservations'!$P55="Confirmed",'Reservations'!$P55="In House")),COUNTIFS('Reservations'!$G$2:'Reservations'!$G55,$B$5,'Reservations'!$P$2:'Reservations'!$P55,"Confirmed")+COUNTIFS('Reservations'!$G$2:'Reservations'!$G55,$B$5,'Reservations'!$P$2:'Reservations'!$P55,"In House"),""),"")</f>
        <v/>
      </c>
      <c r="W55">
        <f>IFERROR(IF(AND('Reservations'!$H55=$B$5,OR('Reservations'!$P55="In House",'Reservations'!$P55="Checked Out")),COUNTIFS('Reservations'!$H$2:'Reservations'!$H55,$B$5,'Reservations'!$P$2:'Reservations'!$P55,"In House")+COUNTIFS('Reservations'!$H$2:'Reservations'!$H55,$B$5,'Reservations'!$P$2:'Reservations'!$P55,"Checked Out"),""),"")</f>
        <v/>
      </c>
      <c r="Y55">
        <f>""</f>
        <v/>
      </c>
    </row>
    <row r="56">
      <c r="A56" s="21">
        <f>IFERROR(INDEX('Reservations'!$A$2:$A$251,MATCH(ROW()-46,$W$2:$W$251,0)),"")</f>
        <v/>
      </c>
      <c r="B56" s="21">
        <f>IFERROR(INDEX('Reservations'!$D$2:$D$251,MATCH(ROW()-46,$W$2:$W$251,0)),"")</f>
        <v/>
      </c>
      <c r="C56" s="48">
        <f>IFERROR(INDEX('Reservations'!$G$2:$G$251,MATCH(ROW()-46,$W$2:$W$251,0)),"")</f>
        <v/>
      </c>
      <c r="D56" s="48">
        <f>IFERROR(INDEX('Reservations'!$H$2:$H$251,MATCH(ROW()-46,$W$2:$W$251,0)),"")</f>
        <v/>
      </c>
      <c r="E56" s="21">
        <f>IFERROR(INDEX('Reservations'!$M$2:$M$251,MATCH(ROW()-46,$W$2:$W$251,0)),"")</f>
        <v/>
      </c>
      <c r="F56" s="21">
        <f>IFERROR(INDEX('Reservations'!$Q$2:$Q$251,MATCH(ROW()-46,$W$2:$W$251,0)),"")</f>
        <v/>
      </c>
      <c r="G56" s="21">
        <f>IFERROR(INDEX('Reservations'!$J$2:$J$251,MATCH(ROW()-46,$W$2:$W$251,0)),"")</f>
        <v/>
      </c>
      <c r="H56" s="21">
        <f>IFERROR(INDEX('Reservations'!$P$2:$P$251,MATCH(ROW()-46,$W$2:$W$251,0)),"")</f>
        <v/>
      </c>
      <c r="I56" s="49">
        <f>IFERROR(INDEX('Reservations'!$AD$2:$AD$251,MATCH(ROW()-46,$W$2:$W$251,0)),"")</f>
        <v/>
      </c>
      <c r="U56">
        <f>""</f>
        <v/>
      </c>
      <c r="V56">
        <f>IFERROR(IF(AND('Reservations'!$G56=$B$5,OR('Reservations'!$P56="Confirmed",'Reservations'!$P56="In House")),COUNTIFS('Reservations'!$G$2:'Reservations'!$G56,$B$5,'Reservations'!$P$2:'Reservations'!$P56,"Confirmed")+COUNTIFS('Reservations'!$G$2:'Reservations'!$G56,$B$5,'Reservations'!$P$2:'Reservations'!$P56,"In House"),""),"")</f>
        <v/>
      </c>
      <c r="W56">
        <f>IFERROR(IF(AND('Reservations'!$H56=$B$5,OR('Reservations'!$P56="In House",'Reservations'!$P56="Checked Out")),COUNTIFS('Reservations'!$H$2:'Reservations'!$H56,$B$5,'Reservations'!$P$2:'Reservations'!$P56,"In House")+COUNTIFS('Reservations'!$H$2:'Reservations'!$H56,$B$5,'Reservations'!$P$2:'Reservations'!$P56,"Checked Out"),""),"")</f>
        <v/>
      </c>
      <c r="Y56">
        <f>""</f>
        <v/>
      </c>
    </row>
    <row r="57">
      <c r="A57">
        <f>""</f>
        <v/>
      </c>
      <c r="B57">
        <f>""</f>
        <v/>
      </c>
      <c r="C57">
        <f>""</f>
        <v/>
      </c>
      <c r="D57">
        <f>""</f>
        <v/>
      </c>
      <c r="E57">
        <f>""</f>
        <v/>
      </c>
      <c r="F57">
        <f>""</f>
        <v/>
      </c>
      <c r="G57">
        <f>""</f>
        <v/>
      </c>
      <c r="H57">
        <f>""</f>
        <v/>
      </c>
      <c r="I57">
        <f>""</f>
        <v/>
      </c>
      <c r="U57">
        <f>""</f>
        <v/>
      </c>
      <c r="V57">
        <f>IFERROR(IF(AND('Reservations'!$G57=$B$5,OR('Reservations'!$P57="Confirmed",'Reservations'!$P57="In House")),COUNTIFS('Reservations'!$G$2:'Reservations'!$G57,$B$5,'Reservations'!$P$2:'Reservations'!$P57,"Confirmed")+COUNTIFS('Reservations'!$G$2:'Reservations'!$G57,$B$5,'Reservations'!$P$2:'Reservations'!$P57,"In House"),""),"")</f>
        <v/>
      </c>
      <c r="W57">
        <f>IFERROR(IF(AND('Reservations'!$H57=$B$5,OR('Reservations'!$P57="In House",'Reservations'!$P57="Checked Out")),COUNTIFS('Reservations'!$H$2:'Reservations'!$H57,$B$5,'Reservations'!$P$2:'Reservations'!$P57,"In House")+COUNTIFS('Reservations'!$H$2:'Reservations'!$H57,$B$5,'Reservations'!$P$2:'Reservations'!$P57,"Checked Out"),""),"")</f>
        <v/>
      </c>
      <c r="Y57">
        <f>""</f>
        <v/>
      </c>
    </row>
    <row r="58">
      <c r="A58">
        <f>""</f>
        <v/>
      </c>
      <c r="B58">
        <f>""</f>
        <v/>
      </c>
      <c r="C58">
        <f>""</f>
        <v/>
      </c>
      <c r="D58">
        <f>""</f>
        <v/>
      </c>
      <c r="E58">
        <f>""</f>
        <v/>
      </c>
      <c r="F58">
        <f>""</f>
        <v/>
      </c>
      <c r="G58">
        <f>""</f>
        <v/>
      </c>
      <c r="H58">
        <f>""</f>
        <v/>
      </c>
      <c r="I58">
        <f>""</f>
        <v/>
      </c>
      <c r="U58">
        <f>""</f>
        <v/>
      </c>
      <c r="V58">
        <f>IFERROR(IF(AND('Reservations'!$G58=$B$5,OR('Reservations'!$P58="Confirmed",'Reservations'!$P58="In House")),COUNTIFS('Reservations'!$G$2:'Reservations'!$G58,$B$5,'Reservations'!$P$2:'Reservations'!$P58,"Confirmed")+COUNTIFS('Reservations'!$G$2:'Reservations'!$G58,$B$5,'Reservations'!$P$2:'Reservations'!$P58,"In House"),""),"")</f>
        <v/>
      </c>
      <c r="W58">
        <f>IFERROR(IF(AND('Reservations'!$H58=$B$5,OR('Reservations'!$P58="In House",'Reservations'!$P58="Checked Out")),COUNTIFS('Reservations'!$H$2:'Reservations'!$H58,$B$5,'Reservations'!$P$2:'Reservations'!$P58,"In House")+COUNTIFS('Reservations'!$H$2:'Reservations'!$H58,$B$5,'Reservations'!$P$2:'Reservations'!$P58,"Checked Out"),""),"")</f>
        <v/>
      </c>
      <c r="Y58">
        <f>""</f>
        <v/>
      </c>
    </row>
    <row r="59">
      <c r="A59">
        <f>""</f>
        <v/>
      </c>
      <c r="B59">
        <f>""</f>
        <v/>
      </c>
      <c r="C59">
        <f>""</f>
        <v/>
      </c>
      <c r="D59">
        <f>""</f>
        <v/>
      </c>
      <c r="E59">
        <f>""</f>
        <v/>
      </c>
      <c r="F59">
        <f>""</f>
        <v/>
      </c>
      <c r="G59">
        <f>""</f>
        <v/>
      </c>
      <c r="H59">
        <f>""</f>
        <v/>
      </c>
      <c r="I59">
        <f>""</f>
        <v/>
      </c>
      <c r="U59">
        <f>""</f>
        <v/>
      </c>
      <c r="V59">
        <f>IFERROR(IF(AND('Reservations'!$G59=$B$5,OR('Reservations'!$P59="Confirmed",'Reservations'!$P59="In House")),COUNTIFS('Reservations'!$G$2:'Reservations'!$G59,$B$5,'Reservations'!$P$2:'Reservations'!$P59,"Confirmed")+COUNTIFS('Reservations'!$G$2:'Reservations'!$G59,$B$5,'Reservations'!$P$2:'Reservations'!$P59,"In House"),""),"")</f>
        <v/>
      </c>
      <c r="W59">
        <f>IFERROR(IF(AND('Reservations'!$H59=$B$5,OR('Reservations'!$P59="In House",'Reservations'!$P59="Checked Out")),COUNTIFS('Reservations'!$H$2:'Reservations'!$H59,$B$5,'Reservations'!$P$2:'Reservations'!$P59,"In House")+COUNTIFS('Reservations'!$H$2:'Reservations'!$H59,$B$5,'Reservations'!$P$2:'Reservations'!$P59,"Checked Out"),""),"")</f>
        <v/>
      </c>
      <c r="Y59">
        <f>""</f>
        <v/>
      </c>
    </row>
    <row r="60">
      <c r="A60">
        <f>""</f>
        <v/>
      </c>
      <c r="B60">
        <f>""</f>
        <v/>
      </c>
      <c r="C60">
        <f>""</f>
        <v/>
      </c>
      <c r="D60">
        <f>""</f>
        <v/>
      </c>
      <c r="E60">
        <f>""</f>
        <v/>
      </c>
      <c r="F60">
        <f>""</f>
        <v/>
      </c>
      <c r="G60">
        <f>""</f>
        <v/>
      </c>
      <c r="H60">
        <f>""</f>
        <v/>
      </c>
      <c r="I60">
        <f>""</f>
        <v/>
      </c>
      <c r="U60">
        <f>""</f>
        <v/>
      </c>
      <c r="V60">
        <f>IFERROR(IF(AND('Reservations'!$G60=$B$5,OR('Reservations'!$P60="Confirmed",'Reservations'!$P60="In House")),COUNTIFS('Reservations'!$G$2:'Reservations'!$G60,$B$5,'Reservations'!$P$2:'Reservations'!$P60,"Confirmed")+COUNTIFS('Reservations'!$G$2:'Reservations'!$G60,$B$5,'Reservations'!$P$2:'Reservations'!$P60,"In House"),""),"")</f>
        <v/>
      </c>
      <c r="W60">
        <f>IFERROR(IF(AND('Reservations'!$H60=$B$5,OR('Reservations'!$P60="In House",'Reservations'!$P60="Checked Out")),COUNTIFS('Reservations'!$H$2:'Reservations'!$H60,$B$5,'Reservations'!$P$2:'Reservations'!$P60,"In House")+COUNTIFS('Reservations'!$H$2:'Reservations'!$H60,$B$5,'Reservations'!$P$2:'Reservations'!$P60,"Checked Out"),""),"")</f>
        <v/>
      </c>
      <c r="Y60">
        <f>""</f>
        <v/>
      </c>
    </row>
    <row r="61">
      <c r="A61">
        <f>""</f>
        <v/>
      </c>
      <c r="B61">
        <f>""</f>
        <v/>
      </c>
      <c r="C61">
        <f>""</f>
        <v/>
      </c>
      <c r="D61">
        <f>""</f>
        <v/>
      </c>
      <c r="E61">
        <f>""</f>
        <v/>
      </c>
      <c r="F61">
        <f>""</f>
        <v/>
      </c>
      <c r="G61">
        <f>""</f>
        <v/>
      </c>
      <c r="H61">
        <f>""</f>
        <v/>
      </c>
      <c r="I61">
        <f>""</f>
        <v/>
      </c>
      <c r="U61">
        <f>""</f>
        <v/>
      </c>
      <c r="V61">
        <f>IFERROR(IF(AND('Reservations'!$G61=$B$5,OR('Reservations'!$P61="Confirmed",'Reservations'!$P61="In House")),COUNTIFS('Reservations'!$G$2:'Reservations'!$G61,$B$5,'Reservations'!$P$2:'Reservations'!$P61,"Confirmed")+COUNTIFS('Reservations'!$G$2:'Reservations'!$G61,$B$5,'Reservations'!$P$2:'Reservations'!$P61,"In House"),""),"")</f>
        <v/>
      </c>
      <c r="W61">
        <f>IFERROR(IF(AND('Reservations'!$H61=$B$5,OR('Reservations'!$P61="In House",'Reservations'!$P61="Checked Out")),COUNTIFS('Reservations'!$H$2:'Reservations'!$H61,$B$5,'Reservations'!$P$2:'Reservations'!$P61,"In House")+COUNTIFS('Reservations'!$H$2:'Reservations'!$H61,$B$5,'Reservations'!$P$2:'Reservations'!$P61,"Checked Out"),""),"")</f>
        <v/>
      </c>
      <c r="Y61">
        <f>""</f>
        <v/>
      </c>
    </row>
    <row r="62">
      <c r="A62">
        <f>""</f>
        <v/>
      </c>
      <c r="B62">
        <f>""</f>
        <v/>
      </c>
      <c r="C62">
        <f>""</f>
        <v/>
      </c>
      <c r="D62">
        <f>""</f>
        <v/>
      </c>
      <c r="E62">
        <f>""</f>
        <v/>
      </c>
      <c r="F62">
        <f>""</f>
        <v/>
      </c>
      <c r="G62">
        <f>""</f>
        <v/>
      </c>
      <c r="H62">
        <f>""</f>
        <v/>
      </c>
      <c r="I62">
        <f>""</f>
        <v/>
      </c>
      <c r="U62">
        <f>""</f>
        <v/>
      </c>
      <c r="V62">
        <f>IFERROR(IF(AND('Reservations'!$G62=$B$5,OR('Reservations'!$P62="Confirmed",'Reservations'!$P62="In House")),COUNTIFS('Reservations'!$G$2:'Reservations'!$G62,$B$5,'Reservations'!$P$2:'Reservations'!$P62,"Confirmed")+COUNTIFS('Reservations'!$G$2:'Reservations'!$G62,$B$5,'Reservations'!$P$2:'Reservations'!$P62,"In House"),""),"")</f>
        <v/>
      </c>
      <c r="W62">
        <f>IFERROR(IF(AND('Reservations'!$H62=$B$5,OR('Reservations'!$P62="In House",'Reservations'!$P62="Checked Out")),COUNTIFS('Reservations'!$H$2:'Reservations'!$H62,$B$5,'Reservations'!$P$2:'Reservations'!$P62,"In House")+COUNTIFS('Reservations'!$H$2:'Reservations'!$H62,$B$5,'Reservations'!$P$2:'Reservations'!$P62,"Checked Out"),""),"")</f>
        <v/>
      </c>
      <c r="Y62">
        <f>""</f>
        <v/>
      </c>
    </row>
    <row r="63">
      <c r="A63">
        <f>""</f>
        <v/>
      </c>
      <c r="B63">
        <f>""</f>
        <v/>
      </c>
      <c r="C63">
        <f>""</f>
        <v/>
      </c>
      <c r="D63">
        <f>""</f>
        <v/>
      </c>
      <c r="E63">
        <f>""</f>
        <v/>
      </c>
      <c r="F63">
        <f>""</f>
        <v/>
      </c>
      <c r="G63">
        <f>""</f>
        <v/>
      </c>
      <c r="H63">
        <f>""</f>
        <v/>
      </c>
      <c r="I63">
        <f>""</f>
        <v/>
      </c>
      <c r="U63">
        <f>""</f>
        <v/>
      </c>
      <c r="V63">
        <f>IFERROR(IF(AND('Reservations'!$G63=$B$5,OR('Reservations'!$P63="Confirmed",'Reservations'!$P63="In House")),COUNTIFS('Reservations'!$G$2:'Reservations'!$G63,$B$5,'Reservations'!$P$2:'Reservations'!$P63,"Confirmed")+COUNTIFS('Reservations'!$G$2:'Reservations'!$G63,$B$5,'Reservations'!$P$2:'Reservations'!$P63,"In House"),""),"")</f>
        <v/>
      </c>
      <c r="W63">
        <f>IFERROR(IF(AND('Reservations'!$H63=$B$5,OR('Reservations'!$P63="In House",'Reservations'!$P63="Checked Out")),COUNTIFS('Reservations'!$H$2:'Reservations'!$H63,$B$5,'Reservations'!$P$2:'Reservations'!$P63,"In House")+COUNTIFS('Reservations'!$H$2:'Reservations'!$H63,$B$5,'Reservations'!$P$2:'Reservations'!$P63,"Checked Out"),""),"")</f>
        <v/>
      </c>
      <c r="Y63">
        <f>""</f>
        <v/>
      </c>
    </row>
    <row r="64">
      <c r="A64">
        <f>""</f>
        <v/>
      </c>
      <c r="B64">
        <f>""</f>
        <v/>
      </c>
      <c r="C64">
        <f>""</f>
        <v/>
      </c>
      <c r="D64">
        <f>""</f>
        <v/>
      </c>
      <c r="E64">
        <f>""</f>
        <v/>
      </c>
      <c r="F64">
        <f>""</f>
        <v/>
      </c>
      <c r="G64">
        <f>""</f>
        <v/>
      </c>
      <c r="H64">
        <f>""</f>
        <v/>
      </c>
      <c r="I64">
        <f>""</f>
        <v/>
      </c>
      <c r="U64">
        <f>""</f>
        <v/>
      </c>
      <c r="V64">
        <f>IFERROR(IF(AND('Reservations'!$G64=$B$5,OR('Reservations'!$P64="Confirmed",'Reservations'!$P64="In House")),COUNTIFS('Reservations'!$G$2:'Reservations'!$G64,$B$5,'Reservations'!$P$2:'Reservations'!$P64,"Confirmed")+COUNTIFS('Reservations'!$G$2:'Reservations'!$G64,$B$5,'Reservations'!$P$2:'Reservations'!$P64,"In House"),""),"")</f>
        <v/>
      </c>
      <c r="W64">
        <f>IFERROR(IF(AND('Reservations'!$H64=$B$5,OR('Reservations'!$P64="In House",'Reservations'!$P64="Checked Out")),COUNTIFS('Reservations'!$H$2:'Reservations'!$H64,$B$5,'Reservations'!$P$2:'Reservations'!$P64,"In House")+COUNTIFS('Reservations'!$H$2:'Reservations'!$H64,$B$5,'Reservations'!$P$2:'Reservations'!$P64,"Checked Out"),""),"")</f>
        <v/>
      </c>
      <c r="Y64">
        <f>""</f>
        <v/>
      </c>
    </row>
    <row r="65">
      <c r="A65">
        <f>""</f>
        <v/>
      </c>
      <c r="B65">
        <f>""</f>
        <v/>
      </c>
      <c r="C65">
        <f>""</f>
        <v/>
      </c>
      <c r="D65">
        <f>""</f>
        <v/>
      </c>
      <c r="E65">
        <f>""</f>
        <v/>
      </c>
      <c r="F65">
        <f>""</f>
        <v/>
      </c>
      <c r="G65">
        <f>""</f>
        <v/>
      </c>
      <c r="H65">
        <f>""</f>
        <v/>
      </c>
      <c r="I65">
        <f>""</f>
        <v/>
      </c>
      <c r="U65">
        <f>""</f>
        <v/>
      </c>
      <c r="V65">
        <f>IFERROR(IF(AND('Reservations'!$G65=$B$5,OR('Reservations'!$P65="Confirmed",'Reservations'!$P65="In House")),COUNTIFS('Reservations'!$G$2:'Reservations'!$G65,$B$5,'Reservations'!$P$2:'Reservations'!$P65,"Confirmed")+COUNTIFS('Reservations'!$G$2:'Reservations'!$G65,$B$5,'Reservations'!$P$2:'Reservations'!$P65,"In House"),""),"")</f>
        <v/>
      </c>
      <c r="W65">
        <f>IFERROR(IF(AND('Reservations'!$H65=$B$5,OR('Reservations'!$P65="In House",'Reservations'!$P65="Checked Out")),COUNTIFS('Reservations'!$H$2:'Reservations'!$H65,$B$5,'Reservations'!$P$2:'Reservations'!$P65,"In House")+COUNTIFS('Reservations'!$H$2:'Reservations'!$H65,$B$5,'Reservations'!$P$2:'Reservations'!$P65,"Checked Out"),""),"")</f>
        <v/>
      </c>
      <c r="Y65">
        <f>""</f>
        <v/>
      </c>
    </row>
    <row r="66">
      <c r="A66">
        <f>""</f>
        <v/>
      </c>
      <c r="B66">
        <f>""</f>
        <v/>
      </c>
      <c r="C66">
        <f>""</f>
        <v/>
      </c>
      <c r="D66">
        <f>""</f>
        <v/>
      </c>
      <c r="E66">
        <f>""</f>
        <v/>
      </c>
      <c r="F66">
        <f>""</f>
        <v/>
      </c>
      <c r="G66">
        <f>""</f>
        <v/>
      </c>
      <c r="H66">
        <f>""</f>
        <v/>
      </c>
      <c r="I66">
        <f>""</f>
        <v/>
      </c>
      <c r="U66">
        <f>""</f>
        <v/>
      </c>
      <c r="V66">
        <f>IFERROR(IF(AND('Reservations'!$G66=$B$5,OR('Reservations'!$P66="Confirmed",'Reservations'!$P66="In House")),COUNTIFS('Reservations'!$G$2:'Reservations'!$G66,$B$5,'Reservations'!$P$2:'Reservations'!$P66,"Confirmed")+COUNTIFS('Reservations'!$G$2:'Reservations'!$G66,$B$5,'Reservations'!$P$2:'Reservations'!$P66,"In House"),""),"")</f>
        <v/>
      </c>
      <c r="W66">
        <f>IFERROR(IF(AND('Reservations'!$H66=$B$5,OR('Reservations'!$P66="In House",'Reservations'!$P66="Checked Out")),COUNTIFS('Reservations'!$H$2:'Reservations'!$H66,$B$5,'Reservations'!$P$2:'Reservations'!$P66,"In House")+COUNTIFS('Reservations'!$H$2:'Reservations'!$H66,$B$5,'Reservations'!$P$2:'Reservations'!$P66,"Checked Out"),""),"")</f>
        <v/>
      </c>
      <c r="Y66">
        <f>""</f>
        <v/>
      </c>
    </row>
    <row r="67">
      <c r="A67">
        <f>""</f>
        <v/>
      </c>
      <c r="B67">
        <f>""</f>
        <v/>
      </c>
      <c r="C67">
        <f>""</f>
        <v/>
      </c>
      <c r="D67">
        <f>""</f>
        <v/>
      </c>
      <c r="E67">
        <f>""</f>
        <v/>
      </c>
      <c r="F67">
        <f>""</f>
        <v/>
      </c>
      <c r="G67">
        <f>""</f>
        <v/>
      </c>
      <c r="H67">
        <f>""</f>
        <v/>
      </c>
      <c r="I67">
        <f>""</f>
        <v/>
      </c>
      <c r="U67">
        <f>""</f>
        <v/>
      </c>
      <c r="V67">
        <f>IFERROR(IF(AND('Reservations'!$G67=$B$5,OR('Reservations'!$P67="Confirmed",'Reservations'!$P67="In House")),COUNTIFS('Reservations'!$G$2:'Reservations'!$G67,$B$5,'Reservations'!$P$2:'Reservations'!$P67,"Confirmed")+COUNTIFS('Reservations'!$G$2:'Reservations'!$G67,$B$5,'Reservations'!$P$2:'Reservations'!$P67,"In House"),""),"")</f>
        <v/>
      </c>
      <c r="W67">
        <f>IFERROR(IF(AND('Reservations'!$H67=$B$5,OR('Reservations'!$P67="In House",'Reservations'!$P67="Checked Out")),COUNTIFS('Reservations'!$H$2:'Reservations'!$H67,$B$5,'Reservations'!$P$2:'Reservations'!$P67,"In House")+COUNTIFS('Reservations'!$H$2:'Reservations'!$H67,$B$5,'Reservations'!$P$2:'Reservations'!$P67,"Checked Out"),""),"")</f>
        <v/>
      </c>
      <c r="Y67">
        <f>""</f>
        <v/>
      </c>
    </row>
    <row r="68">
      <c r="A68">
        <f>""</f>
        <v/>
      </c>
      <c r="B68">
        <f>""</f>
        <v/>
      </c>
      <c r="C68">
        <f>""</f>
        <v/>
      </c>
      <c r="D68">
        <f>""</f>
        <v/>
      </c>
      <c r="E68">
        <f>""</f>
        <v/>
      </c>
      <c r="F68">
        <f>""</f>
        <v/>
      </c>
      <c r="G68">
        <f>""</f>
        <v/>
      </c>
      <c r="H68">
        <f>""</f>
        <v/>
      </c>
      <c r="I68">
        <f>""</f>
        <v/>
      </c>
      <c r="U68">
        <f>""</f>
        <v/>
      </c>
      <c r="V68">
        <f>IFERROR(IF(AND('Reservations'!$G68=$B$5,OR('Reservations'!$P68="Confirmed",'Reservations'!$P68="In House")),COUNTIFS('Reservations'!$G$2:'Reservations'!$G68,$B$5,'Reservations'!$P$2:'Reservations'!$P68,"Confirmed")+COUNTIFS('Reservations'!$G$2:'Reservations'!$G68,$B$5,'Reservations'!$P$2:'Reservations'!$P68,"In House"),""),"")</f>
        <v/>
      </c>
      <c r="W68">
        <f>IFERROR(IF(AND('Reservations'!$H68=$B$5,OR('Reservations'!$P68="In House",'Reservations'!$P68="Checked Out")),COUNTIFS('Reservations'!$H$2:'Reservations'!$H68,$B$5,'Reservations'!$P$2:'Reservations'!$P68,"In House")+COUNTIFS('Reservations'!$H$2:'Reservations'!$H68,$B$5,'Reservations'!$P$2:'Reservations'!$P68,"Checked Out"),""),"")</f>
        <v/>
      </c>
      <c r="Y68">
        <f>""</f>
        <v/>
      </c>
    </row>
    <row r="69">
      <c r="A69">
        <f>""</f>
        <v/>
      </c>
      <c r="B69">
        <f>""</f>
        <v/>
      </c>
      <c r="C69">
        <f>""</f>
        <v/>
      </c>
      <c r="D69">
        <f>""</f>
        <v/>
      </c>
      <c r="E69">
        <f>""</f>
        <v/>
      </c>
      <c r="F69">
        <f>""</f>
        <v/>
      </c>
      <c r="G69">
        <f>""</f>
        <v/>
      </c>
      <c r="H69">
        <f>""</f>
        <v/>
      </c>
      <c r="I69">
        <f>""</f>
        <v/>
      </c>
      <c r="U69">
        <f>""</f>
        <v/>
      </c>
      <c r="V69">
        <f>IFERROR(IF(AND('Reservations'!$G69=$B$5,OR('Reservations'!$P69="Confirmed",'Reservations'!$P69="In House")),COUNTIFS('Reservations'!$G$2:'Reservations'!$G69,$B$5,'Reservations'!$P$2:'Reservations'!$P69,"Confirmed")+COUNTIFS('Reservations'!$G$2:'Reservations'!$G69,$B$5,'Reservations'!$P$2:'Reservations'!$P69,"In House"),""),"")</f>
        <v/>
      </c>
      <c r="W69">
        <f>IFERROR(IF(AND('Reservations'!$H69=$B$5,OR('Reservations'!$P69="In House",'Reservations'!$P69="Checked Out")),COUNTIFS('Reservations'!$H$2:'Reservations'!$H69,$B$5,'Reservations'!$P$2:'Reservations'!$P69,"In House")+COUNTIFS('Reservations'!$H$2:'Reservations'!$H69,$B$5,'Reservations'!$P$2:'Reservations'!$P69,"Checked Out"),""),"")</f>
        <v/>
      </c>
      <c r="Y69">
        <f>""</f>
        <v/>
      </c>
    </row>
    <row r="70">
      <c r="A70">
        <f>""</f>
        <v/>
      </c>
      <c r="B70">
        <f>""</f>
        <v/>
      </c>
      <c r="C70">
        <f>""</f>
        <v/>
      </c>
      <c r="D70">
        <f>""</f>
        <v/>
      </c>
      <c r="E70">
        <f>""</f>
        <v/>
      </c>
      <c r="F70">
        <f>""</f>
        <v/>
      </c>
      <c r="G70">
        <f>""</f>
        <v/>
      </c>
      <c r="H70">
        <f>""</f>
        <v/>
      </c>
      <c r="I70">
        <f>""</f>
        <v/>
      </c>
      <c r="U70">
        <f>""</f>
        <v/>
      </c>
      <c r="V70">
        <f>IFERROR(IF(AND('Reservations'!$G70=$B$5,OR('Reservations'!$P70="Confirmed",'Reservations'!$P70="In House")),COUNTIFS('Reservations'!$G$2:'Reservations'!$G70,$B$5,'Reservations'!$P$2:'Reservations'!$P70,"Confirmed")+COUNTIFS('Reservations'!$G$2:'Reservations'!$G70,$B$5,'Reservations'!$P$2:'Reservations'!$P70,"In House"),""),"")</f>
        <v/>
      </c>
      <c r="W70">
        <f>IFERROR(IF(AND('Reservations'!$H70=$B$5,OR('Reservations'!$P70="In House",'Reservations'!$P70="Checked Out")),COUNTIFS('Reservations'!$H$2:'Reservations'!$H70,$B$5,'Reservations'!$P$2:'Reservations'!$P70,"In House")+COUNTIFS('Reservations'!$H$2:'Reservations'!$H70,$B$5,'Reservations'!$P$2:'Reservations'!$P70,"Checked Out"),""),"")</f>
        <v/>
      </c>
      <c r="Y70">
        <f>""</f>
        <v/>
      </c>
    </row>
    <row r="71">
      <c r="A71">
        <f>""</f>
        <v/>
      </c>
      <c r="B71">
        <f>""</f>
        <v/>
      </c>
      <c r="C71">
        <f>""</f>
        <v/>
      </c>
      <c r="D71">
        <f>""</f>
        <v/>
      </c>
      <c r="E71">
        <f>""</f>
        <v/>
      </c>
      <c r="F71">
        <f>""</f>
        <v/>
      </c>
      <c r="G71">
        <f>""</f>
        <v/>
      </c>
      <c r="H71">
        <f>""</f>
        <v/>
      </c>
      <c r="I71">
        <f>""</f>
        <v/>
      </c>
      <c r="U71">
        <f>""</f>
        <v/>
      </c>
      <c r="V71">
        <f>IFERROR(IF(AND('Reservations'!$G71=$B$5,OR('Reservations'!$P71="Confirmed",'Reservations'!$P71="In House")),COUNTIFS('Reservations'!$G$2:'Reservations'!$G71,$B$5,'Reservations'!$P$2:'Reservations'!$P71,"Confirmed")+COUNTIFS('Reservations'!$G$2:'Reservations'!$G71,$B$5,'Reservations'!$P$2:'Reservations'!$P71,"In House"),""),"")</f>
        <v/>
      </c>
      <c r="W71">
        <f>IFERROR(IF(AND('Reservations'!$H71=$B$5,OR('Reservations'!$P71="In House",'Reservations'!$P71="Checked Out")),COUNTIFS('Reservations'!$H$2:'Reservations'!$H71,$B$5,'Reservations'!$P$2:'Reservations'!$P71,"In House")+COUNTIFS('Reservations'!$H$2:'Reservations'!$H71,$B$5,'Reservations'!$P$2:'Reservations'!$P71,"Checked Out"),""),"")</f>
        <v/>
      </c>
      <c r="Y71">
        <f>""</f>
        <v/>
      </c>
    </row>
    <row r="72">
      <c r="A72">
        <f>""</f>
        <v/>
      </c>
      <c r="B72">
        <f>""</f>
        <v/>
      </c>
      <c r="C72">
        <f>""</f>
        <v/>
      </c>
      <c r="D72">
        <f>""</f>
        <v/>
      </c>
      <c r="E72">
        <f>""</f>
        <v/>
      </c>
      <c r="F72">
        <f>""</f>
        <v/>
      </c>
      <c r="G72">
        <f>""</f>
        <v/>
      </c>
      <c r="H72">
        <f>""</f>
        <v/>
      </c>
      <c r="I72">
        <f>""</f>
        <v/>
      </c>
      <c r="U72">
        <f>""</f>
        <v/>
      </c>
      <c r="V72">
        <f>IFERROR(IF(AND('Reservations'!$G72=$B$5,OR('Reservations'!$P72="Confirmed",'Reservations'!$P72="In House")),COUNTIFS('Reservations'!$G$2:'Reservations'!$G72,$B$5,'Reservations'!$P$2:'Reservations'!$P72,"Confirmed")+COUNTIFS('Reservations'!$G$2:'Reservations'!$G72,$B$5,'Reservations'!$P$2:'Reservations'!$P72,"In House"),""),"")</f>
        <v/>
      </c>
      <c r="W72">
        <f>IFERROR(IF(AND('Reservations'!$H72=$B$5,OR('Reservations'!$P72="In House",'Reservations'!$P72="Checked Out")),COUNTIFS('Reservations'!$H$2:'Reservations'!$H72,$B$5,'Reservations'!$P$2:'Reservations'!$P72,"In House")+COUNTIFS('Reservations'!$H$2:'Reservations'!$H72,$B$5,'Reservations'!$P$2:'Reservations'!$P72,"Checked Out"),""),"")</f>
        <v/>
      </c>
      <c r="Y72">
        <f>""</f>
        <v/>
      </c>
    </row>
    <row r="73">
      <c r="A73">
        <f>""</f>
        <v/>
      </c>
      <c r="B73">
        <f>""</f>
        <v/>
      </c>
      <c r="C73">
        <f>""</f>
        <v/>
      </c>
      <c r="D73">
        <f>""</f>
        <v/>
      </c>
      <c r="E73">
        <f>""</f>
        <v/>
      </c>
      <c r="F73">
        <f>""</f>
        <v/>
      </c>
      <c r="G73">
        <f>""</f>
        <v/>
      </c>
      <c r="H73">
        <f>""</f>
        <v/>
      </c>
      <c r="I73">
        <f>""</f>
        <v/>
      </c>
      <c r="U73">
        <f>""</f>
        <v/>
      </c>
      <c r="V73">
        <f>IFERROR(IF(AND('Reservations'!$G73=$B$5,OR('Reservations'!$P73="Confirmed",'Reservations'!$P73="In House")),COUNTIFS('Reservations'!$G$2:'Reservations'!$G73,$B$5,'Reservations'!$P$2:'Reservations'!$P73,"Confirmed")+COUNTIFS('Reservations'!$G$2:'Reservations'!$G73,$B$5,'Reservations'!$P$2:'Reservations'!$P73,"In House"),""),"")</f>
        <v/>
      </c>
      <c r="W73">
        <f>IFERROR(IF(AND('Reservations'!$H73=$B$5,OR('Reservations'!$P73="In House",'Reservations'!$P73="Checked Out")),COUNTIFS('Reservations'!$H$2:'Reservations'!$H73,$B$5,'Reservations'!$P$2:'Reservations'!$P73,"In House")+COUNTIFS('Reservations'!$H$2:'Reservations'!$H73,$B$5,'Reservations'!$P$2:'Reservations'!$P73,"Checked Out"),""),"")</f>
        <v/>
      </c>
      <c r="Y73">
        <f>""</f>
        <v/>
      </c>
    </row>
    <row r="74">
      <c r="A74">
        <f>""</f>
        <v/>
      </c>
      <c r="B74">
        <f>""</f>
        <v/>
      </c>
      <c r="C74">
        <f>""</f>
        <v/>
      </c>
      <c r="D74">
        <f>""</f>
        <v/>
      </c>
      <c r="E74">
        <f>""</f>
        <v/>
      </c>
      <c r="F74">
        <f>""</f>
        <v/>
      </c>
      <c r="G74">
        <f>""</f>
        <v/>
      </c>
      <c r="H74">
        <f>""</f>
        <v/>
      </c>
      <c r="I74">
        <f>""</f>
        <v/>
      </c>
      <c r="U74">
        <f>""</f>
        <v/>
      </c>
      <c r="V74">
        <f>IFERROR(IF(AND('Reservations'!$G74=$B$5,OR('Reservations'!$P74="Confirmed",'Reservations'!$P74="In House")),COUNTIFS('Reservations'!$G$2:'Reservations'!$G74,$B$5,'Reservations'!$P$2:'Reservations'!$P74,"Confirmed")+COUNTIFS('Reservations'!$G$2:'Reservations'!$G74,$B$5,'Reservations'!$P$2:'Reservations'!$P74,"In House"),""),"")</f>
        <v/>
      </c>
      <c r="W74">
        <f>IFERROR(IF(AND('Reservations'!$H74=$B$5,OR('Reservations'!$P74="In House",'Reservations'!$P74="Checked Out")),COUNTIFS('Reservations'!$H$2:'Reservations'!$H74,$B$5,'Reservations'!$P$2:'Reservations'!$P74,"In House")+COUNTIFS('Reservations'!$H$2:'Reservations'!$H74,$B$5,'Reservations'!$P$2:'Reservations'!$P74,"Checked Out"),""),"")</f>
        <v/>
      </c>
      <c r="Y74">
        <f>""</f>
        <v/>
      </c>
    </row>
    <row r="75">
      <c r="A75">
        <f>""</f>
        <v/>
      </c>
      <c r="B75">
        <f>""</f>
        <v/>
      </c>
      <c r="C75">
        <f>""</f>
        <v/>
      </c>
      <c r="D75">
        <f>""</f>
        <v/>
      </c>
      <c r="E75">
        <f>""</f>
        <v/>
      </c>
      <c r="F75">
        <f>""</f>
        <v/>
      </c>
      <c r="G75">
        <f>""</f>
        <v/>
      </c>
      <c r="H75">
        <f>""</f>
        <v/>
      </c>
      <c r="I75">
        <f>""</f>
        <v/>
      </c>
      <c r="U75">
        <f>""</f>
        <v/>
      </c>
      <c r="V75">
        <f>IFERROR(IF(AND('Reservations'!$G75=$B$5,OR('Reservations'!$P75="Confirmed",'Reservations'!$P75="In House")),COUNTIFS('Reservations'!$G$2:'Reservations'!$G75,$B$5,'Reservations'!$P$2:'Reservations'!$P75,"Confirmed")+COUNTIFS('Reservations'!$G$2:'Reservations'!$G75,$B$5,'Reservations'!$P$2:'Reservations'!$P75,"In House"),""),"")</f>
        <v/>
      </c>
      <c r="W75">
        <f>IFERROR(IF(AND('Reservations'!$H75=$B$5,OR('Reservations'!$P75="In House",'Reservations'!$P75="Checked Out")),COUNTIFS('Reservations'!$H$2:'Reservations'!$H75,$B$5,'Reservations'!$P$2:'Reservations'!$P75,"In House")+COUNTIFS('Reservations'!$H$2:'Reservations'!$H75,$B$5,'Reservations'!$P$2:'Reservations'!$P75,"Checked Out"),""),"")</f>
        <v/>
      </c>
      <c r="Y75">
        <f>""</f>
        <v/>
      </c>
    </row>
    <row r="76">
      <c r="A76">
        <f>""</f>
        <v/>
      </c>
      <c r="B76">
        <f>""</f>
        <v/>
      </c>
      <c r="C76">
        <f>""</f>
        <v/>
      </c>
      <c r="D76">
        <f>""</f>
        <v/>
      </c>
      <c r="E76">
        <f>""</f>
        <v/>
      </c>
      <c r="F76">
        <f>""</f>
        <v/>
      </c>
      <c r="G76">
        <f>""</f>
        <v/>
      </c>
      <c r="H76">
        <f>""</f>
        <v/>
      </c>
      <c r="I76">
        <f>""</f>
        <v/>
      </c>
      <c r="U76">
        <f>""</f>
        <v/>
      </c>
      <c r="V76">
        <f>IFERROR(IF(AND('Reservations'!$G76=$B$5,OR('Reservations'!$P76="Confirmed",'Reservations'!$P76="In House")),COUNTIFS('Reservations'!$G$2:'Reservations'!$G76,$B$5,'Reservations'!$P$2:'Reservations'!$P76,"Confirmed")+COUNTIFS('Reservations'!$G$2:'Reservations'!$G76,$B$5,'Reservations'!$P$2:'Reservations'!$P76,"In House"),""),"")</f>
        <v/>
      </c>
      <c r="W76">
        <f>IFERROR(IF(AND('Reservations'!$H76=$B$5,OR('Reservations'!$P76="In House",'Reservations'!$P76="Checked Out")),COUNTIFS('Reservations'!$H$2:'Reservations'!$H76,$B$5,'Reservations'!$P$2:'Reservations'!$P76,"In House")+COUNTIFS('Reservations'!$H$2:'Reservations'!$H76,$B$5,'Reservations'!$P$2:'Reservations'!$P76,"Checked Out"),""),"")</f>
        <v/>
      </c>
      <c r="Y76">
        <f>""</f>
        <v/>
      </c>
    </row>
    <row r="77">
      <c r="A77">
        <f>""</f>
        <v/>
      </c>
      <c r="B77">
        <f>""</f>
        <v/>
      </c>
      <c r="C77">
        <f>""</f>
        <v/>
      </c>
      <c r="D77">
        <f>""</f>
        <v/>
      </c>
      <c r="E77">
        <f>""</f>
        <v/>
      </c>
      <c r="F77">
        <f>""</f>
        <v/>
      </c>
      <c r="G77">
        <f>""</f>
        <v/>
      </c>
      <c r="H77">
        <f>""</f>
        <v/>
      </c>
      <c r="I77">
        <f>""</f>
        <v/>
      </c>
      <c r="U77">
        <f>""</f>
        <v/>
      </c>
      <c r="V77">
        <f>IFERROR(IF(AND('Reservations'!$G77=$B$5,OR('Reservations'!$P77="Confirmed",'Reservations'!$P77="In House")),COUNTIFS('Reservations'!$G$2:'Reservations'!$G77,$B$5,'Reservations'!$P$2:'Reservations'!$P77,"Confirmed")+COUNTIFS('Reservations'!$G$2:'Reservations'!$G77,$B$5,'Reservations'!$P$2:'Reservations'!$P77,"In House"),""),"")</f>
        <v/>
      </c>
      <c r="W77">
        <f>IFERROR(IF(AND('Reservations'!$H77=$B$5,OR('Reservations'!$P77="In House",'Reservations'!$P77="Checked Out")),COUNTIFS('Reservations'!$H$2:'Reservations'!$H77,$B$5,'Reservations'!$P$2:'Reservations'!$P77,"In House")+COUNTIFS('Reservations'!$H$2:'Reservations'!$H77,$B$5,'Reservations'!$P$2:'Reservations'!$P77,"Checked Out"),""),"")</f>
        <v/>
      </c>
      <c r="Y77">
        <f>""</f>
        <v/>
      </c>
    </row>
    <row r="78">
      <c r="A78">
        <f>""</f>
        <v/>
      </c>
      <c r="B78">
        <f>""</f>
        <v/>
      </c>
      <c r="C78">
        <f>""</f>
        <v/>
      </c>
      <c r="D78">
        <f>""</f>
        <v/>
      </c>
      <c r="E78">
        <f>""</f>
        <v/>
      </c>
      <c r="F78">
        <f>""</f>
        <v/>
      </c>
      <c r="G78">
        <f>""</f>
        <v/>
      </c>
      <c r="H78">
        <f>""</f>
        <v/>
      </c>
      <c r="I78">
        <f>""</f>
        <v/>
      </c>
      <c r="U78">
        <f>""</f>
        <v/>
      </c>
      <c r="V78">
        <f>IFERROR(IF(AND('Reservations'!$G78=$B$5,OR('Reservations'!$P78="Confirmed",'Reservations'!$P78="In House")),COUNTIFS('Reservations'!$G$2:'Reservations'!$G78,$B$5,'Reservations'!$P$2:'Reservations'!$P78,"Confirmed")+COUNTIFS('Reservations'!$G$2:'Reservations'!$G78,$B$5,'Reservations'!$P$2:'Reservations'!$P78,"In House"),""),"")</f>
        <v/>
      </c>
      <c r="W78">
        <f>IFERROR(IF(AND('Reservations'!$H78=$B$5,OR('Reservations'!$P78="In House",'Reservations'!$P78="Checked Out")),COUNTIFS('Reservations'!$H$2:'Reservations'!$H78,$B$5,'Reservations'!$P$2:'Reservations'!$P78,"In House")+COUNTIFS('Reservations'!$H$2:'Reservations'!$H78,$B$5,'Reservations'!$P$2:'Reservations'!$P78,"Checked Out"),""),"")</f>
        <v/>
      </c>
      <c r="Y78">
        <f>""</f>
        <v/>
      </c>
    </row>
    <row r="79">
      <c r="A79">
        <f>""</f>
        <v/>
      </c>
      <c r="B79">
        <f>""</f>
        <v/>
      </c>
      <c r="C79">
        <f>""</f>
        <v/>
      </c>
      <c r="D79">
        <f>""</f>
        <v/>
      </c>
      <c r="E79">
        <f>""</f>
        <v/>
      </c>
      <c r="F79">
        <f>""</f>
        <v/>
      </c>
      <c r="G79">
        <f>""</f>
        <v/>
      </c>
      <c r="H79">
        <f>""</f>
        <v/>
      </c>
      <c r="I79">
        <f>""</f>
        <v/>
      </c>
      <c r="U79">
        <f>""</f>
        <v/>
      </c>
      <c r="V79">
        <f>IFERROR(IF(AND('Reservations'!$G79=$B$5,OR('Reservations'!$P79="Confirmed",'Reservations'!$P79="In House")),COUNTIFS('Reservations'!$G$2:'Reservations'!$G79,$B$5,'Reservations'!$P$2:'Reservations'!$P79,"Confirmed")+COUNTIFS('Reservations'!$G$2:'Reservations'!$G79,$B$5,'Reservations'!$P$2:'Reservations'!$P79,"In House"),""),"")</f>
        <v/>
      </c>
      <c r="W79">
        <f>IFERROR(IF(AND('Reservations'!$H79=$B$5,OR('Reservations'!$P79="In House",'Reservations'!$P79="Checked Out")),COUNTIFS('Reservations'!$H$2:'Reservations'!$H79,$B$5,'Reservations'!$P$2:'Reservations'!$P79,"In House")+COUNTIFS('Reservations'!$H$2:'Reservations'!$H79,$B$5,'Reservations'!$P$2:'Reservations'!$P79,"Checked Out"),""),"")</f>
        <v/>
      </c>
      <c r="Y79">
        <f>""</f>
        <v/>
      </c>
    </row>
    <row r="80">
      <c r="A80">
        <f>""</f>
        <v/>
      </c>
      <c r="B80">
        <f>""</f>
        <v/>
      </c>
      <c r="C80">
        <f>""</f>
        <v/>
      </c>
      <c r="D80">
        <f>""</f>
        <v/>
      </c>
      <c r="E80">
        <f>""</f>
        <v/>
      </c>
      <c r="F80">
        <f>""</f>
        <v/>
      </c>
      <c r="G80">
        <f>""</f>
        <v/>
      </c>
      <c r="H80">
        <f>""</f>
        <v/>
      </c>
      <c r="I80">
        <f>""</f>
        <v/>
      </c>
      <c r="U80">
        <f>""</f>
        <v/>
      </c>
      <c r="V80">
        <f>IFERROR(IF(AND('Reservations'!$G80=$B$5,OR('Reservations'!$P80="Confirmed",'Reservations'!$P80="In House")),COUNTIFS('Reservations'!$G$2:'Reservations'!$G80,$B$5,'Reservations'!$P$2:'Reservations'!$P80,"Confirmed")+COUNTIFS('Reservations'!$G$2:'Reservations'!$G80,$B$5,'Reservations'!$P$2:'Reservations'!$P80,"In House"),""),"")</f>
        <v/>
      </c>
      <c r="W80">
        <f>IFERROR(IF(AND('Reservations'!$H80=$B$5,OR('Reservations'!$P80="In House",'Reservations'!$P80="Checked Out")),COUNTIFS('Reservations'!$H$2:'Reservations'!$H80,$B$5,'Reservations'!$P$2:'Reservations'!$P80,"In House")+COUNTIFS('Reservations'!$H$2:'Reservations'!$H80,$B$5,'Reservations'!$P$2:'Reservations'!$P80,"Checked Out"),""),"")</f>
        <v/>
      </c>
      <c r="Y80">
        <f>""</f>
        <v/>
      </c>
    </row>
    <row r="81">
      <c r="A81">
        <f>""</f>
        <v/>
      </c>
      <c r="B81">
        <f>""</f>
        <v/>
      </c>
      <c r="C81">
        <f>""</f>
        <v/>
      </c>
      <c r="D81">
        <f>""</f>
        <v/>
      </c>
      <c r="E81">
        <f>""</f>
        <v/>
      </c>
      <c r="F81">
        <f>""</f>
        <v/>
      </c>
      <c r="G81">
        <f>""</f>
        <v/>
      </c>
      <c r="H81">
        <f>""</f>
        <v/>
      </c>
      <c r="I81">
        <f>""</f>
        <v/>
      </c>
      <c r="U81">
        <f>""</f>
        <v/>
      </c>
      <c r="V81">
        <f>IFERROR(IF(AND('Reservations'!$G81=$B$5,OR('Reservations'!$P81="Confirmed",'Reservations'!$P81="In House")),COUNTIFS('Reservations'!$G$2:'Reservations'!$G81,$B$5,'Reservations'!$P$2:'Reservations'!$P81,"Confirmed")+COUNTIFS('Reservations'!$G$2:'Reservations'!$G81,$B$5,'Reservations'!$P$2:'Reservations'!$P81,"In House"),""),"")</f>
        <v/>
      </c>
      <c r="W81">
        <f>IFERROR(IF(AND('Reservations'!$H81=$B$5,OR('Reservations'!$P81="In House",'Reservations'!$P81="Checked Out")),COUNTIFS('Reservations'!$H$2:'Reservations'!$H81,$B$5,'Reservations'!$P$2:'Reservations'!$P81,"In House")+COUNTIFS('Reservations'!$H$2:'Reservations'!$H81,$B$5,'Reservations'!$P$2:'Reservations'!$P81,"Checked Out"),""),"")</f>
        <v/>
      </c>
      <c r="Y81">
        <f>""</f>
        <v/>
      </c>
    </row>
    <row r="82">
      <c r="A82">
        <f>""</f>
        <v/>
      </c>
      <c r="B82">
        <f>""</f>
        <v/>
      </c>
      <c r="C82">
        <f>""</f>
        <v/>
      </c>
      <c r="D82">
        <f>""</f>
        <v/>
      </c>
      <c r="E82">
        <f>""</f>
        <v/>
      </c>
      <c r="F82">
        <f>""</f>
        <v/>
      </c>
      <c r="G82">
        <f>""</f>
        <v/>
      </c>
      <c r="H82">
        <f>""</f>
        <v/>
      </c>
      <c r="I82">
        <f>""</f>
        <v/>
      </c>
      <c r="U82">
        <f>""</f>
        <v/>
      </c>
      <c r="V82">
        <f>IFERROR(IF(AND('Reservations'!$G82=$B$5,OR('Reservations'!$P82="Confirmed",'Reservations'!$P82="In House")),COUNTIFS('Reservations'!$G$2:'Reservations'!$G82,$B$5,'Reservations'!$P$2:'Reservations'!$P82,"Confirmed")+COUNTIFS('Reservations'!$G$2:'Reservations'!$G82,$B$5,'Reservations'!$P$2:'Reservations'!$P82,"In House"),""),"")</f>
        <v/>
      </c>
      <c r="W82">
        <f>IFERROR(IF(AND('Reservations'!$H82=$B$5,OR('Reservations'!$P82="In House",'Reservations'!$P82="Checked Out")),COUNTIFS('Reservations'!$H$2:'Reservations'!$H82,$B$5,'Reservations'!$P$2:'Reservations'!$P82,"In House")+COUNTIFS('Reservations'!$H$2:'Reservations'!$H82,$B$5,'Reservations'!$P$2:'Reservations'!$P82,"Checked Out"),""),"")</f>
        <v/>
      </c>
      <c r="Y82">
        <f>""</f>
        <v/>
      </c>
    </row>
    <row r="83">
      <c r="A83">
        <f>""</f>
        <v/>
      </c>
      <c r="B83">
        <f>""</f>
        <v/>
      </c>
      <c r="C83">
        <f>""</f>
        <v/>
      </c>
      <c r="D83">
        <f>""</f>
        <v/>
      </c>
      <c r="E83">
        <f>""</f>
        <v/>
      </c>
      <c r="F83">
        <f>""</f>
        <v/>
      </c>
      <c r="G83">
        <f>""</f>
        <v/>
      </c>
      <c r="H83">
        <f>""</f>
        <v/>
      </c>
      <c r="I83">
        <f>""</f>
        <v/>
      </c>
      <c r="U83">
        <f>""</f>
        <v/>
      </c>
      <c r="V83">
        <f>IFERROR(IF(AND('Reservations'!$G83=$B$5,OR('Reservations'!$P83="Confirmed",'Reservations'!$P83="In House")),COUNTIFS('Reservations'!$G$2:'Reservations'!$G83,$B$5,'Reservations'!$P$2:'Reservations'!$P83,"Confirmed")+COUNTIFS('Reservations'!$G$2:'Reservations'!$G83,$B$5,'Reservations'!$P$2:'Reservations'!$P83,"In House"),""),"")</f>
        <v/>
      </c>
      <c r="W83">
        <f>IFERROR(IF(AND('Reservations'!$H83=$B$5,OR('Reservations'!$P83="In House",'Reservations'!$P83="Checked Out")),COUNTIFS('Reservations'!$H$2:'Reservations'!$H83,$B$5,'Reservations'!$P$2:'Reservations'!$P83,"In House")+COUNTIFS('Reservations'!$H$2:'Reservations'!$H83,$B$5,'Reservations'!$P$2:'Reservations'!$P83,"Checked Out"),""),"")</f>
        <v/>
      </c>
      <c r="Y83">
        <f>""</f>
        <v/>
      </c>
    </row>
    <row r="84">
      <c r="A84">
        <f>""</f>
        <v/>
      </c>
      <c r="B84">
        <f>""</f>
        <v/>
      </c>
      <c r="C84">
        <f>""</f>
        <v/>
      </c>
      <c r="D84">
        <f>""</f>
        <v/>
      </c>
      <c r="E84">
        <f>""</f>
        <v/>
      </c>
      <c r="F84">
        <f>""</f>
        <v/>
      </c>
      <c r="G84">
        <f>""</f>
        <v/>
      </c>
      <c r="H84">
        <f>""</f>
        <v/>
      </c>
      <c r="I84">
        <f>""</f>
        <v/>
      </c>
      <c r="U84">
        <f>""</f>
        <v/>
      </c>
      <c r="V84">
        <f>IFERROR(IF(AND('Reservations'!$G84=$B$5,OR('Reservations'!$P84="Confirmed",'Reservations'!$P84="In House")),COUNTIFS('Reservations'!$G$2:'Reservations'!$G84,$B$5,'Reservations'!$P$2:'Reservations'!$P84,"Confirmed")+COUNTIFS('Reservations'!$G$2:'Reservations'!$G84,$B$5,'Reservations'!$P$2:'Reservations'!$P84,"In House"),""),"")</f>
        <v/>
      </c>
      <c r="W84">
        <f>IFERROR(IF(AND('Reservations'!$H84=$B$5,OR('Reservations'!$P84="In House",'Reservations'!$P84="Checked Out")),COUNTIFS('Reservations'!$H$2:'Reservations'!$H84,$B$5,'Reservations'!$P$2:'Reservations'!$P84,"In House")+COUNTIFS('Reservations'!$H$2:'Reservations'!$H84,$B$5,'Reservations'!$P$2:'Reservations'!$P84,"Checked Out"),""),"")</f>
        <v/>
      </c>
      <c r="Y84">
        <f>""</f>
        <v/>
      </c>
    </row>
    <row r="85">
      <c r="A85">
        <f>""</f>
        <v/>
      </c>
      <c r="B85">
        <f>""</f>
        <v/>
      </c>
      <c r="C85">
        <f>""</f>
        <v/>
      </c>
      <c r="D85">
        <f>""</f>
        <v/>
      </c>
      <c r="E85">
        <f>""</f>
        <v/>
      </c>
      <c r="F85">
        <f>""</f>
        <v/>
      </c>
      <c r="G85">
        <f>""</f>
        <v/>
      </c>
      <c r="H85">
        <f>""</f>
        <v/>
      </c>
      <c r="I85">
        <f>""</f>
        <v/>
      </c>
      <c r="U85">
        <f>""</f>
        <v/>
      </c>
      <c r="V85">
        <f>IFERROR(IF(AND('Reservations'!$G85=$B$5,OR('Reservations'!$P85="Confirmed",'Reservations'!$P85="In House")),COUNTIFS('Reservations'!$G$2:'Reservations'!$G85,$B$5,'Reservations'!$P$2:'Reservations'!$P85,"Confirmed")+COUNTIFS('Reservations'!$G$2:'Reservations'!$G85,$B$5,'Reservations'!$P$2:'Reservations'!$P85,"In House"),""),"")</f>
        <v/>
      </c>
      <c r="W85">
        <f>IFERROR(IF(AND('Reservations'!$H85=$B$5,OR('Reservations'!$P85="In House",'Reservations'!$P85="Checked Out")),COUNTIFS('Reservations'!$H$2:'Reservations'!$H85,$B$5,'Reservations'!$P$2:'Reservations'!$P85,"In House")+COUNTIFS('Reservations'!$H$2:'Reservations'!$H85,$B$5,'Reservations'!$P$2:'Reservations'!$P85,"Checked Out"),""),"")</f>
        <v/>
      </c>
      <c r="Y85">
        <f>""</f>
        <v/>
      </c>
    </row>
    <row r="86">
      <c r="A86">
        <f>""</f>
        <v/>
      </c>
      <c r="B86">
        <f>""</f>
        <v/>
      </c>
      <c r="C86">
        <f>""</f>
        <v/>
      </c>
      <c r="D86">
        <f>""</f>
        <v/>
      </c>
      <c r="E86">
        <f>""</f>
        <v/>
      </c>
      <c r="F86">
        <f>""</f>
        <v/>
      </c>
      <c r="G86">
        <f>""</f>
        <v/>
      </c>
      <c r="H86">
        <f>""</f>
        <v/>
      </c>
      <c r="I86">
        <f>""</f>
        <v/>
      </c>
      <c r="U86">
        <f>""</f>
        <v/>
      </c>
      <c r="V86">
        <f>IFERROR(IF(AND('Reservations'!$G86=$B$5,OR('Reservations'!$P86="Confirmed",'Reservations'!$P86="In House")),COUNTIFS('Reservations'!$G$2:'Reservations'!$G86,$B$5,'Reservations'!$P$2:'Reservations'!$P86,"Confirmed")+COUNTIFS('Reservations'!$G$2:'Reservations'!$G86,$B$5,'Reservations'!$P$2:'Reservations'!$P86,"In House"),""),"")</f>
        <v/>
      </c>
      <c r="W86">
        <f>IFERROR(IF(AND('Reservations'!$H86=$B$5,OR('Reservations'!$P86="In House",'Reservations'!$P86="Checked Out")),COUNTIFS('Reservations'!$H$2:'Reservations'!$H86,$B$5,'Reservations'!$P$2:'Reservations'!$P86,"In House")+COUNTIFS('Reservations'!$H$2:'Reservations'!$H86,$B$5,'Reservations'!$P$2:'Reservations'!$P86,"Checked Out"),""),"")</f>
        <v/>
      </c>
      <c r="Y86">
        <f>""</f>
        <v/>
      </c>
    </row>
    <row r="87">
      <c r="A87">
        <f>""</f>
        <v/>
      </c>
      <c r="B87">
        <f>""</f>
        <v/>
      </c>
      <c r="C87">
        <f>""</f>
        <v/>
      </c>
      <c r="D87">
        <f>""</f>
        <v/>
      </c>
      <c r="E87">
        <f>""</f>
        <v/>
      </c>
      <c r="F87">
        <f>""</f>
        <v/>
      </c>
      <c r="G87">
        <f>""</f>
        <v/>
      </c>
      <c r="H87">
        <f>""</f>
        <v/>
      </c>
      <c r="I87">
        <f>""</f>
        <v/>
      </c>
      <c r="U87">
        <f>""</f>
        <v/>
      </c>
      <c r="V87">
        <f>IFERROR(IF(AND('Reservations'!$G87=$B$5,OR('Reservations'!$P87="Confirmed",'Reservations'!$P87="In House")),COUNTIFS('Reservations'!$G$2:'Reservations'!$G87,$B$5,'Reservations'!$P$2:'Reservations'!$P87,"Confirmed")+COUNTIFS('Reservations'!$G$2:'Reservations'!$G87,$B$5,'Reservations'!$P$2:'Reservations'!$P87,"In House"),""),"")</f>
        <v/>
      </c>
      <c r="W87">
        <f>IFERROR(IF(AND('Reservations'!$H87=$B$5,OR('Reservations'!$P87="In House",'Reservations'!$P87="Checked Out")),COUNTIFS('Reservations'!$H$2:'Reservations'!$H87,$B$5,'Reservations'!$P$2:'Reservations'!$P87,"In House")+COUNTIFS('Reservations'!$H$2:'Reservations'!$H87,$B$5,'Reservations'!$P$2:'Reservations'!$P87,"Checked Out"),""),"")</f>
        <v/>
      </c>
      <c r="Y87">
        <f>""</f>
        <v/>
      </c>
    </row>
    <row r="88">
      <c r="A88">
        <f>""</f>
        <v/>
      </c>
      <c r="B88">
        <f>""</f>
        <v/>
      </c>
      <c r="C88">
        <f>""</f>
        <v/>
      </c>
      <c r="D88">
        <f>""</f>
        <v/>
      </c>
      <c r="E88">
        <f>""</f>
        <v/>
      </c>
      <c r="F88">
        <f>""</f>
        <v/>
      </c>
      <c r="G88">
        <f>""</f>
        <v/>
      </c>
      <c r="H88">
        <f>""</f>
        <v/>
      </c>
      <c r="I88">
        <f>""</f>
        <v/>
      </c>
      <c r="U88">
        <f>""</f>
        <v/>
      </c>
      <c r="V88">
        <f>IFERROR(IF(AND('Reservations'!$G88=$B$5,OR('Reservations'!$P88="Confirmed",'Reservations'!$P88="In House")),COUNTIFS('Reservations'!$G$2:'Reservations'!$G88,$B$5,'Reservations'!$P$2:'Reservations'!$P88,"Confirmed")+COUNTIFS('Reservations'!$G$2:'Reservations'!$G88,$B$5,'Reservations'!$P$2:'Reservations'!$P88,"In House"),""),"")</f>
        <v/>
      </c>
      <c r="W88">
        <f>IFERROR(IF(AND('Reservations'!$H88=$B$5,OR('Reservations'!$P88="In House",'Reservations'!$P88="Checked Out")),COUNTIFS('Reservations'!$H$2:'Reservations'!$H88,$B$5,'Reservations'!$P$2:'Reservations'!$P88,"In House")+COUNTIFS('Reservations'!$H$2:'Reservations'!$H88,$B$5,'Reservations'!$P$2:'Reservations'!$P88,"Checked Out"),""),"")</f>
        <v/>
      </c>
      <c r="Y88">
        <f>""</f>
        <v/>
      </c>
    </row>
    <row r="89">
      <c r="A89">
        <f>""</f>
        <v/>
      </c>
      <c r="B89">
        <f>""</f>
        <v/>
      </c>
      <c r="C89">
        <f>""</f>
        <v/>
      </c>
      <c r="D89">
        <f>""</f>
        <v/>
      </c>
      <c r="E89">
        <f>""</f>
        <v/>
      </c>
      <c r="F89">
        <f>""</f>
        <v/>
      </c>
      <c r="G89">
        <f>""</f>
        <v/>
      </c>
      <c r="H89">
        <f>""</f>
        <v/>
      </c>
      <c r="I89">
        <f>""</f>
        <v/>
      </c>
      <c r="U89">
        <f>""</f>
        <v/>
      </c>
      <c r="V89">
        <f>IFERROR(IF(AND('Reservations'!$G89=$B$5,OR('Reservations'!$P89="Confirmed",'Reservations'!$P89="In House")),COUNTIFS('Reservations'!$G$2:'Reservations'!$G89,$B$5,'Reservations'!$P$2:'Reservations'!$P89,"Confirmed")+COUNTIFS('Reservations'!$G$2:'Reservations'!$G89,$B$5,'Reservations'!$P$2:'Reservations'!$P89,"In House"),""),"")</f>
        <v/>
      </c>
      <c r="W89">
        <f>IFERROR(IF(AND('Reservations'!$H89=$B$5,OR('Reservations'!$P89="In House",'Reservations'!$P89="Checked Out")),COUNTIFS('Reservations'!$H$2:'Reservations'!$H89,$B$5,'Reservations'!$P$2:'Reservations'!$P89,"In House")+COUNTIFS('Reservations'!$H$2:'Reservations'!$H89,$B$5,'Reservations'!$P$2:'Reservations'!$P89,"Checked Out"),""),"")</f>
        <v/>
      </c>
      <c r="Y89">
        <f>""</f>
        <v/>
      </c>
    </row>
    <row r="90">
      <c r="A90">
        <f>""</f>
        <v/>
      </c>
      <c r="B90">
        <f>""</f>
        <v/>
      </c>
      <c r="C90">
        <f>""</f>
        <v/>
      </c>
      <c r="D90">
        <f>""</f>
        <v/>
      </c>
      <c r="E90">
        <f>""</f>
        <v/>
      </c>
      <c r="F90">
        <f>""</f>
        <v/>
      </c>
      <c r="G90">
        <f>""</f>
        <v/>
      </c>
      <c r="H90">
        <f>""</f>
        <v/>
      </c>
      <c r="I90">
        <f>""</f>
        <v/>
      </c>
      <c r="U90">
        <f>""</f>
        <v/>
      </c>
      <c r="V90">
        <f>IFERROR(IF(AND('Reservations'!$G90=$B$5,OR('Reservations'!$P90="Confirmed",'Reservations'!$P90="In House")),COUNTIFS('Reservations'!$G$2:'Reservations'!$G90,$B$5,'Reservations'!$P$2:'Reservations'!$P90,"Confirmed")+COUNTIFS('Reservations'!$G$2:'Reservations'!$G90,$B$5,'Reservations'!$P$2:'Reservations'!$P90,"In House"),""),"")</f>
        <v/>
      </c>
      <c r="W90">
        <f>IFERROR(IF(AND('Reservations'!$H90=$B$5,OR('Reservations'!$P90="In House",'Reservations'!$P90="Checked Out")),COUNTIFS('Reservations'!$H$2:'Reservations'!$H90,$B$5,'Reservations'!$P$2:'Reservations'!$P90,"In House")+COUNTIFS('Reservations'!$H$2:'Reservations'!$H90,$B$5,'Reservations'!$P$2:'Reservations'!$P90,"Checked Out"),""),"")</f>
        <v/>
      </c>
      <c r="Y90">
        <f>""</f>
        <v/>
      </c>
    </row>
    <row r="91">
      <c r="A91">
        <f>""</f>
        <v/>
      </c>
      <c r="B91">
        <f>""</f>
        <v/>
      </c>
      <c r="C91">
        <f>""</f>
        <v/>
      </c>
      <c r="D91">
        <f>""</f>
        <v/>
      </c>
      <c r="E91">
        <f>""</f>
        <v/>
      </c>
      <c r="F91">
        <f>""</f>
        <v/>
      </c>
      <c r="G91">
        <f>""</f>
        <v/>
      </c>
      <c r="H91">
        <f>""</f>
        <v/>
      </c>
      <c r="I91">
        <f>""</f>
        <v/>
      </c>
      <c r="U91">
        <f>""</f>
        <v/>
      </c>
      <c r="V91">
        <f>IFERROR(IF(AND('Reservations'!$G91=$B$5,OR('Reservations'!$P91="Confirmed",'Reservations'!$P91="In House")),COUNTIFS('Reservations'!$G$2:'Reservations'!$G91,$B$5,'Reservations'!$P$2:'Reservations'!$P91,"Confirmed")+COUNTIFS('Reservations'!$G$2:'Reservations'!$G91,$B$5,'Reservations'!$P$2:'Reservations'!$P91,"In House"),""),"")</f>
        <v/>
      </c>
      <c r="W91">
        <f>IFERROR(IF(AND('Reservations'!$H91=$B$5,OR('Reservations'!$P91="In House",'Reservations'!$P91="Checked Out")),COUNTIFS('Reservations'!$H$2:'Reservations'!$H91,$B$5,'Reservations'!$P$2:'Reservations'!$P91,"In House")+COUNTIFS('Reservations'!$H$2:'Reservations'!$H91,$B$5,'Reservations'!$P$2:'Reservations'!$P91,"Checked Out"),""),"")</f>
        <v/>
      </c>
      <c r="Y91">
        <f>""</f>
        <v/>
      </c>
    </row>
    <row r="92">
      <c r="A92">
        <f>""</f>
        <v/>
      </c>
      <c r="B92">
        <f>""</f>
        <v/>
      </c>
      <c r="C92">
        <f>""</f>
        <v/>
      </c>
      <c r="D92">
        <f>""</f>
        <v/>
      </c>
      <c r="E92">
        <f>""</f>
        <v/>
      </c>
      <c r="F92">
        <f>""</f>
        <v/>
      </c>
      <c r="G92">
        <f>""</f>
        <v/>
      </c>
      <c r="H92">
        <f>""</f>
        <v/>
      </c>
      <c r="I92">
        <f>""</f>
        <v/>
      </c>
      <c r="U92">
        <f>""</f>
        <v/>
      </c>
      <c r="V92">
        <f>IFERROR(IF(AND('Reservations'!$G92=$B$5,OR('Reservations'!$P92="Confirmed",'Reservations'!$P92="In House")),COUNTIFS('Reservations'!$G$2:'Reservations'!$G92,$B$5,'Reservations'!$P$2:'Reservations'!$P92,"Confirmed")+COUNTIFS('Reservations'!$G$2:'Reservations'!$G92,$B$5,'Reservations'!$P$2:'Reservations'!$P92,"In House"),""),"")</f>
        <v/>
      </c>
      <c r="W92">
        <f>IFERROR(IF(AND('Reservations'!$H92=$B$5,OR('Reservations'!$P92="In House",'Reservations'!$P92="Checked Out")),COUNTIFS('Reservations'!$H$2:'Reservations'!$H92,$B$5,'Reservations'!$P$2:'Reservations'!$P92,"In House")+COUNTIFS('Reservations'!$H$2:'Reservations'!$H92,$B$5,'Reservations'!$P$2:'Reservations'!$P92,"Checked Out"),""),"")</f>
        <v/>
      </c>
      <c r="Y92">
        <f>""</f>
        <v/>
      </c>
    </row>
    <row r="93">
      <c r="A93">
        <f>""</f>
        <v/>
      </c>
      <c r="B93">
        <f>""</f>
        <v/>
      </c>
      <c r="C93">
        <f>""</f>
        <v/>
      </c>
      <c r="D93">
        <f>""</f>
        <v/>
      </c>
      <c r="E93">
        <f>""</f>
        <v/>
      </c>
      <c r="F93">
        <f>""</f>
        <v/>
      </c>
      <c r="G93">
        <f>""</f>
        <v/>
      </c>
      <c r="H93">
        <f>""</f>
        <v/>
      </c>
      <c r="I93">
        <f>""</f>
        <v/>
      </c>
      <c r="U93">
        <f>""</f>
        <v/>
      </c>
      <c r="V93">
        <f>IFERROR(IF(AND('Reservations'!$G93=$B$5,OR('Reservations'!$P93="Confirmed",'Reservations'!$P93="In House")),COUNTIFS('Reservations'!$G$2:'Reservations'!$G93,$B$5,'Reservations'!$P$2:'Reservations'!$P93,"Confirmed")+COUNTIFS('Reservations'!$G$2:'Reservations'!$G93,$B$5,'Reservations'!$P$2:'Reservations'!$P93,"In House"),""),"")</f>
        <v/>
      </c>
      <c r="W93">
        <f>IFERROR(IF(AND('Reservations'!$H93=$B$5,OR('Reservations'!$P93="In House",'Reservations'!$P93="Checked Out")),COUNTIFS('Reservations'!$H$2:'Reservations'!$H93,$B$5,'Reservations'!$P$2:'Reservations'!$P93,"In House")+COUNTIFS('Reservations'!$H$2:'Reservations'!$H93,$B$5,'Reservations'!$P$2:'Reservations'!$P93,"Checked Out"),""),"")</f>
        <v/>
      </c>
      <c r="Y93">
        <f>""</f>
        <v/>
      </c>
    </row>
    <row r="94">
      <c r="A94">
        <f>""</f>
        <v/>
      </c>
      <c r="B94">
        <f>""</f>
        <v/>
      </c>
      <c r="C94">
        <f>""</f>
        <v/>
      </c>
      <c r="D94">
        <f>""</f>
        <v/>
      </c>
      <c r="E94">
        <f>""</f>
        <v/>
      </c>
      <c r="F94">
        <f>""</f>
        <v/>
      </c>
      <c r="G94">
        <f>""</f>
        <v/>
      </c>
      <c r="H94">
        <f>""</f>
        <v/>
      </c>
      <c r="I94">
        <f>""</f>
        <v/>
      </c>
      <c r="U94">
        <f>""</f>
        <v/>
      </c>
      <c r="V94">
        <f>IFERROR(IF(AND('Reservations'!$G94=$B$5,OR('Reservations'!$P94="Confirmed",'Reservations'!$P94="In House")),COUNTIFS('Reservations'!$G$2:'Reservations'!$G94,$B$5,'Reservations'!$P$2:'Reservations'!$P94,"Confirmed")+COUNTIFS('Reservations'!$G$2:'Reservations'!$G94,$B$5,'Reservations'!$P$2:'Reservations'!$P94,"In House"),""),"")</f>
        <v/>
      </c>
      <c r="W94">
        <f>IFERROR(IF(AND('Reservations'!$H94=$B$5,OR('Reservations'!$P94="In House",'Reservations'!$P94="Checked Out")),COUNTIFS('Reservations'!$H$2:'Reservations'!$H94,$B$5,'Reservations'!$P$2:'Reservations'!$P94,"In House")+COUNTIFS('Reservations'!$H$2:'Reservations'!$H94,$B$5,'Reservations'!$P$2:'Reservations'!$P94,"Checked Out"),""),"")</f>
        <v/>
      </c>
      <c r="Y94">
        <f>""</f>
        <v/>
      </c>
    </row>
    <row r="95">
      <c r="A95">
        <f>""</f>
        <v/>
      </c>
      <c r="B95">
        <f>""</f>
        <v/>
      </c>
      <c r="C95">
        <f>""</f>
        <v/>
      </c>
      <c r="D95">
        <f>""</f>
        <v/>
      </c>
      <c r="E95">
        <f>""</f>
        <v/>
      </c>
      <c r="F95">
        <f>""</f>
        <v/>
      </c>
      <c r="G95">
        <f>""</f>
        <v/>
      </c>
      <c r="H95">
        <f>""</f>
        <v/>
      </c>
      <c r="I95">
        <f>""</f>
        <v/>
      </c>
      <c r="U95">
        <f>""</f>
        <v/>
      </c>
      <c r="V95">
        <f>IFERROR(IF(AND('Reservations'!$G95=$B$5,OR('Reservations'!$P95="Confirmed",'Reservations'!$P95="In House")),COUNTIFS('Reservations'!$G$2:'Reservations'!$G95,$B$5,'Reservations'!$P$2:'Reservations'!$P95,"Confirmed")+COUNTIFS('Reservations'!$G$2:'Reservations'!$G95,$B$5,'Reservations'!$P$2:'Reservations'!$P95,"In House"),""),"")</f>
        <v/>
      </c>
      <c r="W95">
        <f>IFERROR(IF(AND('Reservations'!$H95=$B$5,OR('Reservations'!$P95="In House",'Reservations'!$P95="Checked Out")),COUNTIFS('Reservations'!$H$2:'Reservations'!$H95,$B$5,'Reservations'!$P$2:'Reservations'!$P95,"In House")+COUNTIFS('Reservations'!$H$2:'Reservations'!$H95,$B$5,'Reservations'!$P$2:'Reservations'!$P95,"Checked Out"),""),"")</f>
        <v/>
      </c>
      <c r="Y95">
        <f>""</f>
        <v/>
      </c>
    </row>
    <row r="96">
      <c r="A96">
        <f>""</f>
        <v/>
      </c>
      <c r="B96">
        <f>""</f>
        <v/>
      </c>
      <c r="C96">
        <f>""</f>
        <v/>
      </c>
      <c r="D96">
        <f>""</f>
        <v/>
      </c>
      <c r="E96">
        <f>""</f>
        <v/>
      </c>
      <c r="F96">
        <f>""</f>
        <v/>
      </c>
      <c r="G96">
        <f>""</f>
        <v/>
      </c>
      <c r="H96">
        <f>""</f>
        <v/>
      </c>
      <c r="I96">
        <f>""</f>
        <v/>
      </c>
      <c r="U96">
        <f>""</f>
        <v/>
      </c>
      <c r="V96">
        <f>IFERROR(IF(AND('Reservations'!$G96=$B$5,OR('Reservations'!$P96="Confirmed",'Reservations'!$P96="In House")),COUNTIFS('Reservations'!$G$2:'Reservations'!$G96,$B$5,'Reservations'!$P$2:'Reservations'!$P96,"Confirmed")+COUNTIFS('Reservations'!$G$2:'Reservations'!$G96,$B$5,'Reservations'!$P$2:'Reservations'!$P96,"In House"),""),"")</f>
        <v/>
      </c>
      <c r="W96">
        <f>IFERROR(IF(AND('Reservations'!$H96=$B$5,OR('Reservations'!$P96="In House",'Reservations'!$P96="Checked Out")),COUNTIFS('Reservations'!$H$2:'Reservations'!$H96,$B$5,'Reservations'!$P$2:'Reservations'!$P96,"In House")+COUNTIFS('Reservations'!$H$2:'Reservations'!$H96,$B$5,'Reservations'!$P$2:'Reservations'!$P96,"Checked Out"),""),"")</f>
        <v/>
      </c>
      <c r="Y96">
        <f>""</f>
        <v/>
      </c>
    </row>
    <row r="97">
      <c r="A97">
        <f>""</f>
        <v/>
      </c>
      <c r="B97">
        <f>""</f>
        <v/>
      </c>
      <c r="C97">
        <f>""</f>
        <v/>
      </c>
      <c r="D97">
        <f>""</f>
        <v/>
      </c>
      <c r="E97">
        <f>""</f>
        <v/>
      </c>
      <c r="F97">
        <f>""</f>
        <v/>
      </c>
      <c r="G97">
        <f>""</f>
        <v/>
      </c>
      <c r="H97">
        <f>""</f>
        <v/>
      </c>
      <c r="I97">
        <f>""</f>
        <v/>
      </c>
      <c r="U97">
        <f>""</f>
        <v/>
      </c>
      <c r="V97">
        <f>IFERROR(IF(AND('Reservations'!$G97=$B$5,OR('Reservations'!$P97="Confirmed",'Reservations'!$P97="In House")),COUNTIFS('Reservations'!$G$2:'Reservations'!$G97,$B$5,'Reservations'!$P$2:'Reservations'!$P97,"Confirmed")+COUNTIFS('Reservations'!$G$2:'Reservations'!$G97,$B$5,'Reservations'!$P$2:'Reservations'!$P97,"In House"),""),"")</f>
        <v/>
      </c>
      <c r="W97">
        <f>IFERROR(IF(AND('Reservations'!$H97=$B$5,OR('Reservations'!$P97="In House",'Reservations'!$P97="Checked Out")),COUNTIFS('Reservations'!$H$2:'Reservations'!$H97,$B$5,'Reservations'!$P$2:'Reservations'!$P97,"In House")+COUNTIFS('Reservations'!$H$2:'Reservations'!$H97,$B$5,'Reservations'!$P$2:'Reservations'!$P97,"Checked Out"),""),"")</f>
        <v/>
      </c>
      <c r="Y97">
        <f>""</f>
        <v/>
      </c>
    </row>
    <row r="98">
      <c r="A98">
        <f>""</f>
        <v/>
      </c>
      <c r="B98">
        <f>""</f>
        <v/>
      </c>
      <c r="C98">
        <f>""</f>
        <v/>
      </c>
      <c r="D98">
        <f>""</f>
        <v/>
      </c>
      <c r="E98">
        <f>""</f>
        <v/>
      </c>
      <c r="F98">
        <f>""</f>
        <v/>
      </c>
      <c r="G98">
        <f>""</f>
        <v/>
      </c>
      <c r="H98">
        <f>""</f>
        <v/>
      </c>
      <c r="I98">
        <f>""</f>
        <v/>
      </c>
      <c r="U98">
        <f>""</f>
        <v/>
      </c>
      <c r="V98">
        <f>IFERROR(IF(AND('Reservations'!$G98=$B$5,OR('Reservations'!$P98="Confirmed",'Reservations'!$P98="In House")),COUNTIFS('Reservations'!$G$2:'Reservations'!$G98,$B$5,'Reservations'!$P$2:'Reservations'!$P98,"Confirmed")+COUNTIFS('Reservations'!$G$2:'Reservations'!$G98,$B$5,'Reservations'!$P$2:'Reservations'!$P98,"In House"),""),"")</f>
        <v/>
      </c>
      <c r="W98">
        <f>IFERROR(IF(AND('Reservations'!$H98=$B$5,OR('Reservations'!$P98="In House",'Reservations'!$P98="Checked Out")),COUNTIFS('Reservations'!$H$2:'Reservations'!$H98,$B$5,'Reservations'!$P$2:'Reservations'!$P98,"In House")+COUNTIFS('Reservations'!$H$2:'Reservations'!$H98,$B$5,'Reservations'!$P$2:'Reservations'!$P98,"Checked Out"),""),"")</f>
        <v/>
      </c>
      <c r="Y98">
        <f>""</f>
        <v/>
      </c>
    </row>
    <row r="99">
      <c r="A99">
        <f>""</f>
        <v/>
      </c>
      <c r="B99">
        <f>""</f>
        <v/>
      </c>
      <c r="C99">
        <f>""</f>
        <v/>
      </c>
      <c r="D99">
        <f>""</f>
        <v/>
      </c>
      <c r="E99">
        <f>""</f>
        <v/>
      </c>
      <c r="F99">
        <f>""</f>
        <v/>
      </c>
      <c r="G99">
        <f>""</f>
        <v/>
      </c>
      <c r="H99">
        <f>""</f>
        <v/>
      </c>
      <c r="I99">
        <f>""</f>
        <v/>
      </c>
      <c r="U99">
        <f>""</f>
        <v/>
      </c>
      <c r="V99">
        <f>IFERROR(IF(AND('Reservations'!$G99=$B$5,OR('Reservations'!$P99="Confirmed",'Reservations'!$P99="In House")),COUNTIFS('Reservations'!$G$2:'Reservations'!$G99,$B$5,'Reservations'!$P$2:'Reservations'!$P99,"Confirmed")+COUNTIFS('Reservations'!$G$2:'Reservations'!$G99,$B$5,'Reservations'!$P$2:'Reservations'!$P99,"In House"),""),"")</f>
        <v/>
      </c>
      <c r="W99">
        <f>IFERROR(IF(AND('Reservations'!$H99=$B$5,OR('Reservations'!$P99="In House",'Reservations'!$P99="Checked Out")),COUNTIFS('Reservations'!$H$2:'Reservations'!$H99,$B$5,'Reservations'!$P$2:'Reservations'!$P99,"In House")+COUNTIFS('Reservations'!$H$2:'Reservations'!$H99,$B$5,'Reservations'!$P$2:'Reservations'!$P99,"Checked Out"),""),"")</f>
        <v/>
      </c>
      <c r="Y99">
        <f>""</f>
        <v/>
      </c>
    </row>
    <row r="100">
      <c r="A100">
        <f>""</f>
        <v/>
      </c>
      <c r="B100">
        <f>""</f>
        <v/>
      </c>
      <c r="C100">
        <f>""</f>
        <v/>
      </c>
      <c r="D100">
        <f>""</f>
        <v/>
      </c>
      <c r="E100">
        <f>""</f>
        <v/>
      </c>
      <c r="F100">
        <f>""</f>
        <v/>
      </c>
      <c r="G100">
        <f>""</f>
        <v/>
      </c>
      <c r="H100">
        <f>""</f>
        <v/>
      </c>
      <c r="I100">
        <f>""</f>
        <v/>
      </c>
      <c r="U100">
        <f>""</f>
        <v/>
      </c>
      <c r="V100">
        <f>IFERROR(IF(AND('Reservations'!$G100=$B$5,OR('Reservations'!$P100="Confirmed",'Reservations'!$P100="In House")),COUNTIFS('Reservations'!$G$2:'Reservations'!$G100,$B$5,'Reservations'!$P$2:'Reservations'!$P100,"Confirmed")+COUNTIFS('Reservations'!$G$2:'Reservations'!$G100,$B$5,'Reservations'!$P$2:'Reservations'!$P100,"In House"),""),"")</f>
        <v/>
      </c>
      <c r="W100">
        <f>IFERROR(IF(AND('Reservations'!$H100=$B$5,OR('Reservations'!$P100="In House",'Reservations'!$P100="Checked Out")),COUNTIFS('Reservations'!$H$2:'Reservations'!$H100,$B$5,'Reservations'!$P$2:'Reservations'!$P100,"In House")+COUNTIFS('Reservations'!$H$2:'Reservations'!$H100,$B$5,'Reservations'!$P$2:'Reservations'!$P100,"Checked Out"),""),"")</f>
        <v/>
      </c>
      <c r="Y100">
        <f>""</f>
        <v/>
      </c>
    </row>
    <row r="101">
      <c r="A101">
        <f>""</f>
        <v/>
      </c>
      <c r="B101">
        <f>""</f>
        <v/>
      </c>
      <c r="C101">
        <f>""</f>
        <v/>
      </c>
      <c r="D101">
        <f>""</f>
        <v/>
      </c>
      <c r="E101">
        <f>""</f>
        <v/>
      </c>
      <c r="F101">
        <f>""</f>
        <v/>
      </c>
      <c r="G101">
        <f>""</f>
        <v/>
      </c>
      <c r="H101">
        <f>""</f>
        <v/>
      </c>
      <c r="I101">
        <f>""</f>
        <v/>
      </c>
      <c r="U101">
        <f>""</f>
        <v/>
      </c>
      <c r="V101">
        <f>IFERROR(IF(AND('Reservations'!$G101=$B$5,OR('Reservations'!$P101="Confirmed",'Reservations'!$P101="In House")),COUNTIFS('Reservations'!$G$2:'Reservations'!$G101,$B$5,'Reservations'!$P$2:'Reservations'!$P101,"Confirmed")+COUNTIFS('Reservations'!$G$2:'Reservations'!$G101,$B$5,'Reservations'!$P$2:'Reservations'!$P101,"In House"),""),"")</f>
        <v/>
      </c>
      <c r="W101">
        <f>IFERROR(IF(AND('Reservations'!$H101=$B$5,OR('Reservations'!$P101="In House",'Reservations'!$P101="Checked Out")),COUNTIFS('Reservations'!$H$2:'Reservations'!$H101,$B$5,'Reservations'!$P$2:'Reservations'!$P101,"In House")+COUNTIFS('Reservations'!$H$2:'Reservations'!$H101,$B$5,'Reservations'!$P$2:'Reservations'!$P101,"Checked Out"),""),"")</f>
        <v/>
      </c>
      <c r="Y101">
        <f>""</f>
        <v/>
      </c>
    </row>
    <row r="102">
      <c r="V102">
        <f>IFERROR(IF(AND('Reservations'!$G102=$B$5,OR('Reservations'!$P102="Confirmed",'Reservations'!$P102="In House")),COUNTIFS('Reservations'!$G$2:'Reservations'!$G102,$B$5,'Reservations'!$P$2:'Reservations'!$P102,"Confirmed")+COUNTIFS('Reservations'!$G$2:'Reservations'!$G102,$B$5,'Reservations'!$P$2:'Reservations'!$P102,"In House"),""),"")</f>
        <v/>
      </c>
      <c r="W102">
        <f>IFERROR(IF(AND('Reservations'!$H102=$B$5,OR('Reservations'!$P102="In House",'Reservations'!$P102="Checked Out")),COUNTIFS('Reservations'!$H$2:'Reservations'!$H102,$B$5,'Reservations'!$P$2:'Reservations'!$P102,"In House")+COUNTIFS('Reservations'!$H$2:'Reservations'!$H102,$B$5,'Reservations'!$P$2:'Reservations'!$P102,"Checked Out"),""),"")</f>
        <v/>
      </c>
    </row>
    <row r="103">
      <c r="V103">
        <f>IFERROR(IF(AND('Reservations'!$G103=$B$5,OR('Reservations'!$P103="Confirmed",'Reservations'!$P103="In House")),COUNTIFS('Reservations'!$G$2:'Reservations'!$G103,$B$5,'Reservations'!$P$2:'Reservations'!$P103,"Confirmed")+COUNTIFS('Reservations'!$G$2:'Reservations'!$G103,$B$5,'Reservations'!$P$2:'Reservations'!$P103,"In House"),""),"")</f>
        <v/>
      </c>
      <c r="W103">
        <f>IFERROR(IF(AND('Reservations'!$H103=$B$5,OR('Reservations'!$P103="In House",'Reservations'!$P103="Checked Out")),COUNTIFS('Reservations'!$H$2:'Reservations'!$H103,$B$5,'Reservations'!$P$2:'Reservations'!$P103,"In House")+COUNTIFS('Reservations'!$H$2:'Reservations'!$H103,$B$5,'Reservations'!$P$2:'Reservations'!$P103,"Checked Out"),""),"")</f>
        <v/>
      </c>
    </row>
    <row r="104">
      <c r="V104">
        <f>IFERROR(IF(AND('Reservations'!$G104=$B$5,OR('Reservations'!$P104="Confirmed",'Reservations'!$P104="In House")),COUNTIFS('Reservations'!$G$2:'Reservations'!$G104,$B$5,'Reservations'!$P$2:'Reservations'!$P104,"Confirmed")+COUNTIFS('Reservations'!$G$2:'Reservations'!$G104,$B$5,'Reservations'!$P$2:'Reservations'!$P104,"In House"),""),"")</f>
        <v/>
      </c>
      <c r="W104">
        <f>IFERROR(IF(AND('Reservations'!$H104=$B$5,OR('Reservations'!$P104="In House",'Reservations'!$P104="Checked Out")),COUNTIFS('Reservations'!$H$2:'Reservations'!$H104,$B$5,'Reservations'!$P$2:'Reservations'!$P104,"In House")+COUNTIFS('Reservations'!$H$2:'Reservations'!$H104,$B$5,'Reservations'!$P$2:'Reservations'!$P104,"Checked Out"),""),"")</f>
        <v/>
      </c>
    </row>
    <row r="105">
      <c r="V105">
        <f>IFERROR(IF(AND('Reservations'!$G105=$B$5,OR('Reservations'!$P105="Confirmed",'Reservations'!$P105="In House")),COUNTIFS('Reservations'!$G$2:'Reservations'!$G105,$B$5,'Reservations'!$P$2:'Reservations'!$P105,"Confirmed")+COUNTIFS('Reservations'!$G$2:'Reservations'!$G105,$B$5,'Reservations'!$P$2:'Reservations'!$P105,"In House"),""),"")</f>
        <v/>
      </c>
      <c r="W105">
        <f>IFERROR(IF(AND('Reservations'!$H105=$B$5,OR('Reservations'!$P105="In House",'Reservations'!$P105="Checked Out")),COUNTIFS('Reservations'!$H$2:'Reservations'!$H105,$B$5,'Reservations'!$P$2:'Reservations'!$P105,"In House")+COUNTIFS('Reservations'!$H$2:'Reservations'!$H105,$B$5,'Reservations'!$P$2:'Reservations'!$P105,"Checked Out"),""),"")</f>
        <v/>
      </c>
    </row>
    <row r="106">
      <c r="V106">
        <f>IFERROR(IF(AND('Reservations'!$G106=$B$5,OR('Reservations'!$P106="Confirmed",'Reservations'!$P106="In House")),COUNTIFS('Reservations'!$G$2:'Reservations'!$G106,$B$5,'Reservations'!$P$2:'Reservations'!$P106,"Confirmed")+COUNTIFS('Reservations'!$G$2:'Reservations'!$G106,$B$5,'Reservations'!$P$2:'Reservations'!$P106,"In House"),""),"")</f>
        <v/>
      </c>
      <c r="W106">
        <f>IFERROR(IF(AND('Reservations'!$H106=$B$5,OR('Reservations'!$P106="In House",'Reservations'!$P106="Checked Out")),COUNTIFS('Reservations'!$H$2:'Reservations'!$H106,$B$5,'Reservations'!$P$2:'Reservations'!$P106,"In House")+COUNTIFS('Reservations'!$H$2:'Reservations'!$H106,$B$5,'Reservations'!$P$2:'Reservations'!$P106,"Checked Out"),""),"")</f>
        <v/>
      </c>
    </row>
    <row r="107">
      <c r="V107">
        <f>IFERROR(IF(AND('Reservations'!$G107=$B$5,OR('Reservations'!$P107="Confirmed",'Reservations'!$P107="In House")),COUNTIFS('Reservations'!$G$2:'Reservations'!$G107,$B$5,'Reservations'!$P$2:'Reservations'!$P107,"Confirmed")+COUNTIFS('Reservations'!$G$2:'Reservations'!$G107,$B$5,'Reservations'!$P$2:'Reservations'!$P107,"In House"),""),"")</f>
        <v/>
      </c>
      <c r="W107">
        <f>IFERROR(IF(AND('Reservations'!$H107=$B$5,OR('Reservations'!$P107="In House",'Reservations'!$P107="Checked Out")),COUNTIFS('Reservations'!$H$2:'Reservations'!$H107,$B$5,'Reservations'!$P$2:'Reservations'!$P107,"In House")+COUNTIFS('Reservations'!$H$2:'Reservations'!$H107,$B$5,'Reservations'!$P$2:'Reservations'!$P107,"Checked Out"),""),"")</f>
        <v/>
      </c>
    </row>
    <row r="108">
      <c r="V108">
        <f>IFERROR(IF(AND('Reservations'!$G108=$B$5,OR('Reservations'!$P108="Confirmed",'Reservations'!$P108="In House")),COUNTIFS('Reservations'!$G$2:'Reservations'!$G108,$B$5,'Reservations'!$P$2:'Reservations'!$P108,"Confirmed")+COUNTIFS('Reservations'!$G$2:'Reservations'!$G108,$B$5,'Reservations'!$P$2:'Reservations'!$P108,"In House"),""),"")</f>
        <v/>
      </c>
      <c r="W108">
        <f>IFERROR(IF(AND('Reservations'!$H108=$B$5,OR('Reservations'!$P108="In House",'Reservations'!$P108="Checked Out")),COUNTIFS('Reservations'!$H$2:'Reservations'!$H108,$B$5,'Reservations'!$P$2:'Reservations'!$P108,"In House")+COUNTIFS('Reservations'!$H$2:'Reservations'!$H108,$B$5,'Reservations'!$P$2:'Reservations'!$P108,"Checked Out"),""),"")</f>
        <v/>
      </c>
    </row>
    <row r="109">
      <c r="V109">
        <f>IFERROR(IF(AND('Reservations'!$G109=$B$5,OR('Reservations'!$P109="Confirmed",'Reservations'!$P109="In House")),COUNTIFS('Reservations'!$G$2:'Reservations'!$G109,$B$5,'Reservations'!$P$2:'Reservations'!$P109,"Confirmed")+COUNTIFS('Reservations'!$G$2:'Reservations'!$G109,$B$5,'Reservations'!$P$2:'Reservations'!$P109,"In House"),""),"")</f>
        <v/>
      </c>
      <c r="W109">
        <f>IFERROR(IF(AND('Reservations'!$H109=$B$5,OR('Reservations'!$P109="In House",'Reservations'!$P109="Checked Out")),COUNTIFS('Reservations'!$H$2:'Reservations'!$H109,$B$5,'Reservations'!$P$2:'Reservations'!$P109,"In House")+COUNTIFS('Reservations'!$H$2:'Reservations'!$H109,$B$5,'Reservations'!$P$2:'Reservations'!$P109,"Checked Out"),""),"")</f>
        <v/>
      </c>
    </row>
    <row r="110">
      <c r="V110">
        <f>IFERROR(IF(AND('Reservations'!$G110=$B$5,OR('Reservations'!$P110="Confirmed",'Reservations'!$P110="In House")),COUNTIFS('Reservations'!$G$2:'Reservations'!$G110,$B$5,'Reservations'!$P$2:'Reservations'!$P110,"Confirmed")+COUNTIFS('Reservations'!$G$2:'Reservations'!$G110,$B$5,'Reservations'!$P$2:'Reservations'!$P110,"In House"),""),"")</f>
        <v/>
      </c>
      <c r="W110">
        <f>IFERROR(IF(AND('Reservations'!$H110=$B$5,OR('Reservations'!$P110="In House",'Reservations'!$P110="Checked Out")),COUNTIFS('Reservations'!$H$2:'Reservations'!$H110,$B$5,'Reservations'!$P$2:'Reservations'!$P110,"In House")+COUNTIFS('Reservations'!$H$2:'Reservations'!$H110,$B$5,'Reservations'!$P$2:'Reservations'!$P110,"Checked Out"),""),"")</f>
        <v/>
      </c>
    </row>
    <row r="111">
      <c r="V111">
        <f>IFERROR(IF(AND('Reservations'!$G111=$B$5,OR('Reservations'!$P111="Confirmed",'Reservations'!$P111="In House")),COUNTIFS('Reservations'!$G$2:'Reservations'!$G111,$B$5,'Reservations'!$P$2:'Reservations'!$P111,"Confirmed")+COUNTIFS('Reservations'!$G$2:'Reservations'!$G111,$B$5,'Reservations'!$P$2:'Reservations'!$P111,"In House"),""),"")</f>
        <v/>
      </c>
      <c r="W111">
        <f>IFERROR(IF(AND('Reservations'!$H111=$B$5,OR('Reservations'!$P111="In House",'Reservations'!$P111="Checked Out")),COUNTIFS('Reservations'!$H$2:'Reservations'!$H111,$B$5,'Reservations'!$P$2:'Reservations'!$P111,"In House")+COUNTIFS('Reservations'!$H$2:'Reservations'!$H111,$B$5,'Reservations'!$P$2:'Reservations'!$P111,"Checked Out"),""),"")</f>
        <v/>
      </c>
    </row>
    <row r="112">
      <c r="V112">
        <f>IFERROR(IF(AND('Reservations'!$G112=$B$5,OR('Reservations'!$P112="Confirmed",'Reservations'!$P112="In House")),COUNTIFS('Reservations'!$G$2:'Reservations'!$G112,$B$5,'Reservations'!$P$2:'Reservations'!$P112,"Confirmed")+COUNTIFS('Reservations'!$G$2:'Reservations'!$G112,$B$5,'Reservations'!$P$2:'Reservations'!$P112,"In House"),""),"")</f>
        <v/>
      </c>
      <c r="W112">
        <f>IFERROR(IF(AND('Reservations'!$H112=$B$5,OR('Reservations'!$P112="In House",'Reservations'!$P112="Checked Out")),COUNTIFS('Reservations'!$H$2:'Reservations'!$H112,$B$5,'Reservations'!$P$2:'Reservations'!$P112,"In House")+COUNTIFS('Reservations'!$H$2:'Reservations'!$H112,$B$5,'Reservations'!$P$2:'Reservations'!$P112,"Checked Out"),""),"")</f>
        <v/>
      </c>
    </row>
    <row r="113">
      <c r="V113">
        <f>IFERROR(IF(AND('Reservations'!$G113=$B$5,OR('Reservations'!$P113="Confirmed",'Reservations'!$P113="In House")),COUNTIFS('Reservations'!$G$2:'Reservations'!$G113,$B$5,'Reservations'!$P$2:'Reservations'!$P113,"Confirmed")+COUNTIFS('Reservations'!$G$2:'Reservations'!$G113,$B$5,'Reservations'!$P$2:'Reservations'!$P113,"In House"),""),"")</f>
        <v/>
      </c>
      <c r="W113">
        <f>IFERROR(IF(AND('Reservations'!$H113=$B$5,OR('Reservations'!$P113="In House",'Reservations'!$P113="Checked Out")),COUNTIFS('Reservations'!$H$2:'Reservations'!$H113,$B$5,'Reservations'!$P$2:'Reservations'!$P113,"In House")+COUNTIFS('Reservations'!$H$2:'Reservations'!$H113,$B$5,'Reservations'!$P$2:'Reservations'!$P113,"Checked Out"),""),"")</f>
        <v/>
      </c>
    </row>
    <row r="114">
      <c r="V114">
        <f>IFERROR(IF(AND('Reservations'!$G114=$B$5,OR('Reservations'!$P114="Confirmed",'Reservations'!$P114="In House")),COUNTIFS('Reservations'!$G$2:'Reservations'!$G114,$B$5,'Reservations'!$P$2:'Reservations'!$P114,"Confirmed")+COUNTIFS('Reservations'!$G$2:'Reservations'!$G114,$B$5,'Reservations'!$P$2:'Reservations'!$P114,"In House"),""),"")</f>
        <v/>
      </c>
      <c r="W114">
        <f>IFERROR(IF(AND('Reservations'!$H114=$B$5,OR('Reservations'!$P114="In House",'Reservations'!$P114="Checked Out")),COUNTIFS('Reservations'!$H$2:'Reservations'!$H114,$B$5,'Reservations'!$P$2:'Reservations'!$P114,"In House")+COUNTIFS('Reservations'!$H$2:'Reservations'!$H114,$B$5,'Reservations'!$P$2:'Reservations'!$P114,"Checked Out"),""),"")</f>
        <v/>
      </c>
    </row>
    <row r="115">
      <c r="V115">
        <f>IFERROR(IF(AND('Reservations'!$G115=$B$5,OR('Reservations'!$P115="Confirmed",'Reservations'!$P115="In House")),COUNTIFS('Reservations'!$G$2:'Reservations'!$G115,$B$5,'Reservations'!$P$2:'Reservations'!$P115,"Confirmed")+COUNTIFS('Reservations'!$G$2:'Reservations'!$G115,$B$5,'Reservations'!$P$2:'Reservations'!$P115,"In House"),""),"")</f>
        <v/>
      </c>
      <c r="W115">
        <f>IFERROR(IF(AND('Reservations'!$H115=$B$5,OR('Reservations'!$P115="In House",'Reservations'!$P115="Checked Out")),COUNTIFS('Reservations'!$H$2:'Reservations'!$H115,$B$5,'Reservations'!$P$2:'Reservations'!$P115,"In House")+COUNTIFS('Reservations'!$H$2:'Reservations'!$H115,$B$5,'Reservations'!$P$2:'Reservations'!$P115,"Checked Out"),""),"")</f>
        <v/>
      </c>
    </row>
    <row r="116">
      <c r="V116">
        <f>IFERROR(IF(AND('Reservations'!$G116=$B$5,OR('Reservations'!$P116="Confirmed",'Reservations'!$P116="In House")),COUNTIFS('Reservations'!$G$2:'Reservations'!$G116,$B$5,'Reservations'!$P$2:'Reservations'!$P116,"Confirmed")+COUNTIFS('Reservations'!$G$2:'Reservations'!$G116,$B$5,'Reservations'!$P$2:'Reservations'!$P116,"In House"),""),"")</f>
        <v/>
      </c>
      <c r="W116">
        <f>IFERROR(IF(AND('Reservations'!$H116=$B$5,OR('Reservations'!$P116="In House",'Reservations'!$P116="Checked Out")),COUNTIFS('Reservations'!$H$2:'Reservations'!$H116,$B$5,'Reservations'!$P$2:'Reservations'!$P116,"In House")+COUNTIFS('Reservations'!$H$2:'Reservations'!$H116,$B$5,'Reservations'!$P$2:'Reservations'!$P116,"Checked Out"),""),"")</f>
        <v/>
      </c>
    </row>
    <row r="117">
      <c r="V117">
        <f>IFERROR(IF(AND('Reservations'!$G117=$B$5,OR('Reservations'!$P117="Confirmed",'Reservations'!$P117="In House")),COUNTIFS('Reservations'!$G$2:'Reservations'!$G117,$B$5,'Reservations'!$P$2:'Reservations'!$P117,"Confirmed")+COUNTIFS('Reservations'!$G$2:'Reservations'!$G117,$B$5,'Reservations'!$P$2:'Reservations'!$P117,"In House"),""),"")</f>
        <v/>
      </c>
      <c r="W117">
        <f>IFERROR(IF(AND('Reservations'!$H117=$B$5,OR('Reservations'!$P117="In House",'Reservations'!$P117="Checked Out")),COUNTIFS('Reservations'!$H$2:'Reservations'!$H117,$B$5,'Reservations'!$P$2:'Reservations'!$P117,"In House")+COUNTIFS('Reservations'!$H$2:'Reservations'!$H117,$B$5,'Reservations'!$P$2:'Reservations'!$P117,"Checked Out"),""),"")</f>
        <v/>
      </c>
    </row>
    <row r="118">
      <c r="V118">
        <f>IFERROR(IF(AND('Reservations'!$G118=$B$5,OR('Reservations'!$P118="Confirmed",'Reservations'!$P118="In House")),COUNTIFS('Reservations'!$G$2:'Reservations'!$G118,$B$5,'Reservations'!$P$2:'Reservations'!$P118,"Confirmed")+COUNTIFS('Reservations'!$G$2:'Reservations'!$G118,$B$5,'Reservations'!$P$2:'Reservations'!$P118,"In House"),""),"")</f>
        <v/>
      </c>
      <c r="W118">
        <f>IFERROR(IF(AND('Reservations'!$H118=$B$5,OR('Reservations'!$P118="In House",'Reservations'!$P118="Checked Out")),COUNTIFS('Reservations'!$H$2:'Reservations'!$H118,$B$5,'Reservations'!$P$2:'Reservations'!$P118,"In House")+COUNTIFS('Reservations'!$H$2:'Reservations'!$H118,$B$5,'Reservations'!$P$2:'Reservations'!$P118,"Checked Out"),""),"")</f>
        <v/>
      </c>
    </row>
    <row r="119">
      <c r="V119">
        <f>IFERROR(IF(AND('Reservations'!$G119=$B$5,OR('Reservations'!$P119="Confirmed",'Reservations'!$P119="In House")),COUNTIFS('Reservations'!$G$2:'Reservations'!$G119,$B$5,'Reservations'!$P$2:'Reservations'!$P119,"Confirmed")+COUNTIFS('Reservations'!$G$2:'Reservations'!$G119,$B$5,'Reservations'!$P$2:'Reservations'!$P119,"In House"),""),"")</f>
        <v/>
      </c>
      <c r="W119">
        <f>IFERROR(IF(AND('Reservations'!$H119=$B$5,OR('Reservations'!$P119="In House",'Reservations'!$P119="Checked Out")),COUNTIFS('Reservations'!$H$2:'Reservations'!$H119,$B$5,'Reservations'!$P$2:'Reservations'!$P119,"In House")+COUNTIFS('Reservations'!$H$2:'Reservations'!$H119,$B$5,'Reservations'!$P$2:'Reservations'!$P119,"Checked Out"),""),"")</f>
        <v/>
      </c>
    </row>
    <row r="120">
      <c r="V120">
        <f>IFERROR(IF(AND('Reservations'!$G120=$B$5,OR('Reservations'!$P120="Confirmed",'Reservations'!$P120="In House")),COUNTIFS('Reservations'!$G$2:'Reservations'!$G120,$B$5,'Reservations'!$P$2:'Reservations'!$P120,"Confirmed")+COUNTIFS('Reservations'!$G$2:'Reservations'!$G120,$B$5,'Reservations'!$P$2:'Reservations'!$P120,"In House"),""),"")</f>
        <v/>
      </c>
      <c r="W120">
        <f>IFERROR(IF(AND('Reservations'!$H120=$B$5,OR('Reservations'!$P120="In House",'Reservations'!$P120="Checked Out")),COUNTIFS('Reservations'!$H$2:'Reservations'!$H120,$B$5,'Reservations'!$P$2:'Reservations'!$P120,"In House")+COUNTIFS('Reservations'!$H$2:'Reservations'!$H120,$B$5,'Reservations'!$P$2:'Reservations'!$P120,"Checked Out"),""),"")</f>
        <v/>
      </c>
    </row>
    <row r="121">
      <c r="V121">
        <f>IFERROR(IF(AND('Reservations'!$G121=$B$5,OR('Reservations'!$P121="Confirmed",'Reservations'!$P121="In House")),COUNTIFS('Reservations'!$G$2:'Reservations'!$G121,$B$5,'Reservations'!$P$2:'Reservations'!$P121,"Confirmed")+COUNTIFS('Reservations'!$G$2:'Reservations'!$G121,$B$5,'Reservations'!$P$2:'Reservations'!$P121,"In House"),""),"")</f>
        <v/>
      </c>
      <c r="W121">
        <f>IFERROR(IF(AND('Reservations'!$H121=$B$5,OR('Reservations'!$P121="In House",'Reservations'!$P121="Checked Out")),COUNTIFS('Reservations'!$H$2:'Reservations'!$H121,$B$5,'Reservations'!$P$2:'Reservations'!$P121,"In House")+COUNTIFS('Reservations'!$H$2:'Reservations'!$H121,$B$5,'Reservations'!$P$2:'Reservations'!$P121,"Checked Out"),""),"")</f>
        <v/>
      </c>
    </row>
    <row r="122">
      <c r="V122">
        <f>IFERROR(IF(AND('Reservations'!$G122=$B$5,OR('Reservations'!$P122="Confirmed",'Reservations'!$P122="In House")),COUNTIFS('Reservations'!$G$2:'Reservations'!$G122,$B$5,'Reservations'!$P$2:'Reservations'!$P122,"Confirmed")+COUNTIFS('Reservations'!$G$2:'Reservations'!$G122,$B$5,'Reservations'!$P$2:'Reservations'!$P122,"In House"),""),"")</f>
        <v/>
      </c>
      <c r="W122">
        <f>IFERROR(IF(AND('Reservations'!$H122=$B$5,OR('Reservations'!$P122="In House",'Reservations'!$P122="Checked Out")),COUNTIFS('Reservations'!$H$2:'Reservations'!$H122,$B$5,'Reservations'!$P$2:'Reservations'!$P122,"In House")+COUNTIFS('Reservations'!$H$2:'Reservations'!$H122,$B$5,'Reservations'!$P$2:'Reservations'!$P122,"Checked Out"),""),"")</f>
        <v/>
      </c>
    </row>
    <row r="123">
      <c r="V123">
        <f>IFERROR(IF(AND('Reservations'!$G123=$B$5,OR('Reservations'!$P123="Confirmed",'Reservations'!$P123="In House")),COUNTIFS('Reservations'!$G$2:'Reservations'!$G123,$B$5,'Reservations'!$P$2:'Reservations'!$P123,"Confirmed")+COUNTIFS('Reservations'!$G$2:'Reservations'!$G123,$B$5,'Reservations'!$P$2:'Reservations'!$P123,"In House"),""),"")</f>
        <v/>
      </c>
      <c r="W123">
        <f>IFERROR(IF(AND('Reservations'!$H123=$B$5,OR('Reservations'!$P123="In House",'Reservations'!$P123="Checked Out")),COUNTIFS('Reservations'!$H$2:'Reservations'!$H123,$B$5,'Reservations'!$P$2:'Reservations'!$P123,"In House")+COUNTIFS('Reservations'!$H$2:'Reservations'!$H123,$B$5,'Reservations'!$P$2:'Reservations'!$P123,"Checked Out"),""),"")</f>
        <v/>
      </c>
    </row>
    <row r="124">
      <c r="V124">
        <f>IFERROR(IF(AND('Reservations'!$G124=$B$5,OR('Reservations'!$P124="Confirmed",'Reservations'!$P124="In House")),COUNTIFS('Reservations'!$G$2:'Reservations'!$G124,$B$5,'Reservations'!$P$2:'Reservations'!$P124,"Confirmed")+COUNTIFS('Reservations'!$G$2:'Reservations'!$G124,$B$5,'Reservations'!$P$2:'Reservations'!$P124,"In House"),""),"")</f>
        <v/>
      </c>
      <c r="W124">
        <f>IFERROR(IF(AND('Reservations'!$H124=$B$5,OR('Reservations'!$P124="In House",'Reservations'!$P124="Checked Out")),COUNTIFS('Reservations'!$H$2:'Reservations'!$H124,$B$5,'Reservations'!$P$2:'Reservations'!$P124,"In House")+COUNTIFS('Reservations'!$H$2:'Reservations'!$H124,$B$5,'Reservations'!$P$2:'Reservations'!$P124,"Checked Out"),""),"")</f>
        <v/>
      </c>
    </row>
    <row r="125">
      <c r="V125">
        <f>IFERROR(IF(AND('Reservations'!$G125=$B$5,OR('Reservations'!$P125="Confirmed",'Reservations'!$P125="In House")),COUNTIFS('Reservations'!$G$2:'Reservations'!$G125,$B$5,'Reservations'!$P$2:'Reservations'!$P125,"Confirmed")+COUNTIFS('Reservations'!$G$2:'Reservations'!$G125,$B$5,'Reservations'!$P$2:'Reservations'!$P125,"In House"),""),"")</f>
        <v/>
      </c>
      <c r="W125">
        <f>IFERROR(IF(AND('Reservations'!$H125=$B$5,OR('Reservations'!$P125="In House",'Reservations'!$P125="Checked Out")),COUNTIFS('Reservations'!$H$2:'Reservations'!$H125,$B$5,'Reservations'!$P$2:'Reservations'!$P125,"In House")+COUNTIFS('Reservations'!$H$2:'Reservations'!$H125,$B$5,'Reservations'!$P$2:'Reservations'!$P125,"Checked Out"),""),"")</f>
        <v/>
      </c>
    </row>
    <row r="126">
      <c r="V126">
        <f>IFERROR(IF(AND('Reservations'!$G126=$B$5,OR('Reservations'!$P126="Confirmed",'Reservations'!$P126="In House")),COUNTIFS('Reservations'!$G$2:'Reservations'!$G126,$B$5,'Reservations'!$P$2:'Reservations'!$P126,"Confirmed")+COUNTIFS('Reservations'!$G$2:'Reservations'!$G126,$B$5,'Reservations'!$P$2:'Reservations'!$P126,"In House"),""),"")</f>
        <v/>
      </c>
      <c r="W126">
        <f>IFERROR(IF(AND('Reservations'!$H126=$B$5,OR('Reservations'!$P126="In House",'Reservations'!$P126="Checked Out")),COUNTIFS('Reservations'!$H$2:'Reservations'!$H126,$B$5,'Reservations'!$P$2:'Reservations'!$P126,"In House")+COUNTIFS('Reservations'!$H$2:'Reservations'!$H126,$B$5,'Reservations'!$P$2:'Reservations'!$P126,"Checked Out"),""),"")</f>
        <v/>
      </c>
    </row>
    <row r="127">
      <c r="V127">
        <f>IFERROR(IF(AND('Reservations'!$G127=$B$5,OR('Reservations'!$P127="Confirmed",'Reservations'!$P127="In House")),COUNTIFS('Reservations'!$G$2:'Reservations'!$G127,$B$5,'Reservations'!$P$2:'Reservations'!$P127,"Confirmed")+COUNTIFS('Reservations'!$G$2:'Reservations'!$G127,$B$5,'Reservations'!$P$2:'Reservations'!$P127,"In House"),""),"")</f>
        <v/>
      </c>
      <c r="W127">
        <f>IFERROR(IF(AND('Reservations'!$H127=$B$5,OR('Reservations'!$P127="In House",'Reservations'!$P127="Checked Out")),COUNTIFS('Reservations'!$H$2:'Reservations'!$H127,$B$5,'Reservations'!$P$2:'Reservations'!$P127,"In House")+COUNTIFS('Reservations'!$H$2:'Reservations'!$H127,$B$5,'Reservations'!$P$2:'Reservations'!$P127,"Checked Out"),""),"")</f>
        <v/>
      </c>
    </row>
    <row r="128">
      <c r="V128">
        <f>IFERROR(IF(AND('Reservations'!$G128=$B$5,OR('Reservations'!$P128="Confirmed",'Reservations'!$P128="In House")),COUNTIFS('Reservations'!$G$2:'Reservations'!$G128,$B$5,'Reservations'!$P$2:'Reservations'!$P128,"Confirmed")+COUNTIFS('Reservations'!$G$2:'Reservations'!$G128,$B$5,'Reservations'!$P$2:'Reservations'!$P128,"In House"),""),"")</f>
        <v/>
      </c>
      <c r="W128">
        <f>IFERROR(IF(AND('Reservations'!$H128=$B$5,OR('Reservations'!$P128="In House",'Reservations'!$P128="Checked Out")),COUNTIFS('Reservations'!$H$2:'Reservations'!$H128,$B$5,'Reservations'!$P$2:'Reservations'!$P128,"In House")+COUNTIFS('Reservations'!$H$2:'Reservations'!$H128,$B$5,'Reservations'!$P$2:'Reservations'!$P128,"Checked Out"),""),"")</f>
        <v/>
      </c>
    </row>
    <row r="129">
      <c r="V129">
        <f>IFERROR(IF(AND('Reservations'!$G129=$B$5,OR('Reservations'!$P129="Confirmed",'Reservations'!$P129="In House")),COUNTIFS('Reservations'!$G$2:'Reservations'!$G129,$B$5,'Reservations'!$P$2:'Reservations'!$P129,"Confirmed")+COUNTIFS('Reservations'!$G$2:'Reservations'!$G129,$B$5,'Reservations'!$P$2:'Reservations'!$P129,"In House"),""),"")</f>
        <v/>
      </c>
      <c r="W129">
        <f>IFERROR(IF(AND('Reservations'!$H129=$B$5,OR('Reservations'!$P129="In House",'Reservations'!$P129="Checked Out")),COUNTIFS('Reservations'!$H$2:'Reservations'!$H129,$B$5,'Reservations'!$P$2:'Reservations'!$P129,"In House")+COUNTIFS('Reservations'!$H$2:'Reservations'!$H129,$B$5,'Reservations'!$P$2:'Reservations'!$P129,"Checked Out"),""),"")</f>
        <v/>
      </c>
    </row>
    <row r="130">
      <c r="V130">
        <f>IFERROR(IF(AND('Reservations'!$G130=$B$5,OR('Reservations'!$P130="Confirmed",'Reservations'!$P130="In House")),COUNTIFS('Reservations'!$G$2:'Reservations'!$G130,$B$5,'Reservations'!$P$2:'Reservations'!$P130,"Confirmed")+COUNTIFS('Reservations'!$G$2:'Reservations'!$G130,$B$5,'Reservations'!$P$2:'Reservations'!$P130,"In House"),""),"")</f>
        <v/>
      </c>
      <c r="W130">
        <f>IFERROR(IF(AND('Reservations'!$H130=$B$5,OR('Reservations'!$P130="In House",'Reservations'!$P130="Checked Out")),COUNTIFS('Reservations'!$H$2:'Reservations'!$H130,$B$5,'Reservations'!$P$2:'Reservations'!$P130,"In House")+COUNTIFS('Reservations'!$H$2:'Reservations'!$H130,$B$5,'Reservations'!$P$2:'Reservations'!$P130,"Checked Out"),""),"")</f>
        <v/>
      </c>
    </row>
    <row r="131">
      <c r="V131">
        <f>IFERROR(IF(AND('Reservations'!$G131=$B$5,OR('Reservations'!$P131="Confirmed",'Reservations'!$P131="In House")),COUNTIFS('Reservations'!$G$2:'Reservations'!$G131,$B$5,'Reservations'!$P$2:'Reservations'!$P131,"Confirmed")+COUNTIFS('Reservations'!$G$2:'Reservations'!$G131,$B$5,'Reservations'!$P$2:'Reservations'!$P131,"In House"),""),"")</f>
        <v/>
      </c>
      <c r="W131">
        <f>IFERROR(IF(AND('Reservations'!$H131=$B$5,OR('Reservations'!$P131="In House",'Reservations'!$P131="Checked Out")),COUNTIFS('Reservations'!$H$2:'Reservations'!$H131,$B$5,'Reservations'!$P$2:'Reservations'!$P131,"In House")+COUNTIFS('Reservations'!$H$2:'Reservations'!$H131,$B$5,'Reservations'!$P$2:'Reservations'!$P131,"Checked Out"),""),"")</f>
        <v/>
      </c>
    </row>
    <row r="132">
      <c r="V132">
        <f>IFERROR(IF(AND('Reservations'!$G132=$B$5,OR('Reservations'!$P132="Confirmed",'Reservations'!$P132="In House")),COUNTIFS('Reservations'!$G$2:'Reservations'!$G132,$B$5,'Reservations'!$P$2:'Reservations'!$P132,"Confirmed")+COUNTIFS('Reservations'!$G$2:'Reservations'!$G132,$B$5,'Reservations'!$P$2:'Reservations'!$P132,"In House"),""),"")</f>
        <v/>
      </c>
      <c r="W132">
        <f>IFERROR(IF(AND('Reservations'!$H132=$B$5,OR('Reservations'!$P132="In House",'Reservations'!$P132="Checked Out")),COUNTIFS('Reservations'!$H$2:'Reservations'!$H132,$B$5,'Reservations'!$P$2:'Reservations'!$P132,"In House")+COUNTIFS('Reservations'!$H$2:'Reservations'!$H132,$B$5,'Reservations'!$P$2:'Reservations'!$P132,"Checked Out"),""),"")</f>
        <v/>
      </c>
    </row>
    <row r="133">
      <c r="V133">
        <f>IFERROR(IF(AND('Reservations'!$G133=$B$5,OR('Reservations'!$P133="Confirmed",'Reservations'!$P133="In House")),COUNTIFS('Reservations'!$G$2:'Reservations'!$G133,$B$5,'Reservations'!$P$2:'Reservations'!$P133,"Confirmed")+COUNTIFS('Reservations'!$G$2:'Reservations'!$G133,$B$5,'Reservations'!$P$2:'Reservations'!$P133,"In House"),""),"")</f>
        <v/>
      </c>
      <c r="W133">
        <f>IFERROR(IF(AND('Reservations'!$H133=$B$5,OR('Reservations'!$P133="In House",'Reservations'!$P133="Checked Out")),COUNTIFS('Reservations'!$H$2:'Reservations'!$H133,$B$5,'Reservations'!$P$2:'Reservations'!$P133,"In House")+COUNTIFS('Reservations'!$H$2:'Reservations'!$H133,$B$5,'Reservations'!$P$2:'Reservations'!$P133,"Checked Out"),""),"")</f>
        <v/>
      </c>
    </row>
    <row r="134">
      <c r="V134">
        <f>IFERROR(IF(AND('Reservations'!$G134=$B$5,OR('Reservations'!$P134="Confirmed",'Reservations'!$P134="In House")),COUNTIFS('Reservations'!$G$2:'Reservations'!$G134,$B$5,'Reservations'!$P$2:'Reservations'!$P134,"Confirmed")+COUNTIFS('Reservations'!$G$2:'Reservations'!$G134,$B$5,'Reservations'!$P$2:'Reservations'!$P134,"In House"),""),"")</f>
        <v/>
      </c>
      <c r="W134">
        <f>IFERROR(IF(AND('Reservations'!$H134=$B$5,OR('Reservations'!$P134="In House",'Reservations'!$P134="Checked Out")),COUNTIFS('Reservations'!$H$2:'Reservations'!$H134,$B$5,'Reservations'!$P$2:'Reservations'!$P134,"In House")+COUNTIFS('Reservations'!$H$2:'Reservations'!$H134,$B$5,'Reservations'!$P$2:'Reservations'!$P134,"Checked Out"),""),"")</f>
        <v/>
      </c>
    </row>
    <row r="135">
      <c r="V135">
        <f>IFERROR(IF(AND('Reservations'!$G135=$B$5,OR('Reservations'!$P135="Confirmed",'Reservations'!$P135="In House")),COUNTIFS('Reservations'!$G$2:'Reservations'!$G135,$B$5,'Reservations'!$P$2:'Reservations'!$P135,"Confirmed")+COUNTIFS('Reservations'!$G$2:'Reservations'!$G135,$B$5,'Reservations'!$P$2:'Reservations'!$P135,"In House"),""),"")</f>
        <v/>
      </c>
      <c r="W135">
        <f>IFERROR(IF(AND('Reservations'!$H135=$B$5,OR('Reservations'!$P135="In House",'Reservations'!$P135="Checked Out")),COUNTIFS('Reservations'!$H$2:'Reservations'!$H135,$B$5,'Reservations'!$P$2:'Reservations'!$P135,"In House")+COUNTIFS('Reservations'!$H$2:'Reservations'!$H135,$B$5,'Reservations'!$P$2:'Reservations'!$P135,"Checked Out"),""),"")</f>
        <v/>
      </c>
    </row>
    <row r="136">
      <c r="V136">
        <f>IFERROR(IF(AND('Reservations'!$G136=$B$5,OR('Reservations'!$P136="Confirmed",'Reservations'!$P136="In House")),COUNTIFS('Reservations'!$G$2:'Reservations'!$G136,$B$5,'Reservations'!$P$2:'Reservations'!$P136,"Confirmed")+COUNTIFS('Reservations'!$G$2:'Reservations'!$G136,$B$5,'Reservations'!$P$2:'Reservations'!$P136,"In House"),""),"")</f>
        <v/>
      </c>
      <c r="W136">
        <f>IFERROR(IF(AND('Reservations'!$H136=$B$5,OR('Reservations'!$P136="In House",'Reservations'!$P136="Checked Out")),COUNTIFS('Reservations'!$H$2:'Reservations'!$H136,$B$5,'Reservations'!$P$2:'Reservations'!$P136,"In House")+COUNTIFS('Reservations'!$H$2:'Reservations'!$H136,$B$5,'Reservations'!$P$2:'Reservations'!$P136,"Checked Out"),""),"")</f>
        <v/>
      </c>
    </row>
    <row r="137">
      <c r="V137">
        <f>IFERROR(IF(AND('Reservations'!$G137=$B$5,OR('Reservations'!$P137="Confirmed",'Reservations'!$P137="In House")),COUNTIFS('Reservations'!$G$2:'Reservations'!$G137,$B$5,'Reservations'!$P$2:'Reservations'!$P137,"Confirmed")+COUNTIFS('Reservations'!$G$2:'Reservations'!$G137,$B$5,'Reservations'!$P$2:'Reservations'!$P137,"In House"),""),"")</f>
        <v/>
      </c>
      <c r="W137">
        <f>IFERROR(IF(AND('Reservations'!$H137=$B$5,OR('Reservations'!$P137="In House",'Reservations'!$P137="Checked Out")),COUNTIFS('Reservations'!$H$2:'Reservations'!$H137,$B$5,'Reservations'!$P$2:'Reservations'!$P137,"In House")+COUNTIFS('Reservations'!$H$2:'Reservations'!$H137,$B$5,'Reservations'!$P$2:'Reservations'!$P137,"Checked Out"),""),"")</f>
        <v/>
      </c>
    </row>
    <row r="138">
      <c r="V138">
        <f>IFERROR(IF(AND('Reservations'!$G138=$B$5,OR('Reservations'!$P138="Confirmed",'Reservations'!$P138="In House")),COUNTIFS('Reservations'!$G$2:'Reservations'!$G138,$B$5,'Reservations'!$P$2:'Reservations'!$P138,"Confirmed")+COUNTIFS('Reservations'!$G$2:'Reservations'!$G138,$B$5,'Reservations'!$P$2:'Reservations'!$P138,"In House"),""),"")</f>
        <v/>
      </c>
      <c r="W138">
        <f>IFERROR(IF(AND('Reservations'!$H138=$B$5,OR('Reservations'!$P138="In House",'Reservations'!$P138="Checked Out")),COUNTIFS('Reservations'!$H$2:'Reservations'!$H138,$B$5,'Reservations'!$P$2:'Reservations'!$P138,"In House")+COUNTIFS('Reservations'!$H$2:'Reservations'!$H138,$B$5,'Reservations'!$P$2:'Reservations'!$P138,"Checked Out"),""),"")</f>
        <v/>
      </c>
    </row>
    <row r="139">
      <c r="V139">
        <f>IFERROR(IF(AND('Reservations'!$G139=$B$5,OR('Reservations'!$P139="Confirmed",'Reservations'!$P139="In House")),COUNTIFS('Reservations'!$G$2:'Reservations'!$G139,$B$5,'Reservations'!$P$2:'Reservations'!$P139,"Confirmed")+COUNTIFS('Reservations'!$G$2:'Reservations'!$G139,$B$5,'Reservations'!$P$2:'Reservations'!$P139,"In House"),""),"")</f>
        <v/>
      </c>
      <c r="W139">
        <f>IFERROR(IF(AND('Reservations'!$H139=$B$5,OR('Reservations'!$P139="In House",'Reservations'!$P139="Checked Out")),COUNTIFS('Reservations'!$H$2:'Reservations'!$H139,$B$5,'Reservations'!$P$2:'Reservations'!$P139,"In House")+COUNTIFS('Reservations'!$H$2:'Reservations'!$H139,$B$5,'Reservations'!$P$2:'Reservations'!$P139,"Checked Out"),""),"")</f>
        <v/>
      </c>
    </row>
    <row r="140">
      <c r="V140">
        <f>IFERROR(IF(AND('Reservations'!$G140=$B$5,OR('Reservations'!$P140="Confirmed",'Reservations'!$P140="In House")),COUNTIFS('Reservations'!$G$2:'Reservations'!$G140,$B$5,'Reservations'!$P$2:'Reservations'!$P140,"Confirmed")+COUNTIFS('Reservations'!$G$2:'Reservations'!$G140,$B$5,'Reservations'!$P$2:'Reservations'!$P140,"In House"),""),"")</f>
        <v/>
      </c>
      <c r="W140">
        <f>IFERROR(IF(AND('Reservations'!$H140=$B$5,OR('Reservations'!$P140="In House",'Reservations'!$P140="Checked Out")),COUNTIFS('Reservations'!$H$2:'Reservations'!$H140,$B$5,'Reservations'!$P$2:'Reservations'!$P140,"In House")+COUNTIFS('Reservations'!$H$2:'Reservations'!$H140,$B$5,'Reservations'!$P$2:'Reservations'!$P140,"Checked Out"),""),"")</f>
        <v/>
      </c>
    </row>
    <row r="141">
      <c r="V141">
        <f>IFERROR(IF(AND('Reservations'!$G141=$B$5,OR('Reservations'!$P141="Confirmed",'Reservations'!$P141="In House")),COUNTIFS('Reservations'!$G$2:'Reservations'!$G141,$B$5,'Reservations'!$P$2:'Reservations'!$P141,"Confirmed")+COUNTIFS('Reservations'!$G$2:'Reservations'!$G141,$B$5,'Reservations'!$P$2:'Reservations'!$P141,"In House"),""),"")</f>
        <v/>
      </c>
      <c r="W141">
        <f>IFERROR(IF(AND('Reservations'!$H141=$B$5,OR('Reservations'!$P141="In House",'Reservations'!$P141="Checked Out")),COUNTIFS('Reservations'!$H$2:'Reservations'!$H141,$B$5,'Reservations'!$P$2:'Reservations'!$P141,"In House")+COUNTIFS('Reservations'!$H$2:'Reservations'!$H141,$B$5,'Reservations'!$P$2:'Reservations'!$P141,"Checked Out"),""),"")</f>
        <v/>
      </c>
    </row>
    <row r="142">
      <c r="V142">
        <f>IFERROR(IF(AND('Reservations'!$G142=$B$5,OR('Reservations'!$P142="Confirmed",'Reservations'!$P142="In House")),COUNTIFS('Reservations'!$G$2:'Reservations'!$G142,$B$5,'Reservations'!$P$2:'Reservations'!$P142,"Confirmed")+COUNTIFS('Reservations'!$G$2:'Reservations'!$G142,$B$5,'Reservations'!$P$2:'Reservations'!$P142,"In House"),""),"")</f>
        <v/>
      </c>
      <c r="W142">
        <f>IFERROR(IF(AND('Reservations'!$H142=$B$5,OR('Reservations'!$P142="In House",'Reservations'!$P142="Checked Out")),COUNTIFS('Reservations'!$H$2:'Reservations'!$H142,$B$5,'Reservations'!$P$2:'Reservations'!$P142,"In House")+COUNTIFS('Reservations'!$H$2:'Reservations'!$H142,$B$5,'Reservations'!$P$2:'Reservations'!$P142,"Checked Out"),""),"")</f>
        <v/>
      </c>
    </row>
    <row r="143">
      <c r="V143">
        <f>IFERROR(IF(AND('Reservations'!$G143=$B$5,OR('Reservations'!$P143="Confirmed",'Reservations'!$P143="In House")),COUNTIFS('Reservations'!$G$2:'Reservations'!$G143,$B$5,'Reservations'!$P$2:'Reservations'!$P143,"Confirmed")+COUNTIFS('Reservations'!$G$2:'Reservations'!$G143,$B$5,'Reservations'!$P$2:'Reservations'!$P143,"In House"),""),"")</f>
        <v/>
      </c>
      <c r="W143">
        <f>IFERROR(IF(AND('Reservations'!$H143=$B$5,OR('Reservations'!$P143="In House",'Reservations'!$P143="Checked Out")),COUNTIFS('Reservations'!$H$2:'Reservations'!$H143,$B$5,'Reservations'!$P$2:'Reservations'!$P143,"In House")+COUNTIFS('Reservations'!$H$2:'Reservations'!$H143,$B$5,'Reservations'!$P$2:'Reservations'!$P143,"Checked Out"),""),"")</f>
        <v/>
      </c>
    </row>
    <row r="144">
      <c r="V144">
        <f>IFERROR(IF(AND('Reservations'!$G144=$B$5,OR('Reservations'!$P144="Confirmed",'Reservations'!$P144="In House")),COUNTIFS('Reservations'!$G$2:'Reservations'!$G144,$B$5,'Reservations'!$P$2:'Reservations'!$P144,"Confirmed")+COUNTIFS('Reservations'!$G$2:'Reservations'!$G144,$B$5,'Reservations'!$P$2:'Reservations'!$P144,"In House"),""),"")</f>
        <v/>
      </c>
      <c r="W144">
        <f>IFERROR(IF(AND('Reservations'!$H144=$B$5,OR('Reservations'!$P144="In House",'Reservations'!$P144="Checked Out")),COUNTIFS('Reservations'!$H$2:'Reservations'!$H144,$B$5,'Reservations'!$P$2:'Reservations'!$P144,"In House")+COUNTIFS('Reservations'!$H$2:'Reservations'!$H144,$B$5,'Reservations'!$P$2:'Reservations'!$P144,"Checked Out"),""),"")</f>
        <v/>
      </c>
    </row>
    <row r="145">
      <c r="V145">
        <f>IFERROR(IF(AND('Reservations'!$G145=$B$5,OR('Reservations'!$P145="Confirmed",'Reservations'!$P145="In House")),COUNTIFS('Reservations'!$G$2:'Reservations'!$G145,$B$5,'Reservations'!$P$2:'Reservations'!$P145,"Confirmed")+COUNTIFS('Reservations'!$G$2:'Reservations'!$G145,$B$5,'Reservations'!$P$2:'Reservations'!$P145,"In House"),""),"")</f>
        <v/>
      </c>
      <c r="W145">
        <f>IFERROR(IF(AND('Reservations'!$H145=$B$5,OR('Reservations'!$P145="In House",'Reservations'!$P145="Checked Out")),COUNTIFS('Reservations'!$H$2:'Reservations'!$H145,$B$5,'Reservations'!$P$2:'Reservations'!$P145,"In House")+COUNTIFS('Reservations'!$H$2:'Reservations'!$H145,$B$5,'Reservations'!$P$2:'Reservations'!$P145,"Checked Out"),""),"")</f>
        <v/>
      </c>
    </row>
    <row r="146">
      <c r="V146">
        <f>IFERROR(IF(AND('Reservations'!$G146=$B$5,OR('Reservations'!$P146="Confirmed",'Reservations'!$P146="In House")),COUNTIFS('Reservations'!$G$2:'Reservations'!$G146,$B$5,'Reservations'!$P$2:'Reservations'!$P146,"Confirmed")+COUNTIFS('Reservations'!$G$2:'Reservations'!$G146,$B$5,'Reservations'!$P$2:'Reservations'!$P146,"In House"),""),"")</f>
        <v/>
      </c>
      <c r="W146">
        <f>IFERROR(IF(AND('Reservations'!$H146=$B$5,OR('Reservations'!$P146="In House",'Reservations'!$P146="Checked Out")),COUNTIFS('Reservations'!$H$2:'Reservations'!$H146,$B$5,'Reservations'!$P$2:'Reservations'!$P146,"In House")+COUNTIFS('Reservations'!$H$2:'Reservations'!$H146,$B$5,'Reservations'!$P$2:'Reservations'!$P146,"Checked Out"),""),"")</f>
        <v/>
      </c>
    </row>
    <row r="147">
      <c r="V147">
        <f>IFERROR(IF(AND('Reservations'!$G147=$B$5,OR('Reservations'!$P147="Confirmed",'Reservations'!$P147="In House")),COUNTIFS('Reservations'!$G$2:'Reservations'!$G147,$B$5,'Reservations'!$P$2:'Reservations'!$P147,"Confirmed")+COUNTIFS('Reservations'!$G$2:'Reservations'!$G147,$B$5,'Reservations'!$P$2:'Reservations'!$P147,"In House"),""),"")</f>
        <v/>
      </c>
      <c r="W147">
        <f>IFERROR(IF(AND('Reservations'!$H147=$B$5,OR('Reservations'!$P147="In House",'Reservations'!$P147="Checked Out")),COUNTIFS('Reservations'!$H$2:'Reservations'!$H147,$B$5,'Reservations'!$P$2:'Reservations'!$P147,"In House")+COUNTIFS('Reservations'!$H$2:'Reservations'!$H147,$B$5,'Reservations'!$P$2:'Reservations'!$P147,"Checked Out"),""),"")</f>
        <v/>
      </c>
    </row>
    <row r="148">
      <c r="V148">
        <f>IFERROR(IF(AND('Reservations'!$G148=$B$5,OR('Reservations'!$P148="Confirmed",'Reservations'!$P148="In House")),COUNTIFS('Reservations'!$G$2:'Reservations'!$G148,$B$5,'Reservations'!$P$2:'Reservations'!$P148,"Confirmed")+COUNTIFS('Reservations'!$G$2:'Reservations'!$G148,$B$5,'Reservations'!$P$2:'Reservations'!$P148,"In House"),""),"")</f>
        <v/>
      </c>
      <c r="W148">
        <f>IFERROR(IF(AND('Reservations'!$H148=$B$5,OR('Reservations'!$P148="In House",'Reservations'!$P148="Checked Out")),COUNTIFS('Reservations'!$H$2:'Reservations'!$H148,$B$5,'Reservations'!$P$2:'Reservations'!$P148,"In House")+COUNTIFS('Reservations'!$H$2:'Reservations'!$H148,$B$5,'Reservations'!$P$2:'Reservations'!$P148,"Checked Out"),""),"")</f>
        <v/>
      </c>
    </row>
    <row r="149">
      <c r="V149">
        <f>IFERROR(IF(AND('Reservations'!$G149=$B$5,OR('Reservations'!$P149="Confirmed",'Reservations'!$P149="In House")),COUNTIFS('Reservations'!$G$2:'Reservations'!$G149,$B$5,'Reservations'!$P$2:'Reservations'!$P149,"Confirmed")+COUNTIFS('Reservations'!$G$2:'Reservations'!$G149,$B$5,'Reservations'!$P$2:'Reservations'!$P149,"In House"),""),"")</f>
        <v/>
      </c>
      <c r="W149">
        <f>IFERROR(IF(AND('Reservations'!$H149=$B$5,OR('Reservations'!$P149="In House",'Reservations'!$P149="Checked Out")),COUNTIFS('Reservations'!$H$2:'Reservations'!$H149,$B$5,'Reservations'!$P$2:'Reservations'!$P149,"In House")+COUNTIFS('Reservations'!$H$2:'Reservations'!$H149,$B$5,'Reservations'!$P$2:'Reservations'!$P149,"Checked Out"),""),"")</f>
        <v/>
      </c>
    </row>
    <row r="150">
      <c r="V150">
        <f>IFERROR(IF(AND('Reservations'!$G150=$B$5,OR('Reservations'!$P150="Confirmed",'Reservations'!$P150="In House")),COUNTIFS('Reservations'!$G$2:'Reservations'!$G150,$B$5,'Reservations'!$P$2:'Reservations'!$P150,"Confirmed")+COUNTIFS('Reservations'!$G$2:'Reservations'!$G150,$B$5,'Reservations'!$P$2:'Reservations'!$P150,"In House"),""),"")</f>
        <v/>
      </c>
      <c r="W150">
        <f>IFERROR(IF(AND('Reservations'!$H150=$B$5,OR('Reservations'!$P150="In House",'Reservations'!$P150="Checked Out")),COUNTIFS('Reservations'!$H$2:'Reservations'!$H150,$B$5,'Reservations'!$P$2:'Reservations'!$P150,"In House")+COUNTIFS('Reservations'!$H$2:'Reservations'!$H150,$B$5,'Reservations'!$P$2:'Reservations'!$P150,"Checked Out"),""),"")</f>
        <v/>
      </c>
    </row>
    <row r="151">
      <c r="V151">
        <f>IFERROR(IF(AND('Reservations'!$G151=$B$5,OR('Reservations'!$P151="Confirmed",'Reservations'!$P151="In House")),COUNTIFS('Reservations'!$G$2:'Reservations'!$G151,$B$5,'Reservations'!$P$2:'Reservations'!$P151,"Confirmed")+COUNTIFS('Reservations'!$G$2:'Reservations'!$G151,$B$5,'Reservations'!$P$2:'Reservations'!$P151,"In House"),""),"")</f>
        <v/>
      </c>
      <c r="W151">
        <f>IFERROR(IF(AND('Reservations'!$H151=$B$5,OR('Reservations'!$P151="In House",'Reservations'!$P151="Checked Out")),COUNTIFS('Reservations'!$H$2:'Reservations'!$H151,$B$5,'Reservations'!$P$2:'Reservations'!$P151,"In House")+COUNTIFS('Reservations'!$H$2:'Reservations'!$H151,$B$5,'Reservations'!$P$2:'Reservations'!$P151,"Checked Out"),""),"")</f>
        <v/>
      </c>
    </row>
    <row r="152">
      <c r="V152">
        <f>IFERROR(IF(AND('Reservations'!$G152=$B$5,OR('Reservations'!$P152="Confirmed",'Reservations'!$P152="In House")),COUNTIFS('Reservations'!$G$2:'Reservations'!$G152,$B$5,'Reservations'!$P$2:'Reservations'!$P152,"Confirmed")+COUNTIFS('Reservations'!$G$2:'Reservations'!$G152,$B$5,'Reservations'!$P$2:'Reservations'!$P152,"In House"),""),"")</f>
        <v/>
      </c>
      <c r="W152">
        <f>IFERROR(IF(AND('Reservations'!$H152=$B$5,OR('Reservations'!$P152="In House",'Reservations'!$P152="Checked Out")),COUNTIFS('Reservations'!$H$2:'Reservations'!$H152,$B$5,'Reservations'!$P$2:'Reservations'!$P152,"In House")+COUNTIFS('Reservations'!$H$2:'Reservations'!$H152,$B$5,'Reservations'!$P$2:'Reservations'!$P152,"Checked Out"),""),"")</f>
        <v/>
      </c>
    </row>
    <row r="153">
      <c r="V153">
        <f>IFERROR(IF(AND('Reservations'!$G153=$B$5,OR('Reservations'!$P153="Confirmed",'Reservations'!$P153="In House")),COUNTIFS('Reservations'!$G$2:'Reservations'!$G153,$B$5,'Reservations'!$P$2:'Reservations'!$P153,"Confirmed")+COUNTIFS('Reservations'!$G$2:'Reservations'!$G153,$B$5,'Reservations'!$P$2:'Reservations'!$P153,"In House"),""),"")</f>
        <v/>
      </c>
      <c r="W153">
        <f>IFERROR(IF(AND('Reservations'!$H153=$B$5,OR('Reservations'!$P153="In House",'Reservations'!$P153="Checked Out")),COUNTIFS('Reservations'!$H$2:'Reservations'!$H153,$B$5,'Reservations'!$P$2:'Reservations'!$P153,"In House")+COUNTIFS('Reservations'!$H$2:'Reservations'!$H153,$B$5,'Reservations'!$P$2:'Reservations'!$P153,"Checked Out"),""),"")</f>
        <v/>
      </c>
    </row>
    <row r="154">
      <c r="V154">
        <f>IFERROR(IF(AND('Reservations'!$G154=$B$5,OR('Reservations'!$P154="Confirmed",'Reservations'!$P154="In House")),COUNTIFS('Reservations'!$G$2:'Reservations'!$G154,$B$5,'Reservations'!$P$2:'Reservations'!$P154,"Confirmed")+COUNTIFS('Reservations'!$G$2:'Reservations'!$G154,$B$5,'Reservations'!$P$2:'Reservations'!$P154,"In House"),""),"")</f>
        <v/>
      </c>
      <c r="W154">
        <f>IFERROR(IF(AND('Reservations'!$H154=$B$5,OR('Reservations'!$P154="In House",'Reservations'!$P154="Checked Out")),COUNTIFS('Reservations'!$H$2:'Reservations'!$H154,$B$5,'Reservations'!$P$2:'Reservations'!$P154,"In House")+COUNTIFS('Reservations'!$H$2:'Reservations'!$H154,$B$5,'Reservations'!$P$2:'Reservations'!$P154,"Checked Out"),""),"")</f>
        <v/>
      </c>
    </row>
    <row r="155">
      <c r="V155">
        <f>IFERROR(IF(AND('Reservations'!$G155=$B$5,OR('Reservations'!$P155="Confirmed",'Reservations'!$P155="In House")),COUNTIFS('Reservations'!$G$2:'Reservations'!$G155,$B$5,'Reservations'!$P$2:'Reservations'!$P155,"Confirmed")+COUNTIFS('Reservations'!$G$2:'Reservations'!$G155,$B$5,'Reservations'!$P$2:'Reservations'!$P155,"In House"),""),"")</f>
        <v/>
      </c>
      <c r="W155">
        <f>IFERROR(IF(AND('Reservations'!$H155=$B$5,OR('Reservations'!$P155="In House",'Reservations'!$P155="Checked Out")),COUNTIFS('Reservations'!$H$2:'Reservations'!$H155,$B$5,'Reservations'!$P$2:'Reservations'!$P155,"In House")+COUNTIFS('Reservations'!$H$2:'Reservations'!$H155,$B$5,'Reservations'!$P$2:'Reservations'!$P155,"Checked Out"),""),"")</f>
        <v/>
      </c>
    </row>
    <row r="156">
      <c r="V156">
        <f>IFERROR(IF(AND('Reservations'!$G156=$B$5,OR('Reservations'!$P156="Confirmed",'Reservations'!$P156="In House")),COUNTIFS('Reservations'!$G$2:'Reservations'!$G156,$B$5,'Reservations'!$P$2:'Reservations'!$P156,"Confirmed")+COUNTIFS('Reservations'!$G$2:'Reservations'!$G156,$B$5,'Reservations'!$P$2:'Reservations'!$P156,"In House"),""),"")</f>
        <v/>
      </c>
      <c r="W156">
        <f>IFERROR(IF(AND('Reservations'!$H156=$B$5,OR('Reservations'!$P156="In House",'Reservations'!$P156="Checked Out")),COUNTIFS('Reservations'!$H$2:'Reservations'!$H156,$B$5,'Reservations'!$P$2:'Reservations'!$P156,"In House")+COUNTIFS('Reservations'!$H$2:'Reservations'!$H156,$B$5,'Reservations'!$P$2:'Reservations'!$P156,"Checked Out"),""),"")</f>
        <v/>
      </c>
    </row>
    <row r="157">
      <c r="V157">
        <f>IFERROR(IF(AND('Reservations'!$G157=$B$5,OR('Reservations'!$P157="Confirmed",'Reservations'!$P157="In House")),COUNTIFS('Reservations'!$G$2:'Reservations'!$G157,$B$5,'Reservations'!$P$2:'Reservations'!$P157,"Confirmed")+COUNTIFS('Reservations'!$G$2:'Reservations'!$G157,$B$5,'Reservations'!$P$2:'Reservations'!$P157,"In House"),""),"")</f>
        <v/>
      </c>
      <c r="W157">
        <f>IFERROR(IF(AND('Reservations'!$H157=$B$5,OR('Reservations'!$P157="In House",'Reservations'!$P157="Checked Out")),COUNTIFS('Reservations'!$H$2:'Reservations'!$H157,$B$5,'Reservations'!$P$2:'Reservations'!$P157,"In House")+COUNTIFS('Reservations'!$H$2:'Reservations'!$H157,$B$5,'Reservations'!$P$2:'Reservations'!$P157,"Checked Out"),""),"")</f>
        <v/>
      </c>
    </row>
    <row r="158">
      <c r="V158">
        <f>IFERROR(IF(AND('Reservations'!$G158=$B$5,OR('Reservations'!$P158="Confirmed",'Reservations'!$P158="In House")),COUNTIFS('Reservations'!$G$2:'Reservations'!$G158,$B$5,'Reservations'!$P$2:'Reservations'!$P158,"Confirmed")+COUNTIFS('Reservations'!$G$2:'Reservations'!$G158,$B$5,'Reservations'!$P$2:'Reservations'!$P158,"In House"),""),"")</f>
        <v/>
      </c>
      <c r="W158">
        <f>IFERROR(IF(AND('Reservations'!$H158=$B$5,OR('Reservations'!$P158="In House",'Reservations'!$P158="Checked Out")),COUNTIFS('Reservations'!$H$2:'Reservations'!$H158,$B$5,'Reservations'!$P$2:'Reservations'!$P158,"In House")+COUNTIFS('Reservations'!$H$2:'Reservations'!$H158,$B$5,'Reservations'!$P$2:'Reservations'!$P158,"Checked Out"),""),"")</f>
        <v/>
      </c>
    </row>
    <row r="159">
      <c r="V159">
        <f>IFERROR(IF(AND('Reservations'!$G159=$B$5,OR('Reservations'!$P159="Confirmed",'Reservations'!$P159="In House")),COUNTIFS('Reservations'!$G$2:'Reservations'!$G159,$B$5,'Reservations'!$P$2:'Reservations'!$P159,"Confirmed")+COUNTIFS('Reservations'!$G$2:'Reservations'!$G159,$B$5,'Reservations'!$P$2:'Reservations'!$P159,"In House"),""),"")</f>
        <v/>
      </c>
      <c r="W159">
        <f>IFERROR(IF(AND('Reservations'!$H159=$B$5,OR('Reservations'!$P159="In House",'Reservations'!$P159="Checked Out")),COUNTIFS('Reservations'!$H$2:'Reservations'!$H159,$B$5,'Reservations'!$P$2:'Reservations'!$P159,"In House")+COUNTIFS('Reservations'!$H$2:'Reservations'!$H159,$B$5,'Reservations'!$P$2:'Reservations'!$P159,"Checked Out"),""),"")</f>
        <v/>
      </c>
    </row>
    <row r="160">
      <c r="V160">
        <f>IFERROR(IF(AND('Reservations'!$G160=$B$5,OR('Reservations'!$P160="Confirmed",'Reservations'!$P160="In House")),COUNTIFS('Reservations'!$G$2:'Reservations'!$G160,$B$5,'Reservations'!$P$2:'Reservations'!$P160,"Confirmed")+COUNTIFS('Reservations'!$G$2:'Reservations'!$G160,$B$5,'Reservations'!$P$2:'Reservations'!$P160,"In House"),""),"")</f>
        <v/>
      </c>
      <c r="W160">
        <f>IFERROR(IF(AND('Reservations'!$H160=$B$5,OR('Reservations'!$P160="In House",'Reservations'!$P160="Checked Out")),COUNTIFS('Reservations'!$H$2:'Reservations'!$H160,$B$5,'Reservations'!$P$2:'Reservations'!$P160,"In House")+COUNTIFS('Reservations'!$H$2:'Reservations'!$H160,$B$5,'Reservations'!$P$2:'Reservations'!$P160,"Checked Out"),""),"")</f>
        <v/>
      </c>
    </row>
    <row r="161">
      <c r="V161">
        <f>IFERROR(IF(AND('Reservations'!$G161=$B$5,OR('Reservations'!$P161="Confirmed",'Reservations'!$P161="In House")),COUNTIFS('Reservations'!$G$2:'Reservations'!$G161,$B$5,'Reservations'!$P$2:'Reservations'!$P161,"Confirmed")+COUNTIFS('Reservations'!$G$2:'Reservations'!$G161,$B$5,'Reservations'!$P$2:'Reservations'!$P161,"In House"),""),"")</f>
        <v/>
      </c>
      <c r="W161">
        <f>IFERROR(IF(AND('Reservations'!$H161=$B$5,OR('Reservations'!$P161="In House",'Reservations'!$P161="Checked Out")),COUNTIFS('Reservations'!$H$2:'Reservations'!$H161,$B$5,'Reservations'!$P$2:'Reservations'!$P161,"In House")+COUNTIFS('Reservations'!$H$2:'Reservations'!$H161,$B$5,'Reservations'!$P$2:'Reservations'!$P161,"Checked Out"),""),"")</f>
        <v/>
      </c>
    </row>
    <row r="162">
      <c r="V162">
        <f>IFERROR(IF(AND('Reservations'!$G162=$B$5,OR('Reservations'!$P162="Confirmed",'Reservations'!$P162="In House")),COUNTIFS('Reservations'!$G$2:'Reservations'!$G162,$B$5,'Reservations'!$P$2:'Reservations'!$P162,"Confirmed")+COUNTIFS('Reservations'!$G$2:'Reservations'!$G162,$B$5,'Reservations'!$P$2:'Reservations'!$P162,"In House"),""),"")</f>
        <v/>
      </c>
      <c r="W162">
        <f>IFERROR(IF(AND('Reservations'!$H162=$B$5,OR('Reservations'!$P162="In House",'Reservations'!$P162="Checked Out")),COUNTIFS('Reservations'!$H$2:'Reservations'!$H162,$B$5,'Reservations'!$P$2:'Reservations'!$P162,"In House")+COUNTIFS('Reservations'!$H$2:'Reservations'!$H162,$B$5,'Reservations'!$P$2:'Reservations'!$P162,"Checked Out"),""),"")</f>
        <v/>
      </c>
    </row>
    <row r="163">
      <c r="V163">
        <f>IFERROR(IF(AND('Reservations'!$G163=$B$5,OR('Reservations'!$P163="Confirmed",'Reservations'!$P163="In House")),COUNTIFS('Reservations'!$G$2:'Reservations'!$G163,$B$5,'Reservations'!$P$2:'Reservations'!$P163,"Confirmed")+COUNTIFS('Reservations'!$G$2:'Reservations'!$G163,$B$5,'Reservations'!$P$2:'Reservations'!$P163,"In House"),""),"")</f>
        <v/>
      </c>
      <c r="W163">
        <f>IFERROR(IF(AND('Reservations'!$H163=$B$5,OR('Reservations'!$P163="In House",'Reservations'!$P163="Checked Out")),COUNTIFS('Reservations'!$H$2:'Reservations'!$H163,$B$5,'Reservations'!$P$2:'Reservations'!$P163,"In House")+COUNTIFS('Reservations'!$H$2:'Reservations'!$H163,$B$5,'Reservations'!$P$2:'Reservations'!$P163,"Checked Out"),""),"")</f>
        <v/>
      </c>
    </row>
    <row r="164">
      <c r="V164">
        <f>IFERROR(IF(AND('Reservations'!$G164=$B$5,OR('Reservations'!$P164="Confirmed",'Reservations'!$P164="In House")),COUNTIFS('Reservations'!$G$2:'Reservations'!$G164,$B$5,'Reservations'!$P$2:'Reservations'!$P164,"Confirmed")+COUNTIFS('Reservations'!$G$2:'Reservations'!$G164,$B$5,'Reservations'!$P$2:'Reservations'!$P164,"In House"),""),"")</f>
        <v/>
      </c>
      <c r="W164">
        <f>IFERROR(IF(AND('Reservations'!$H164=$B$5,OR('Reservations'!$P164="In House",'Reservations'!$P164="Checked Out")),COUNTIFS('Reservations'!$H$2:'Reservations'!$H164,$B$5,'Reservations'!$P$2:'Reservations'!$P164,"In House")+COUNTIFS('Reservations'!$H$2:'Reservations'!$H164,$B$5,'Reservations'!$P$2:'Reservations'!$P164,"Checked Out"),""),"")</f>
        <v/>
      </c>
    </row>
    <row r="165">
      <c r="V165">
        <f>IFERROR(IF(AND('Reservations'!$G165=$B$5,OR('Reservations'!$P165="Confirmed",'Reservations'!$P165="In House")),COUNTIFS('Reservations'!$G$2:'Reservations'!$G165,$B$5,'Reservations'!$P$2:'Reservations'!$P165,"Confirmed")+COUNTIFS('Reservations'!$G$2:'Reservations'!$G165,$B$5,'Reservations'!$P$2:'Reservations'!$P165,"In House"),""),"")</f>
        <v/>
      </c>
      <c r="W165">
        <f>IFERROR(IF(AND('Reservations'!$H165=$B$5,OR('Reservations'!$P165="In House",'Reservations'!$P165="Checked Out")),COUNTIFS('Reservations'!$H$2:'Reservations'!$H165,$B$5,'Reservations'!$P$2:'Reservations'!$P165,"In House")+COUNTIFS('Reservations'!$H$2:'Reservations'!$H165,$B$5,'Reservations'!$P$2:'Reservations'!$P165,"Checked Out"),""),"")</f>
        <v/>
      </c>
    </row>
    <row r="166">
      <c r="V166">
        <f>IFERROR(IF(AND('Reservations'!$G166=$B$5,OR('Reservations'!$P166="Confirmed",'Reservations'!$P166="In House")),COUNTIFS('Reservations'!$G$2:'Reservations'!$G166,$B$5,'Reservations'!$P$2:'Reservations'!$P166,"Confirmed")+COUNTIFS('Reservations'!$G$2:'Reservations'!$G166,$B$5,'Reservations'!$P$2:'Reservations'!$P166,"In House"),""),"")</f>
        <v/>
      </c>
      <c r="W166">
        <f>IFERROR(IF(AND('Reservations'!$H166=$B$5,OR('Reservations'!$P166="In House",'Reservations'!$P166="Checked Out")),COUNTIFS('Reservations'!$H$2:'Reservations'!$H166,$B$5,'Reservations'!$P$2:'Reservations'!$P166,"In House")+COUNTIFS('Reservations'!$H$2:'Reservations'!$H166,$B$5,'Reservations'!$P$2:'Reservations'!$P166,"Checked Out"),""),"")</f>
        <v/>
      </c>
    </row>
    <row r="167">
      <c r="V167">
        <f>IFERROR(IF(AND('Reservations'!$G167=$B$5,OR('Reservations'!$P167="Confirmed",'Reservations'!$P167="In House")),COUNTIFS('Reservations'!$G$2:'Reservations'!$G167,$B$5,'Reservations'!$P$2:'Reservations'!$P167,"Confirmed")+COUNTIFS('Reservations'!$G$2:'Reservations'!$G167,$B$5,'Reservations'!$P$2:'Reservations'!$P167,"In House"),""),"")</f>
        <v/>
      </c>
      <c r="W167">
        <f>IFERROR(IF(AND('Reservations'!$H167=$B$5,OR('Reservations'!$P167="In House",'Reservations'!$P167="Checked Out")),COUNTIFS('Reservations'!$H$2:'Reservations'!$H167,$B$5,'Reservations'!$P$2:'Reservations'!$P167,"In House")+COUNTIFS('Reservations'!$H$2:'Reservations'!$H167,$B$5,'Reservations'!$P$2:'Reservations'!$P167,"Checked Out"),""),"")</f>
        <v/>
      </c>
    </row>
    <row r="168">
      <c r="V168">
        <f>IFERROR(IF(AND('Reservations'!$G168=$B$5,OR('Reservations'!$P168="Confirmed",'Reservations'!$P168="In House")),COUNTIFS('Reservations'!$G$2:'Reservations'!$G168,$B$5,'Reservations'!$P$2:'Reservations'!$P168,"Confirmed")+COUNTIFS('Reservations'!$G$2:'Reservations'!$G168,$B$5,'Reservations'!$P$2:'Reservations'!$P168,"In House"),""),"")</f>
        <v/>
      </c>
      <c r="W168">
        <f>IFERROR(IF(AND('Reservations'!$H168=$B$5,OR('Reservations'!$P168="In House",'Reservations'!$P168="Checked Out")),COUNTIFS('Reservations'!$H$2:'Reservations'!$H168,$B$5,'Reservations'!$P$2:'Reservations'!$P168,"In House")+COUNTIFS('Reservations'!$H$2:'Reservations'!$H168,$B$5,'Reservations'!$P$2:'Reservations'!$P168,"Checked Out"),""),"")</f>
        <v/>
      </c>
    </row>
    <row r="169">
      <c r="V169">
        <f>IFERROR(IF(AND('Reservations'!$G169=$B$5,OR('Reservations'!$P169="Confirmed",'Reservations'!$P169="In House")),COUNTIFS('Reservations'!$G$2:'Reservations'!$G169,$B$5,'Reservations'!$P$2:'Reservations'!$P169,"Confirmed")+COUNTIFS('Reservations'!$G$2:'Reservations'!$G169,$B$5,'Reservations'!$P$2:'Reservations'!$P169,"In House"),""),"")</f>
        <v/>
      </c>
      <c r="W169">
        <f>IFERROR(IF(AND('Reservations'!$H169=$B$5,OR('Reservations'!$P169="In House",'Reservations'!$P169="Checked Out")),COUNTIFS('Reservations'!$H$2:'Reservations'!$H169,$B$5,'Reservations'!$P$2:'Reservations'!$P169,"In House")+COUNTIFS('Reservations'!$H$2:'Reservations'!$H169,$B$5,'Reservations'!$P$2:'Reservations'!$P169,"Checked Out"),""),"")</f>
        <v/>
      </c>
    </row>
    <row r="170">
      <c r="V170">
        <f>IFERROR(IF(AND('Reservations'!$G170=$B$5,OR('Reservations'!$P170="Confirmed",'Reservations'!$P170="In House")),COUNTIFS('Reservations'!$G$2:'Reservations'!$G170,$B$5,'Reservations'!$P$2:'Reservations'!$P170,"Confirmed")+COUNTIFS('Reservations'!$G$2:'Reservations'!$G170,$B$5,'Reservations'!$P$2:'Reservations'!$P170,"In House"),""),"")</f>
        <v/>
      </c>
      <c r="W170">
        <f>IFERROR(IF(AND('Reservations'!$H170=$B$5,OR('Reservations'!$P170="In House",'Reservations'!$P170="Checked Out")),COUNTIFS('Reservations'!$H$2:'Reservations'!$H170,$B$5,'Reservations'!$P$2:'Reservations'!$P170,"In House")+COUNTIFS('Reservations'!$H$2:'Reservations'!$H170,$B$5,'Reservations'!$P$2:'Reservations'!$P170,"Checked Out"),""),"")</f>
        <v/>
      </c>
    </row>
    <row r="171">
      <c r="V171">
        <f>IFERROR(IF(AND('Reservations'!$G171=$B$5,OR('Reservations'!$P171="Confirmed",'Reservations'!$P171="In House")),COUNTIFS('Reservations'!$G$2:'Reservations'!$G171,$B$5,'Reservations'!$P$2:'Reservations'!$P171,"Confirmed")+COUNTIFS('Reservations'!$G$2:'Reservations'!$G171,$B$5,'Reservations'!$P$2:'Reservations'!$P171,"In House"),""),"")</f>
        <v/>
      </c>
      <c r="W171">
        <f>IFERROR(IF(AND('Reservations'!$H171=$B$5,OR('Reservations'!$P171="In House",'Reservations'!$P171="Checked Out")),COUNTIFS('Reservations'!$H$2:'Reservations'!$H171,$B$5,'Reservations'!$P$2:'Reservations'!$P171,"In House")+COUNTIFS('Reservations'!$H$2:'Reservations'!$H171,$B$5,'Reservations'!$P$2:'Reservations'!$P171,"Checked Out"),""),"")</f>
        <v/>
      </c>
    </row>
    <row r="172">
      <c r="V172">
        <f>IFERROR(IF(AND('Reservations'!$G172=$B$5,OR('Reservations'!$P172="Confirmed",'Reservations'!$P172="In House")),COUNTIFS('Reservations'!$G$2:'Reservations'!$G172,$B$5,'Reservations'!$P$2:'Reservations'!$P172,"Confirmed")+COUNTIFS('Reservations'!$G$2:'Reservations'!$G172,$B$5,'Reservations'!$P$2:'Reservations'!$P172,"In House"),""),"")</f>
        <v/>
      </c>
      <c r="W172">
        <f>IFERROR(IF(AND('Reservations'!$H172=$B$5,OR('Reservations'!$P172="In House",'Reservations'!$P172="Checked Out")),COUNTIFS('Reservations'!$H$2:'Reservations'!$H172,$B$5,'Reservations'!$P$2:'Reservations'!$P172,"In House")+COUNTIFS('Reservations'!$H$2:'Reservations'!$H172,$B$5,'Reservations'!$P$2:'Reservations'!$P172,"Checked Out"),""),"")</f>
        <v/>
      </c>
    </row>
    <row r="173">
      <c r="V173">
        <f>IFERROR(IF(AND('Reservations'!$G173=$B$5,OR('Reservations'!$P173="Confirmed",'Reservations'!$P173="In House")),COUNTIFS('Reservations'!$G$2:'Reservations'!$G173,$B$5,'Reservations'!$P$2:'Reservations'!$P173,"Confirmed")+COUNTIFS('Reservations'!$G$2:'Reservations'!$G173,$B$5,'Reservations'!$P$2:'Reservations'!$P173,"In House"),""),"")</f>
        <v/>
      </c>
      <c r="W173">
        <f>IFERROR(IF(AND('Reservations'!$H173=$B$5,OR('Reservations'!$P173="In House",'Reservations'!$P173="Checked Out")),COUNTIFS('Reservations'!$H$2:'Reservations'!$H173,$B$5,'Reservations'!$P$2:'Reservations'!$P173,"In House")+COUNTIFS('Reservations'!$H$2:'Reservations'!$H173,$B$5,'Reservations'!$P$2:'Reservations'!$P173,"Checked Out"),""),"")</f>
        <v/>
      </c>
    </row>
    <row r="174">
      <c r="V174">
        <f>IFERROR(IF(AND('Reservations'!$G174=$B$5,OR('Reservations'!$P174="Confirmed",'Reservations'!$P174="In House")),COUNTIFS('Reservations'!$G$2:'Reservations'!$G174,$B$5,'Reservations'!$P$2:'Reservations'!$P174,"Confirmed")+COUNTIFS('Reservations'!$G$2:'Reservations'!$G174,$B$5,'Reservations'!$P$2:'Reservations'!$P174,"In House"),""),"")</f>
        <v/>
      </c>
      <c r="W174">
        <f>IFERROR(IF(AND('Reservations'!$H174=$B$5,OR('Reservations'!$P174="In House",'Reservations'!$P174="Checked Out")),COUNTIFS('Reservations'!$H$2:'Reservations'!$H174,$B$5,'Reservations'!$P$2:'Reservations'!$P174,"In House")+COUNTIFS('Reservations'!$H$2:'Reservations'!$H174,$B$5,'Reservations'!$P$2:'Reservations'!$P174,"Checked Out"),""),"")</f>
        <v/>
      </c>
    </row>
    <row r="175">
      <c r="V175">
        <f>IFERROR(IF(AND('Reservations'!$G175=$B$5,OR('Reservations'!$P175="Confirmed",'Reservations'!$P175="In House")),COUNTIFS('Reservations'!$G$2:'Reservations'!$G175,$B$5,'Reservations'!$P$2:'Reservations'!$P175,"Confirmed")+COUNTIFS('Reservations'!$G$2:'Reservations'!$G175,$B$5,'Reservations'!$P$2:'Reservations'!$P175,"In House"),""),"")</f>
        <v/>
      </c>
      <c r="W175">
        <f>IFERROR(IF(AND('Reservations'!$H175=$B$5,OR('Reservations'!$P175="In House",'Reservations'!$P175="Checked Out")),COUNTIFS('Reservations'!$H$2:'Reservations'!$H175,$B$5,'Reservations'!$P$2:'Reservations'!$P175,"In House")+COUNTIFS('Reservations'!$H$2:'Reservations'!$H175,$B$5,'Reservations'!$P$2:'Reservations'!$P175,"Checked Out"),""),"")</f>
        <v/>
      </c>
    </row>
    <row r="176">
      <c r="V176">
        <f>IFERROR(IF(AND('Reservations'!$G176=$B$5,OR('Reservations'!$P176="Confirmed",'Reservations'!$P176="In House")),COUNTIFS('Reservations'!$G$2:'Reservations'!$G176,$B$5,'Reservations'!$P$2:'Reservations'!$P176,"Confirmed")+COUNTIFS('Reservations'!$G$2:'Reservations'!$G176,$B$5,'Reservations'!$P$2:'Reservations'!$P176,"In House"),""),"")</f>
        <v/>
      </c>
      <c r="W176">
        <f>IFERROR(IF(AND('Reservations'!$H176=$B$5,OR('Reservations'!$P176="In House",'Reservations'!$P176="Checked Out")),COUNTIFS('Reservations'!$H$2:'Reservations'!$H176,$B$5,'Reservations'!$P$2:'Reservations'!$P176,"In House")+COUNTIFS('Reservations'!$H$2:'Reservations'!$H176,$B$5,'Reservations'!$P$2:'Reservations'!$P176,"Checked Out"),""),"")</f>
        <v/>
      </c>
    </row>
    <row r="177">
      <c r="V177">
        <f>IFERROR(IF(AND('Reservations'!$G177=$B$5,OR('Reservations'!$P177="Confirmed",'Reservations'!$P177="In House")),COUNTIFS('Reservations'!$G$2:'Reservations'!$G177,$B$5,'Reservations'!$P$2:'Reservations'!$P177,"Confirmed")+COUNTIFS('Reservations'!$G$2:'Reservations'!$G177,$B$5,'Reservations'!$P$2:'Reservations'!$P177,"In House"),""),"")</f>
        <v/>
      </c>
      <c r="W177">
        <f>IFERROR(IF(AND('Reservations'!$H177=$B$5,OR('Reservations'!$P177="In House",'Reservations'!$P177="Checked Out")),COUNTIFS('Reservations'!$H$2:'Reservations'!$H177,$B$5,'Reservations'!$P$2:'Reservations'!$P177,"In House")+COUNTIFS('Reservations'!$H$2:'Reservations'!$H177,$B$5,'Reservations'!$P$2:'Reservations'!$P177,"Checked Out"),""),"")</f>
        <v/>
      </c>
    </row>
    <row r="178">
      <c r="V178">
        <f>IFERROR(IF(AND('Reservations'!$G178=$B$5,OR('Reservations'!$P178="Confirmed",'Reservations'!$P178="In House")),COUNTIFS('Reservations'!$G$2:'Reservations'!$G178,$B$5,'Reservations'!$P$2:'Reservations'!$P178,"Confirmed")+COUNTIFS('Reservations'!$G$2:'Reservations'!$G178,$B$5,'Reservations'!$P$2:'Reservations'!$P178,"In House"),""),"")</f>
        <v/>
      </c>
      <c r="W178">
        <f>IFERROR(IF(AND('Reservations'!$H178=$B$5,OR('Reservations'!$P178="In House",'Reservations'!$P178="Checked Out")),COUNTIFS('Reservations'!$H$2:'Reservations'!$H178,$B$5,'Reservations'!$P$2:'Reservations'!$P178,"In House")+COUNTIFS('Reservations'!$H$2:'Reservations'!$H178,$B$5,'Reservations'!$P$2:'Reservations'!$P178,"Checked Out"),""),"")</f>
        <v/>
      </c>
    </row>
    <row r="179">
      <c r="V179">
        <f>IFERROR(IF(AND('Reservations'!$G179=$B$5,OR('Reservations'!$P179="Confirmed",'Reservations'!$P179="In House")),COUNTIFS('Reservations'!$G$2:'Reservations'!$G179,$B$5,'Reservations'!$P$2:'Reservations'!$P179,"Confirmed")+COUNTIFS('Reservations'!$G$2:'Reservations'!$G179,$B$5,'Reservations'!$P$2:'Reservations'!$P179,"In House"),""),"")</f>
        <v/>
      </c>
      <c r="W179">
        <f>IFERROR(IF(AND('Reservations'!$H179=$B$5,OR('Reservations'!$P179="In House",'Reservations'!$P179="Checked Out")),COUNTIFS('Reservations'!$H$2:'Reservations'!$H179,$B$5,'Reservations'!$P$2:'Reservations'!$P179,"In House")+COUNTIFS('Reservations'!$H$2:'Reservations'!$H179,$B$5,'Reservations'!$P$2:'Reservations'!$P179,"Checked Out"),""),"")</f>
        <v/>
      </c>
    </row>
    <row r="180">
      <c r="V180">
        <f>IFERROR(IF(AND('Reservations'!$G180=$B$5,OR('Reservations'!$P180="Confirmed",'Reservations'!$P180="In House")),COUNTIFS('Reservations'!$G$2:'Reservations'!$G180,$B$5,'Reservations'!$P$2:'Reservations'!$P180,"Confirmed")+COUNTIFS('Reservations'!$G$2:'Reservations'!$G180,$B$5,'Reservations'!$P$2:'Reservations'!$P180,"In House"),""),"")</f>
        <v/>
      </c>
      <c r="W180">
        <f>IFERROR(IF(AND('Reservations'!$H180=$B$5,OR('Reservations'!$P180="In House",'Reservations'!$P180="Checked Out")),COUNTIFS('Reservations'!$H$2:'Reservations'!$H180,$B$5,'Reservations'!$P$2:'Reservations'!$P180,"In House")+COUNTIFS('Reservations'!$H$2:'Reservations'!$H180,$B$5,'Reservations'!$P$2:'Reservations'!$P180,"Checked Out"),""),"")</f>
        <v/>
      </c>
    </row>
    <row r="181">
      <c r="V181">
        <f>IFERROR(IF(AND('Reservations'!$G181=$B$5,OR('Reservations'!$P181="Confirmed",'Reservations'!$P181="In House")),COUNTIFS('Reservations'!$G$2:'Reservations'!$G181,$B$5,'Reservations'!$P$2:'Reservations'!$P181,"Confirmed")+COUNTIFS('Reservations'!$G$2:'Reservations'!$G181,$B$5,'Reservations'!$P$2:'Reservations'!$P181,"In House"),""),"")</f>
        <v/>
      </c>
      <c r="W181">
        <f>IFERROR(IF(AND('Reservations'!$H181=$B$5,OR('Reservations'!$P181="In House",'Reservations'!$P181="Checked Out")),COUNTIFS('Reservations'!$H$2:'Reservations'!$H181,$B$5,'Reservations'!$P$2:'Reservations'!$P181,"In House")+COUNTIFS('Reservations'!$H$2:'Reservations'!$H181,$B$5,'Reservations'!$P$2:'Reservations'!$P181,"Checked Out"),""),"")</f>
        <v/>
      </c>
    </row>
    <row r="182">
      <c r="V182">
        <f>IFERROR(IF(AND('Reservations'!$G182=$B$5,OR('Reservations'!$P182="Confirmed",'Reservations'!$P182="In House")),COUNTIFS('Reservations'!$G$2:'Reservations'!$G182,$B$5,'Reservations'!$P$2:'Reservations'!$P182,"Confirmed")+COUNTIFS('Reservations'!$G$2:'Reservations'!$G182,$B$5,'Reservations'!$P$2:'Reservations'!$P182,"In House"),""),"")</f>
        <v/>
      </c>
      <c r="W182">
        <f>IFERROR(IF(AND('Reservations'!$H182=$B$5,OR('Reservations'!$P182="In House",'Reservations'!$P182="Checked Out")),COUNTIFS('Reservations'!$H$2:'Reservations'!$H182,$B$5,'Reservations'!$P$2:'Reservations'!$P182,"In House")+COUNTIFS('Reservations'!$H$2:'Reservations'!$H182,$B$5,'Reservations'!$P$2:'Reservations'!$P182,"Checked Out"),""),"")</f>
        <v/>
      </c>
    </row>
    <row r="183">
      <c r="V183">
        <f>IFERROR(IF(AND('Reservations'!$G183=$B$5,OR('Reservations'!$P183="Confirmed",'Reservations'!$P183="In House")),COUNTIFS('Reservations'!$G$2:'Reservations'!$G183,$B$5,'Reservations'!$P$2:'Reservations'!$P183,"Confirmed")+COUNTIFS('Reservations'!$G$2:'Reservations'!$G183,$B$5,'Reservations'!$P$2:'Reservations'!$P183,"In House"),""),"")</f>
        <v/>
      </c>
      <c r="W183">
        <f>IFERROR(IF(AND('Reservations'!$H183=$B$5,OR('Reservations'!$P183="In House",'Reservations'!$P183="Checked Out")),COUNTIFS('Reservations'!$H$2:'Reservations'!$H183,$B$5,'Reservations'!$P$2:'Reservations'!$P183,"In House")+COUNTIFS('Reservations'!$H$2:'Reservations'!$H183,$B$5,'Reservations'!$P$2:'Reservations'!$P183,"Checked Out"),""),"")</f>
        <v/>
      </c>
    </row>
    <row r="184">
      <c r="V184">
        <f>IFERROR(IF(AND('Reservations'!$G184=$B$5,OR('Reservations'!$P184="Confirmed",'Reservations'!$P184="In House")),COUNTIFS('Reservations'!$G$2:'Reservations'!$G184,$B$5,'Reservations'!$P$2:'Reservations'!$P184,"Confirmed")+COUNTIFS('Reservations'!$G$2:'Reservations'!$G184,$B$5,'Reservations'!$P$2:'Reservations'!$P184,"In House"),""),"")</f>
        <v/>
      </c>
      <c r="W184">
        <f>IFERROR(IF(AND('Reservations'!$H184=$B$5,OR('Reservations'!$P184="In House",'Reservations'!$P184="Checked Out")),COUNTIFS('Reservations'!$H$2:'Reservations'!$H184,$B$5,'Reservations'!$P$2:'Reservations'!$P184,"In House")+COUNTIFS('Reservations'!$H$2:'Reservations'!$H184,$B$5,'Reservations'!$P$2:'Reservations'!$P184,"Checked Out"),""),"")</f>
        <v/>
      </c>
    </row>
    <row r="185">
      <c r="V185">
        <f>IFERROR(IF(AND('Reservations'!$G185=$B$5,OR('Reservations'!$P185="Confirmed",'Reservations'!$P185="In House")),COUNTIFS('Reservations'!$G$2:'Reservations'!$G185,$B$5,'Reservations'!$P$2:'Reservations'!$P185,"Confirmed")+COUNTIFS('Reservations'!$G$2:'Reservations'!$G185,$B$5,'Reservations'!$P$2:'Reservations'!$P185,"In House"),""),"")</f>
        <v/>
      </c>
      <c r="W185">
        <f>IFERROR(IF(AND('Reservations'!$H185=$B$5,OR('Reservations'!$P185="In House",'Reservations'!$P185="Checked Out")),COUNTIFS('Reservations'!$H$2:'Reservations'!$H185,$B$5,'Reservations'!$P$2:'Reservations'!$P185,"In House")+COUNTIFS('Reservations'!$H$2:'Reservations'!$H185,$B$5,'Reservations'!$P$2:'Reservations'!$P185,"Checked Out"),""),"")</f>
        <v/>
      </c>
    </row>
    <row r="186">
      <c r="V186">
        <f>IFERROR(IF(AND('Reservations'!$G186=$B$5,OR('Reservations'!$P186="Confirmed",'Reservations'!$P186="In House")),COUNTIFS('Reservations'!$G$2:'Reservations'!$G186,$B$5,'Reservations'!$P$2:'Reservations'!$P186,"Confirmed")+COUNTIFS('Reservations'!$G$2:'Reservations'!$G186,$B$5,'Reservations'!$P$2:'Reservations'!$P186,"In House"),""),"")</f>
        <v/>
      </c>
      <c r="W186">
        <f>IFERROR(IF(AND('Reservations'!$H186=$B$5,OR('Reservations'!$P186="In House",'Reservations'!$P186="Checked Out")),COUNTIFS('Reservations'!$H$2:'Reservations'!$H186,$B$5,'Reservations'!$P$2:'Reservations'!$P186,"In House")+COUNTIFS('Reservations'!$H$2:'Reservations'!$H186,$B$5,'Reservations'!$P$2:'Reservations'!$P186,"Checked Out"),""),"")</f>
        <v/>
      </c>
    </row>
    <row r="187">
      <c r="V187">
        <f>IFERROR(IF(AND('Reservations'!$G187=$B$5,OR('Reservations'!$P187="Confirmed",'Reservations'!$P187="In House")),COUNTIFS('Reservations'!$G$2:'Reservations'!$G187,$B$5,'Reservations'!$P$2:'Reservations'!$P187,"Confirmed")+COUNTIFS('Reservations'!$G$2:'Reservations'!$G187,$B$5,'Reservations'!$P$2:'Reservations'!$P187,"In House"),""),"")</f>
        <v/>
      </c>
      <c r="W187">
        <f>IFERROR(IF(AND('Reservations'!$H187=$B$5,OR('Reservations'!$P187="In House",'Reservations'!$P187="Checked Out")),COUNTIFS('Reservations'!$H$2:'Reservations'!$H187,$B$5,'Reservations'!$P$2:'Reservations'!$P187,"In House")+COUNTIFS('Reservations'!$H$2:'Reservations'!$H187,$B$5,'Reservations'!$P$2:'Reservations'!$P187,"Checked Out"),""),"")</f>
        <v/>
      </c>
    </row>
    <row r="188">
      <c r="V188">
        <f>IFERROR(IF(AND('Reservations'!$G188=$B$5,OR('Reservations'!$P188="Confirmed",'Reservations'!$P188="In House")),COUNTIFS('Reservations'!$G$2:'Reservations'!$G188,$B$5,'Reservations'!$P$2:'Reservations'!$P188,"Confirmed")+COUNTIFS('Reservations'!$G$2:'Reservations'!$G188,$B$5,'Reservations'!$P$2:'Reservations'!$P188,"In House"),""),"")</f>
        <v/>
      </c>
      <c r="W188">
        <f>IFERROR(IF(AND('Reservations'!$H188=$B$5,OR('Reservations'!$P188="In House",'Reservations'!$P188="Checked Out")),COUNTIFS('Reservations'!$H$2:'Reservations'!$H188,$B$5,'Reservations'!$P$2:'Reservations'!$P188,"In House")+COUNTIFS('Reservations'!$H$2:'Reservations'!$H188,$B$5,'Reservations'!$P$2:'Reservations'!$P188,"Checked Out"),""),"")</f>
        <v/>
      </c>
    </row>
    <row r="189">
      <c r="V189">
        <f>IFERROR(IF(AND('Reservations'!$G189=$B$5,OR('Reservations'!$P189="Confirmed",'Reservations'!$P189="In House")),COUNTIFS('Reservations'!$G$2:'Reservations'!$G189,$B$5,'Reservations'!$P$2:'Reservations'!$P189,"Confirmed")+COUNTIFS('Reservations'!$G$2:'Reservations'!$G189,$B$5,'Reservations'!$P$2:'Reservations'!$P189,"In House"),""),"")</f>
        <v/>
      </c>
      <c r="W189">
        <f>IFERROR(IF(AND('Reservations'!$H189=$B$5,OR('Reservations'!$P189="In House",'Reservations'!$P189="Checked Out")),COUNTIFS('Reservations'!$H$2:'Reservations'!$H189,$B$5,'Reservations'!$P$2:'Reservations'!$P189,"In House")+COUNTIFS('Reservations'!$H$2:'Reservations'!$H189,$B$5,'Reservations'!$P$2:'Reservations'!$P189,"Checked Out"),""),"")</f>
        <v/>
      </c>
    </row>
    <row r="190">
      <c r="V190">
        <f>IFERROR(IF(AND('Reservations'!$G190=$B$5,OR('Reservations'!$P190="Confirmed",'Reservations'!$P190="In House")),COUNTIFS('Reservations'!$G$2:'Reservations'!$G190,$B$5,'Reservations'!$P$2:'Reservations'!$P190,"Confirmed")+COUNTIFS('Reservations'!$G$2:'Reservations'!$G190,$B$5,'Reservations'!$P$2:'Reservations'!$P190,"In House"),""),"")</f>
        <v/>
      </c>
      <c r="W190">
        <f>IFERROR(IF(AND('Reservations'!$H190=$B$5,OR('Reservations'!$P190="In House",'Reservations'!$P190="Checked Out")),COUNTIFS('Reservations'!$H$2:'Reservations'!$H190,$B$5,'Reservations'!$P$2:'Reservations'!$P190,"In House")+COUNTIFS('Reservations'!$H$2:'Reservations'!$H190,$B$5,'Reservations'!$P$2:'Reservations'!$P190,"Checked Out"),""),"")</f>
        <v/>
      </c>
    </row>
    <row r="191">
      <c r="V191">
        <f>IFERROR(IF(AND('Reservations'!$G191=$B$5,OR('Reservations'!$P191="Confirmed",'Reservations'!$P191="In House")),COUNTIFS('Reservations'!$G$2:'Reservations'!$G191,$B$5,'Reservations'!$P$2:'Reservations'!$P191,"Confirmed")+COUNTIFS('Reservations'!$G$2:'Reservations'!$G191,$B$5,'Reservations'!$P$2:'Reservations'!$P191,"In House"),""),"")</f>
        <v/>
      </c>
      <c r="W191">
        <f>IFERROR(IF(AND('Reservations'!$H191=$B$5,OR('Reservations'!$P191="In House",'Reservations'!$P191="Checked Out")),COUNTIFS('Reservations'!$H$2:'Reservations'!$H191,$B$5,'Reservations'!$P$2:'Reservations'!$P191,"In House")+COUNTIFS('Reservations'!$H$2:'Reservations'!$H191,$B$5,'Reservations'!$P$2:'Reservations'!$P191,"Checked Out"),""),"")</f>
        <v/>
      </c>
    </row>
    <row r="192">
      <c r="V192">
        <f>IFERROR(IF(AND('Reservations'!$G192=$B$5,OR('Reservations'!$P192="Confirmed",'Reservations'!$P192="In House")),COUNTIFS('Reservations'!$G$2:'Reservations'!$G192,$B$5,'Reservations'!$P$2:'Reservations'!$P192,"Confirmed")+COUNTIFS('Reservations'!$G$2:'Reservations'!$G192,$B$5,'Reservations'!$P$2:'Reservations'!$P192,"In House"),""),"")</f>
        <v/>
      </c>
      <c r="W192">
        <f>IFERROR(IF(AND('Reservations'!$H192=$B$5,OR('Reservations'!$P192="In House",'Reservations'!$P192="Checked Out")),COUNTIFS('Reservations'!$H$2:'Reservations'!$H192,$B$5,'Reservations'!$P$2:'Reservations'!$P192,"In House")+COUNTIFS('Reservations'!$H$2:'Reservations'!$H192,$B$5,'Reservations'!$P$2:'Reservations'!$P192,"Checked Out"),""),"")</f>
        <v/>
      </c>
    </row>
    <row r="193">
      <c r="V193">
        <f>IFERROR(IF(AND('Reservations'!$G193=$B$5,OR('Reservations'!$P193="Confirmed",'Reservations'!$P193="In House")),COUNTIFS('Reservations'!$G$2:'Reservations'!$G193,$B$5,'Reservations'!$P$2:'Reservations'!$P193,"Confirmed")+COUNTIFS('Reservations'!$G$2:'Reservations'!$G193,$B$5,'Reservations'!$P$2:'Reservations'!$P193,"In House"),""),"")</f>
        <v/>
      </c>
      <c r="W193">
        <f>IFERROR(IF(AND('Reservations'!$H193=$B$5,OR('Reservations'!$P193="In House",'Reservations'!$P193="Checked Out")),COUNTIFS('Reservations'!$H$2:'Reservations'!$H193,$B$5,'Reservations'!$P$2:'Reservations'!$P193,"In House")+COUNTIFS('Reservations'!$H$2:'Reservations'!$H193,$B$5,'Reservations'!$P$2:'Reservations'!$P193,"Checked Out"),""),"")</f>
        <v/>
      </c>
    </row>
    <row r="194">
      <c r="V194">
        <f>IFERROR(IF(AND('Reservations'!$G194=$B$5,OR('Reservations'!$P194="Confirmed",'Reservations'!$P194="In House")),COUNTIFS('Reservations'!$G$2:'Reservations'!$G194,$B$5,'Reservations'!$P$2:'Reservations'!$P194,"Confirmed")+COUNTIFS('Reservations'!$G$2:'Reservations'!$G194,$B$5,'Reservations'!$P$2:'Reservations'!$P194,"In House"),""),"")</f>
        <v/>
      </c>
      <c r="W194">
        <f>IFERROR(IF(AND('Reservations'!$H194=$B$5,OR('Reservations'!$P194="In House",'Reservations'!$P194="Checked Out")),COUNTIFS('Reservations'!$H$2:'Reservations'!$H194,$B$5,'Reservations'!$P$2:'Reservations'!$P194,"In House")+COUNTIFS('Reservations'!$H$2:'Reservations'!$H194,$B$5,'Reservations'!$P$2:'Reservations'!$P194,"Checked Out"),""),"")</f>
        <v/>
      </c>
    </row>
    <row r="195">
      <c r="V195">
        <f>IFERROR(IF(AND('Reservations'!$G195=$B$5,OR('Reservations'!$P195="Confirmed",'Reservations'!$P195="In House")),COUNTIFS('Reservations'!$G$2:'Reservations'!$G195,$B$5,'Reservations'!$P$2:'Reservations'!$P195,"Confirmed")+COUNTIFS('Reservations'!$G$2:'Reservations'!$G195,$B$5,'Reservations'!$P$2:'Reservations'!$P195,"In House"),""),"")</f>
        <v/>
      </c>
      <c r="W195">
        <f>IFERROR(IF(AND('Reservations'!$H195=$B$5,OR('Reservations'!$P195="In House",'Reservations'!$P195="Checked Out")),COUNTIFS('Reservations'!$H$2:'Reservations'!$H195,$B$5,'Reservations'!$P$2:'Reservations'!$P195,"In House")+COUNTIFS('Reservations'!$H$2:'Reservations'!$H195,$B$5,'Reservations'!$P$2:'Reservations'!$P195,"Checked Out"),""),"")</f>
        <v/>
      </c>
    </row>
    <row r="196">
      <c r="V196">
        <f>IFERROR(IF(AND('Reservations'!$G196=$B$5,OR('Reservations'!$P196="Confirmed",'Reservations'!$P196="In House")),COUNTIFS('Reservations'!$G$2:'Reservations'!$G196,$B$5,'Reservations'!$P$2:'Reservations'!$P196,"Confirmed")+COUNTIFS('Reservations'!$G$2:'Reservations'!$G196,$B$5,'Reservations'!$P$2:'Reservations'!$P196,"In House"),""),"")</f>
        <v/>
      </c>
      <c r="W196">
        <f>IFERROR(IF(AND('Reservations'!$H196=$B$5,OR('Reservations'!$P196="In House",'Reservations'!$P196="Checked Out")),COUNTIFS('Reservations'!$H$2:'Reservations'!$H196,$B$5,'Reservations'!$P$2:'Reservations'!$P196,"In House")+COUNTIFS('Reservations'!$H$2:'Reservations'!$H196,$B$5,'Reservations'!$P$2:'Reservations'!$P196,"Checked Out"),""),"")</f>
        <v/>
      </c>
    </row>
    <row r="197">
      <c r="V197">
        <f>IFERROR(IF(AND('Reservations'!$G197=$B$5,OR('Reservations'!$P197="Confirmed",'Reservations'!$P197="In House")),COUNTIFS('Reservations'!$G$2:'Reservations'!$G197,$B$5,'Reservations'!$P$2:'Reservations'!$P197,"Confirmed")+COUNTIFS('Reservations'!$G$2:'Reservations'!$G197,$B$5,'Reservations'!$P$2:'Reservations'!$P197,"In House"),""),"")</f>
        <v/>
      </c>
      <c r="W197">
        <f>IFERROR(IF(AND('Reservations'!$H197=$B$5,OR('Reservations'!$P197="In House",'Reservations'!$P197="Checked Out")),COUNTIFS('Reservations'!$H$2:'Reservations'!$H197,$B$5,'Reservations'!$P$2:'Reservations'!$P197,"In House")+COUNTIFS('Reservations'!$H$2:'Reservations'!$H197,$B$5,'Reservations'!$P$2:'Reservations'!$P197,"Checked Out"),""),"")</f>
        <v/>
      </c>
    </row>
    <row r="198">
      <c r="V198">
        <f>IFERROR(IF(AND('Reservations'!$G198=$B$5,OR('Reservations'!$P198="Confirmed",'Reservations'!$P198="In House")),COUNTIFS('Reservations'!$G$2:'Reservations'!$G198,$B$5,'Reservations'!$P$2:'Reservations'!$P198,"Confirmed")+COUNTIFS('Reservations'!$G$2:'Reservations'!$G198,$B$5,'Reservations'!$P$2:'Reservations'!$P198,"In House"),""),"")</f>
        <v/>
      </c>
      <c r="W198">
        <f>IFERROR(IF(AND('Reservations'!$H198=$B$5,OR('Reservations'!$P198="In House",'Reservations'!$P198="Checked Out")),COUNTIFS('Reservations'!$H$2:'Reservations'!$H198,$B$5,'Reservations'!$P$2:'Reservations'!$P198,"In House")+COUNTIFS('Reservations'!$H$2:'Reservations'!$H198,$B$5,'Reservations'!$P$2:'Reservations'!$P198,"Checked Out"),""),"")</f>
        <v/>
      </c>
    </row>
    <row r="199">
      <c r="V199">
        <f>IFERROR(IF(AND('Reservations'!$G199=$B$5,OR('Reservations'!$P199="Confirmed",'Reservations'!$P199="In House")),COUNTIFS('Reservations'!$G$2:'Reservations'!$G199,$B$5,'Reservations'!$P$2:'Reservations'!$P199,"Confirmed")+COUNTIFS('Reservations'!$G$2:'Reservations'!$G199,$B$5,'Reservations'!$P$2:'Reservations'!$P199,"In House"),""),"")</f>
        <v/>
      </c>
      <c r="W199">
        <f>IFERROR(IF(AND('Reservations'!$H199=$B$5,OR('Reservations'!$P199="In House",'Reservations'!$P199="Checked Out")),COUNTIFS('Reservations'!$H$2:'Reservations'!$H199,$B$5,'Reservations'!$P$2:'Reservations'!$P199,"In House")+COUNTIFS('Reservations'!$H$2:'Reservations'!$H199,$B$5,'Reservations'!$P$2:'Reservations'!$P199,"Checked Out"),""),"")</f>
        <v/>
      </c>
    </row>
    <row r="200">
      <c r="V200">
        <f>IFERROR(IF(AND('Reservations'!$G200=$B$5,OR('Reservations'!$P200="Confirmed",'Reservations'!$P200="In House")),COUNTIFS('Reservations'!$G$2:'Reservations'!$G200,$B$5,'Reservations'!$P$2:'Reservations'!$P200,"Confirmed")+COUNTIFS('Reservations'!$G$2:'Reservations'!$G200,$B$5,'Reservations'!$P$2:'Reservations'!$P200,"In House"),""),"")</f>
        <v/>
      </c>
      <c r="W200">
        <f>IFERROR(IF(AND('Reservations'!$H200=$B$5,OR('Reservations'!$P200="In House",'Reservations'!$P200="Checked Out")),COUNTIFS('Reservations'!$H$2:'Reservations'!$H200,$B$5,'Reservations'!$P$2:'Reservations'!$P200,"In House")+COUNTIFS('Reservations'!$H$2:'Reservations'!$H200,$B$5,'Reservations'!$P$2:'Reservations'!$P200,"Checked Out"),""),"")</f>
        <v/>
      </c>
    </row>
    <row r="201">
      <c r="V201">
        <f>IFERROR(IF(AND('Reservations'!$G201=$B$5,OR('Reservations'!$P201="Confirmed",'Reservations'!$P201="In House")),COUNTIFS('Reservations'!$G$2:'Reservations'!$G201,$B$5,'Reservations'!$P$2:'Reservations'!$P201,"Confirmed")+COUNTIFS('Reservations'!$G$2:'Reservations'!$G201,$B$5,'Reservations'!$P$2:'Reservations'!$P201,"In House"),""),"")</f>
        <v/>
      </c>
      <c r="W201">
        <f>IFERROR(IF(AND('Reservations'!$H201=$B$5,OR('Reservations'!$P201="In House",'Reservations'!$P201="Checked Out")),COUNTIFS('Reservations'!$H$2:'Reservations'!$H201,$B$5,'Reservations'!$P$2:'Reservations'!$P201,"In House")+COUNTIFS('Reservations'!$H$2:'Reservations'!$H201,$B$5,'Reservations'!$P$2:'Reservations'!$P201,"Checked Out"),""),"")</f>
        <v/>
      </c>
    </row>
    <row r="202">
      <c r="V202">
        <f>IFERROR(IF(AND('Reservations'!$G202=$B$5,OR('Reservations'!$P202="Confirmed",'Reservations'!$P202="In House")),COUNTIFS('Reservations'!$G$2:'Reservations'!$G202,$B$5,'Reservations'!$P$2:'Reservations'!$P202,"Confirmed")+COUNTIFS('Reservations'!$G$2:'Reservations'!$G202,$B$5,'Reservations'!$P$2:'Reservations'!$P202,"In House"),""),"")</f>
        <v/>
      </c>
      <c r="W202">
        <f>IFERROR(IF(AND('Reservations'!$H202=$B$5,OR('Reservations'!$P202="In House",'Reservations'!$P202="Checked Out")),COUNTIFS('Reservations'!$H$2:'Reservations'!$H202,$B$5,'Reservations'!$P$2:'Reservations'!$P202,"In House")+COUNTIFS('Reservations'!$H$2:'Reservations'!$H202,$B$5,'Reservations'!$P$2:'Reservations'!$P202,"Checked Out"),""),"")</f>
        <v/>
      </c>
    </row>
    <row r="203">
      <c r="V203">
        <f>IFERROR(IF(AND('Reservations'!$G203=$B$5,OR('Reservations'!$P203="Confirmed",'Reservations'!$P203="In House")),COUNTIFS('Reservations'!$G$2:'Reservations'!$G203,$B$5,'Reservations'!$P$2:'Reservations'!$P203,"Confirmed")+COUNTIFS('Reservations'!$G$2:'Reservations'!$G203,$B$5,'Reservations'!$P$2:'Reservations'!$P203,"In House"),""),"")</f>
        <v/>
      </c>
      <c r="W203">
        <f>IFERROR(IF(AND('Reservations'!$H203=$B$5,OR('Reservations'!$P203="In House",'Reservations'!$P203="Checked Out")),COUNTIFS('Reservations'!$H$2:'Reservations'!$H203,$B$5,'Reservations'!$P$2:'Reservations'!$P203,"In House")+COUNTIFS('Reservations'!$H$2:'Reservations'!$H203,$B$5,'Reservations'!$P$2:'Reservations'!$P203,"Checked Out"),""),"")</f>
        <v/>
      </c>
    </row>
    <row r="204">
      <c r="V204">
        <f>IFERROR(IF(AND('Reservations'!$G204=$B$5,OR('Reservations'!$P204="Confirmed",'Reservations'!$P204="In House")),COUNTIFS('Reservations'!$G$2:'Reservations'!$G204,$B$5,'Reservations'!$P$2:'Reservations'!$P204,"Confirmed")+COUNTIFS('Reservations'!$G$2:'Reservations'!$G204,$B$5,'Reservations'!$P$2:'Reservations'!$P204,"In House"),""),"")</f>
        <v/>
      </c>
      <c r="W204">
        <f>IFERROR(IF(AND('Reservations'!$H204=$B$5,OR('Reservations'!$P204="In House",'Reservations'!$P204="Checked Out")),COUNTIFS('Reservations'!$H$2:'Reservations'!$H204,$B$5,'Reservations'!$P$2:'Reservations'!$P204,"In House")+COUNTIFS('Reservations'!$H$2:'Reservations'!$H204,$B$5,'Reservations'!$P$2:'Reservations'!$P204,"Checked Out"),""),"")</f>
        <v/>
      </c>
    </row>
    <row r="205">
      <c r="V205">
        <f>IFERROR(IF(AND('Reservations'!$G205=$B$5,OR('Reservations'!$P205="Confirmed",'Reservations'!$P205="In House")),COUNTIFS('Reservations'!$G$2:'Reservations'!$G205,$B$5,'Reservations'!$P$2:'Reservations'!$P205,"Confirmed")+COUNTIFS('Reservations'!$G$2:'Reservations'!$G205,$B$5,'Reservations'!$P$2:'Reservations'!$P205,"In House"),""),"")</f>
        <v/>
      </c>
      <c r="W205">
        <f>IFERROR(IF(AND('Reservations'!$H205=$B$5,OR('Reservations'!$P205="In House",'Reservations'!$P205="Checked Out")),COUNTIFS('Reservations'!$H$2:'Reservations'!$H205,$B$5,'Reservations'!$P$2:'Reservations'!$P205,"In House")+COUNTIFS('Reservations'!$H$2:'Reservations'!$H205,$B$5,'Reservations'!$P$2:'Reservations'!$P205,"Checked Out"),""),"")</f>
        <v/>
      </c>
    </row>
    <row r="206">
      <c r="V206">
        <f>IFERROR(IF(AND('Reservations'!$G206=$B$5,OR('Reservations'!$P206="Confirmed",'Reservations'!$P206="In House")),COUNTIFS('Reservations'!$G$2:'Reservations'!$G206,$B$5,'Reservations'!$P$2:'Reservations'!$P206,"Confirmed")+COUNTIFS('Reservations'!$G$2:'Reservations'!$G206,$B$5,'Reservations'!$P$2:'Reservations'!$P206,"In House"),""),"")</f>
        <v/>
      </c>
      <c r="W206">
        <f>IFERROR(IF(AND('Reservations'!$H206=$B$5,OR('Reservations'!$P206="In House",'Reservations'!$P206="Checked Out")),COUNTIFS('Reservations'!$H$2:'Reservations'!$H206,$B$5,'Reservations'!$P$2:'Reservations'!$P206,"In House")+COUNTIFS('Reservations'!$H$2:'Reservations'!$H206,$B$5,'Reservations'!$P$2:'Reservations'!$P206,"Checked Out"),""),"")</f>
        <v/>
      </c>
    </row>
    <row r="207">
      <c r="V207">
        <f>IFERROR(IF(AND('Reservations'!$G207=$B$5,OR('Reservations'!$P207="Confirmed",'Reservations'!$P207="In House")),COUNTIFS('Reservations'!$G$2:'Reservations'!$G207,$B$5,'Reservations'!$P$2:'Reservations'!$P207,"Confirmed")+COUNTIFS('Reservations'!$G$2:'Reservations'!$G207,$B$5,'Reservations'!$P$2:'Reservations'!$P207,"In House"),""),"")</f>
        <v/>
      </c>
      <c r="W207">
        <f>IFERROR(IF(AND('Reservations'!$H207=$B$5,OR('Reservations'!$P207="In House",'Reservations'!$P207="Checked Out")),COUNTIFS('Reservations'!$H$2:'Reservations'!$H207,$B$5,'Reservations'!$P$2:'Reservations'!$P207,"In House")+COUNTIFS('Reservations'!$H$2:'Reservations'!$H207,$B$5,'Reservations'!$P$2:'Reservations'!$P207,"Checked Out"),""),"")</f>
        <v/>
      </c>
    </row>
    <row r="208">
      <c r="V208">
        <f>IFERROR(IF(AND('Reservations'!$G208=$B$5,OR('Reservations'!$P208="Confirmed",'Reservations'!$P208="In House")),COUNTIFS('Reservations'!$G$2:'Reservations'!$G208,$B$5,'Reservations'!$P$2:'Reservations'!$P208,"Confirmed")+COUNTIFS('Reservations'!$G$2:'Reservations'!$G208,$B$5,'Reservations'!$P$2:'Reservations'!$P208,"In House"),""),"")</f>
        <v/>
      </c>
      <c r="W208">
        <f>IFERROR(IF(AND('Reservations'!$H208=$B$5,OR('Reservations'!$P208="In House",'Reservations'!$P208="Checked Out")),COUNTIFS('Reservations'!$H$2:'Reservations'!$H208,$B$5,'Reservations'!$P$2:'Reservations'!$P208,"In House")+COUNTIFS('Reservations'!$H$2:'Reservations'!$H208,$B$5,'Reservations'!$P$2:'Reservations'!$P208,"Checked Out"),""),"")</f>
        <v/>
      </c>
    </row>
    <row r="209">
      <c r="V209">
        <f>IFERROR(IF(AND('Reservations'!$G209=$B$5,OR('Reservations'!$P209="Confirmed",'Reservations'!$P209="In House")),COUNTIFS('Reservations'!$G$2:'Reservations'!$G209,$B$5,'Reservations'!$P$2:'Reservations'!$P209,"Confirmed")+COUNTIFS('Reservations'!$G$2:'Reservations'!$G209,$B$5,'Reservations'!$P$2:'Reservations'!$P209,"In House"),""),"")</f>
        <v/>
      </c>
      <c r="W209">
        <f>IFERROR(IF(AND('Reservations'!$H209=$B$5,OR('Reservations'!$P209="In House",'Reservations'!$P209="Checked Out")),COUNTIFS('Reservations'!$H$2:'Reservations'!$H209,$B$5,'Reservations'!$P$2:'Reservations'!$P209,"In House")+COUNTIFS('Reservations'!$H$2:'Reservations'!$H209,$B$5,'Reservations'!$P$2:'Reservations'!$P209,"Checked Out"),""),"")</f>
        <v/>
      </c>
    </row>
    <row r="210">
      <c r="V210">
        <f>IFERROR(IF(AND('Reservations'!$G210=$B$5,OR('Reservations'!$P210="Confirmed",'Reservations'!$P210="In House")),COUNTIFS('Reservations'!$G$2:'Reservations'!$G210,$B$5,'Reservations'!$P$2:'Reservations'!$P210,"Confirmed")+COUNTIFS('Reservations'!$G$2:'Reservations'!$G210,$B$5,'Reservations'!$P$2:'Reservations'!$P210,"In House"),""),"")</f>
        <v/>
      </c>
      <c r="W210">
        <f>IFERROR(IF(AND('Reservations'!$H210=$B$5,OR('Reservations'!$P210="In House",'Reservations'!$P210="Checked Out")),COUNTIFS('Reservations'!$H$2:'Reservations'!$H210,$B$5,'Reservations'!$P$2:'Reservations'!$P210,"In House")+COUNTIFS('Reservations'!$H$2:'Reservations'!$H210,$B$5,'Reservations'!$P$2:'Reservations'!$P210,"Checked Out"),""),"")</f>
        <v/>
      </c>
    </row>
    <row r="211">
      <c r="V211">
        <f>IFERROR(IF(AND('Reservations'!$G211=$B$5,OR('Reservations'!$P211="Confirmed",'Reservations'!$P211="In House")),COUNTIFS('Reservations'!$G$2:'Reservations'!$G211,$B$5,'Reservations'!$P$2:'Reservations'!$P211,"Confirmed")+COUNTIFS('Reservations'!$G$2:'Reservations'!$G211,$B$5,'Reservations'!$P$2:'Reservations'!$P211,"In House"),""),"")</f>
        <v/>
      </c>
      <c r="W211">
        <f>IFERROR(IF(AND('Reservations'!$H211=$B$5,OR('Reservations'!$P211="In House",'Reservations'!$P211="Checked Out")),COUNTIFS('Reservations'!$H$2:'Reservations'!$H211,$B$5,'Reservations'!$P$2:'Reservations'!$P211,"In House")+COUNTIFS('Reservations'!$H$2:'Reservations'!$H211,$B$5,'Reservations'!$P$2:'Reservations'!$P211,"Checked Out"),""),"")</f>
        <v/>
      </c>
    </row>
    <row r="212">
      <c r="V212">
        <f>IFERROR(IF(AND('Reservations'!$G212=$B$5,OR('Reservations'!$P212="Confirmed",'Reservations'!$P212="In House")),COUNTIFS('Reservations'!$G$2:'Reservations'!$G212,$B$5,'Reservations'!$P$2:'Reservations'!$P212,"Confirmed")+COUNTIFS('Reservations'!$G$2:'Reservations'!$G212,$B$5,'Reservations'!$P$2:'Reservations'!$P212,"In House"),""),"")</f>
        <v/>
      </c>
      <c r="W212">
        <f>IFERROR(IF(AND('Reservations'!$H212=$B$5,OR('Reservations'!$P212="In House",'Reservations'!$P212="Checked Out")),COUNTIFS('Reservations'!$H$2:'Reservations'!$H212,$B$5,'Reservations'!$P$2:'Reservations'!$P212,"In House")+COUNTIFS('Reservations'!$H$2:'Reservations'!$H212,$B$5,'Reservations'!$P$2:'Reservations'!$P212,"Checked Out"),""),"")</f>
        <v/>
      </c>
    </row>
    <row r="213">
      <c r="V213">
        <f>IFERROR(IF(AND('Reservations'!$G213=$B$5,OR('Reservations'!$P213="Confirmed",'Reservations'!$P213="In House")),COUNTIFS('Reservations'!$G$2:'Reservations'!$G213,$B$5,'Reservations'!$P$2:'Reservations'!$P213,"Confirmed")+COUNTIFS('Reservations'!$G$2:'Reservations'!$G213,$B$5,'Reservations'!$P$2:'Reservations'!$P213,"In House"),""),"")</f>
        <v/>
      </c>
      <c r="W213">
        <f>IFERROR(IF(AND('Reservations'!$H213=$B$5,OR('Reservations'!$P213="In House",'Reservations'!$P213="Checked Out")),COUNTIFS('Reservations'!$H$2:'Reservations'!$H213,$B$5,'Reservations'!$P$2:'Reservations'!$P213,"In House")+COUNTIFS('Reservations'!$H$2:'Reservations'!$H213,$B$5,'Reservations'!$P$2:'Reservations'!$P213,"Checked Out"),""),"")</f>
        <v/>
      </c>
    </row>
    <row r="214">
      <c r="V214">
        <f>IFERROR(IF(AND('Reservations'!$G214=$B$5,OR('Reservations'!$P214="Confirmed",'Reservations'!$P214="In House")),COUNTIFS('Reservations'!$G$2:'Reservations'!$G214,$B$5,'Reservations'!$P$2:'Reservations'!$P214,"Confirmed")+COUNTIFS('Reservations'!$G$2:'Reservations'!$G214,$B$5,'Reservations'!$P$2:'Reservations'!$P214,"In House"),""),"")</f>
        <v/>
      </c>
      <c r="W214">
        <f>IFERROR(IF(AND('Reservations'!$H214=$B$5,OR('Reservations'!$P214="In House",'Reservations'!$P214="Checked Out")),COUNTIFS('Reservations'!$H$2:'Reservations'!$H214,$B$5,'Reservations'!$P$2:'Reservations'!$P214,"In House")+COUNTIFS('Reservations'!$H$2:'Reservations'!$H214,$B$5,'Reservations'!$P$2:'Reservations'!$P214,"Checked Out"),""),"")</f>
        <v/>
      </c>
    </row>
    <row r="215">
      <c r="V215">
        <f>IFERROR(IF(AND('Reservations'!$G215=$B$5,OR('Reservations'!$P215="Confirmed",'Reservations'!$P215="In House")),COUNTIFS('Reservations'!$G$2:'Reservations'!$G215,$B$5,'Reservations'!$P$2:'Reservations'!$P215,"Confirmed")+COUNTIFS('Reservations'!$G$2:'Reservations'!$G215,$B$5,'Reservations'!$P$2:'Reservations'!$P215,"In House"),""),"")</f>
        <v/>
      </c>
      <c r="W215">
        <f>IFERROR(IF(AND('Reservations'!$H215=$B$5,OR('Reservations'!$P215="In House",'Reservations'!$P215="Checked Out")),COUNTIFS('Reservations'!$H$2:'Reservations'!$H215,$B$5,'Reservations'!$P$2:'Reservations'!$P215,"In House")+COUNTIFS('Reservations'!$H$2:'Reservations'!$H215,$B$5,'Reservations'!$P$2:'Reservations'!$P215,"Checked Out"),""),"")</f>
        <v/>
      </c>
    </row>
    <row r="216">
      <c r="V216">
        <f>IFERROR(IF(AND('Reservations'!$G216=$B$5,OR('Reservations'!$P216="Confirmed",'Reservations'!$P216="In House")),COUNTIFS('Reservations'!$G$2:'Reservations'!$G216,$B$5,'Reservations'!$P$2:'Reservations'!$P216,"Confirmed")+COUNTIFS('Reservations'!$G$2:'Reservations'!$G216,$B$5,'Reservations'!$P$2:'Reservations'!$P216,"In House"),""),"")</f>
        <v/>
      </c>
      <c r="W216">
        <f>IFERROR(IF(AND('Reservations'!$H216=$B$5,OR('Reservations'!$P216="In House",'Reservations'!$P216="Checked Out")),COUNTIFS('Reservations'!$H$2:'Reservations'!$H216,$B$5,'Reservations'!$P$2:'Reservations'!$P216,"In House")+COUNTIFS('Reservations'!$H$2:'Reservations'!$H216,$B$5,'Reservations'!$P$2:'Reservations'!$P216,"Checked Out"),""),"")</f>
        <v/>
      </c>
    </row>
    <row r="217">
      <c r="V217">
        <f>IFERROR(IF(AND('Reservations'!$G217=$B$5,OR('Reservations'!$P217="Confirmed",'Reservations'!$P217="In House")),COUNTIFS('Reservations'!$G$2:'Reservations'!$G217,$B$5,'Reservations'!$P$2:'Reservations'!$P217,"Confirmed")+COUNTIFS('Reservations'!$G$2:'Reservations'!$G217,$B$5,'Reservations'!$P$2:'Reservations'!$P217,"In House"),""),"")</f>
        <v/>
      </c>
      <c r="W217">
        <f>IFERROR(IF(AND('Reservations'!$H217=$B$5,OR('Reservations'!$P217="In House",'Reservations'!$P217="Checked Out")),COUNTIFS('Reservations'!$H$2:'Reservations'!$H217,$B$5,'Reservations'!$P$2:'Reservations'!$P217,"In House")+COUNTIFS('Reservations'!$H$2:'Reservations'!$H217,$B$5,'Reservations'!$P$2:'Reservations'!$P217,"Checked Out"),""),"")</f>
        <v/>
      </c>
    </row>
    <row r="218">
      <c r="V218">
        <f>IFERROR(IF(AND('Reservations'!$G218=$B$5,OR('Reservations'!$P218="Confirmed",'Reservations'!$P218="In House")),COUNTIFS('Reservations'!$G$2:'Reservations'!$G218,$B$5,'Reservations'!$P$2:'Reservations'!$P218,"Confirmed")+COUNTIFS('Reservations'!$G$2:'Reservations'!$G218,$B$5,'Reservations'!$P$2:'Reservations'!$P218,"In House"),""),"")</f>
        <v/>
      </c>
      <c r="W218">
        <f>IFERROR(IF(AND('Reservations'!$H218=$B$5,OR('Reservations'!$P218="In House",'Reservations'!$P218="Checked Out")),COUNTIFS('Reservations'!$H$2:'Reservations'!$H218,$B$5,'Reservations'!$P$2:'Reservations'!$P218,"In House")+COUNTIFS('Reservations'!$H$2:'Reservations'!$H218,$B$5,'Reservations'!$P$2:'Reservations'!$P218,"Checked Out"),""),"")</f>
        <v/>
      </c>
    </row>
    <row r="219">
      <c r="V219">
        <f>IFERROR(IF(AND('Reservations'!$G219=$B$5,OR('Reservations'!$P219="Confirmed",'Reservations'!$P219="In House")),COUNTIFS('Reservations'!$G$2:'Reservations'!$G219,$B$5,'Reservations'!$P$2:'Reservations'!$P219,"Confirmed")+COUNTIFS('Reservations'!$G$2:'Reservations'!$G219,$B$5,'Reservations'!$P$2:'Reservations'!$P219,"In House"),""),"")</f>
        <v/>
      </c>
      <c r="W219">
        <f>IFERROR(IF(AND('Reservations'!$H219=$B$5,OR('Reservations'!$P219="In House",'Reservations'!$P219="Checked Out")),COUNTIFS('Reservations'!$H$2:'Reservations'!$H219,$B$5,'Reservations'!$P$2:'Reservations'!$P219,"In House")+COUNTIFS('Reservations'!$H$2:'Reservations'!$H219,$B$5,'Reservations'!$P$2:'Reservations'!$P219,"Checked Out"),""),"")</f>
        <v/>
      </c>
    </row>
    <row r="220">
      <c r="V220">
        <f>IFERROR(IF(AND('Reservations'!$G220=$B$5,OR('Reservations'!$P220="Confirmed",'Reservations'!$P220="In House")),COUNTIFS('Reservations'!$G$2:'Reservations'!$G220,$B$5,'Reservations'!$P$2:'Reservations'!$P220,"Confirmed")+COUNTIFS('Reservations'!$G$2:'Reservations'!$G220,$B$5,'Reservations'!$P$2:'Reservations'!$P220,"In House"),""),"")</f>
        <v/>
      </c>
      <c r="W220">
        <f>IFERROR(IF(AND('Reservations'!$H220=$B$5,OR('Reservations'!$P220="In House",'Reservations'!$P220="Checked Out")),COUNTIFS('Reservations'!$H$2:'Reservations'!$H220,$B$5,'Reservations'!$P$2:'Reservations'!$P220,"In House")+COUNTIFS('Reservations'!$H$2:'Reservations'!$H220,$B$5,'Reservations'!$P$2:'Reservations'!$P220,"Checked Out"),""),"")</f>
        <v/>
      </c>
    </row>
    <row r="221">
      <c r="V221">
        <f>IFERROR(IF(AND('Reservations'!$G221=$B$5,OR('Reservations'!$P221="Confirmed",'Reservations'!$P221="In House")),COUNTIFS('Reservations'!$G$2:'Reservations'!$G221,$B$5,'Reservations'!$P$2:'Reservations'!$P221,"Confirmed")+COUNTIFS('Reservations'!$G$2:'Reservations'!$G221,$B$5,'Reservations'!$P$2:'Reservations'!$P221,"In House"),""),"")</f>
        <v/>
      </c>
      <c r="W221">
        <f>IFERROR(IF(AND('Reservations'!$H221=$B$5,OR('Reservations'!$P221="In House",'Reservations'!$P221="Checked Out")),COUNTIFS('Reservations'!$H$2:'Reservations'!$H221,$B$5,'Reservations'!$P$2:'Reservations'!$P221,"In House")+COUNTIFS('Reservations'!$H$2:'Reservations'!$H221,$B$5,'Reservations'!$P$2:'Reservations'!$P221,"Checked Out"),""),"")</f>
        <v/>
      </c>
    </row>
    <row r="222">
      <c r="V222">
        <f>IFERROR(IF(AND('Reservations'!$G222=$B$5,OR('Reservations'!$P222="Confirmed",'Reservations'!$P222="In House")),COUNTIFS('Reservations'!$G$2:'Reservations'!$G222,$B$5,'Reservations'!$P$2:'Reservations'!$P222,"Confirmed")+COUNTIFS('Reservations'!$G$2:'Reservations'!$G222,$B$5,'Reservations'!$P$2:'Reservations'!$P222,"In House"),""),"")</f>
        <v/>
      </c>
      <c r="W222">
        <f>IFERROR(IF(AND('Reservations'!$H222=$B$5,OR('Reservations'!$P222="In House",'Reservations'!$P222="Checked Out")),COUNTIFS('Reservations'!$H$2:'Reservations'!$H222,$B$5,'Reservations'!$P$2:'Reservations'!$P222,"In House")+COUNTIFS('Reservations'!$H$2:'Reservations'!$H222,$B$5,'Reservations'!$P$2:'Reservations'!$P222,"Checked Out"),""),"")</f>
        <v/>
      </c>
    </row>
    <row r="223">
      <c r="V223">
        <f>IFERROR(IF(AND('Reservations'!$G223=$B$5,OR('Reservations'!$P223="Confirmed",'Reservations'!$P223="In House")),COUNTIFS('Reservations'!$G$2:'Reservations'!$G223,$B$5,'Reservations'!$P$2:'Reservations'!$P223,"Confirmed")+COUNTIFS('Reservations'!$G$2:'Reservations'!$G223,$B$5,'Reservations'!$P$2:'Reservations'!$P223,"In House"),""),"")</f>
        <v/>
      </c>
      <c r="W223">
        <f>IFERROR(IF(AND('Reservations'!$H223=$B$5,OR('Reservations'!$P223="In House",'Reservations'!$P223="Checked Out")),COUNTIFS('Reservations'!$H$2:'Reservations'!$H223,$B$5,'Reservations'!$P$2:'Reservations'!$P223,"In House")+COUNTIFS('Reservations'!$H$2:'Reservations'!$H223,$B$5,'Reservations'!$P$2:'Reservations'!$P223,"Checked Out"),""),"")</f>
        <v/>
      </c>
    </row>
    <row r="224">
      <c r="V224">
        <f>IFERROR(IF(AND('Reservations'!$G224=$B$5,OR('Reservations'!$P224="Confirmed",'Reservations'!$P224="In House")),COUNTIFS('Reservations'!$G$2:'Reservations'!$G224,$B$5,'Reservations'!$P$2:'Reservations'!$P224,"Confirmed")+COUNTIFS('Reservations'!$G$2:'Reservations'!$G224,$B$5,'Reservations'!$P$2:'Reservations'!$P224,"In House"),""),"")</f>
        <v/>
      </c>
      <c r="W224">
        <f>IFERROR(IF(AND('Reservations'!$H224=$B$5,OR('Reservations'!$P224="In House",'Reservations'!$P224="Checked Out")),COUNTIFS('Reservations'!$H$2:'Reservations'!$H224,$B$5,'Reservations'!$P$2:'Reservations'!$P224,"In House")+COUNTIFS('Reservations'!$H$2:'Reservations'!$H224,$B$5,'Reservations'!$P$2:'Reservations'!$P224,"Checked Out"),""),"")</f>
        <v/>
      </c>
    </row>
    <row r="225">
      <c r="V225">
        <f>IFERROR(IF(AND('Reservations'!$G225=$B$5,OR('Reservations'!$P225="Confirmed",'Reservations'!$P225="In House")),COUNTIFS('Reservations'!$G$2:'Reservations'!$G225,$B$5,'Reservations'!$P$2:'Reservations'!$P225,"Confirmed")+COUNTIFS('Reservations'!$G$2:'Reservations'!$G225,$B$5,'Reservations'!$P$2:'Reservations'!$P225,"In House"),""),"")</f>
        <v/>
      </c>
      <c r="W225">
        <f>IFERROR(IF(AND('Reservations'!$H225=$B$5,OR('Reservations'!$P225="In House",'Reservations'!$P225="Checked Out")),COUNTIFS('Reservations'!$H$2:'Reservations'!$H225,$B$5,'Reservations'!$P$2:'Reservations'!$P225,"In House")+COUNTIFS('Reservations'!$H$2:'Reservations'!$H225,$B$5,'Reservations'!$P$2:'Reservations'!$P225,"Checked Out"),""),"")</f>
        <v/>
      </c>
    </row>
    <row r="226">
      <c r="V226">
        <f>IFERROR(IF(AND('Reservations'!$G226=$B$5,OR('Reservations'!$P226="Confirmed",'Reservations'!$P226="In House")),COUNTIFS('Reservations'!$G$2:'Reservations'!$G226,$B$5,'Reservations'!$P$2:'Reservations'!$P226,"Confirmed")+COUNTIFS('Reservations'!$G$2:'Reservations'!$G226,$B$5,'Reservations'!$P$2:'Reservations'!$P226,"In House"),""),"")</f>
        <v/>
      </c>
      <c r="W226">
        <f>IFERROR(IF(AND('Reservations'!$H226=$B$5,OR('Reservations'!$P226="In House",'Reservations'!$P226="Checked Out")),COUNTIFS('Reservations'!$H$2:'Reservations'!$H226,$B$5,'Reservations'!$P$2:'Reservations'!$P226,"In House")+COUNTIFS('Reservations'!$H$2:'Reservations'!$H226,$B$5,'Reservations'!$P$2:'Reservations'!$P226,"Checked Out"),""),"")</f>
        <v/>
      </c>
    </row>
    <row r="227">
      <c r="V227">
        <f>IFERROR(IF(AND('Reservations'!$G227=$B$5,OR('Reservations'!$P227="Confirmed",'Reservations'!$P227="In House")),COUNTIFS('Reservations'!$G$2:'Reservations'!$G227,$B$5,'Reservations'!$P$2:'Reservations'!$P227,"Confirmed")+COUNTIFS('Reservations'!$G$2:'Reservations'!$G227,$B$5,'Reservations'!$P$2:'Reservations'!$P227,"In House"),""),"")</f>
        <v/>
      </c>
      <c r="W227">
        <f>IFERROR(IF(AND('Reservations'!$H227=$B$5,OR('Reservations'!$P227="In House",'Reservations'!$P227="Checked Out")),COUNTIFS('Reservations'!$H$2:'Reservations'!$H227,$B$5,'Reservations'!$P$2:'Reservations'!$P227,"In House")+COUNTIFS('Reservations'!$H$2:'Reservations'!$H227,$B$5,'Reservations'!$P$2:'Reservations'!$P227,"Checked Out"),""),"")</f>
        <v/>
      </c>
    </row>
    <row r="228">
      <c r="V228">
        <f>IFERROR(IF(AND('Reservations'!$G228=$B$5,OR('Reservations'!$P228="Confirmed",'Reservations'!$P228="In House")),COUNTIFS('Reservations'!$G$2:'Reservations'!$G228,$B$5,'Reservations'!$P$2:'Reservations'!$P228,"Confirmed")+COUNTIFS('Reservations'!$G$2:'Reservations'!$G228,$B$5,'Reservations'!$P$2:'Reservations'!$P228,"In House"),""),"")</f>
        <v/>
      </c>
      <c r="W228">
        <f>IFERROR(IF(AND('Reservations'!$H228=$B$5,OR('Reservations'!$P228="In House",'Reservations'!$P228="Checked Out")),COUNTIFS('Reservations'!$H$2:'Reservations'!$H228,$B$5,'Reservations'!$P$2:'Reservations'!$P228,"In House")+COUNTIFS('Reservations'!$H$2:'Reservations'!$H228,$B$5,'Reservations'!$P$2:'Reservations'!$P228,"Checked Out"),""),"")</f>
        <v/>
      </c>
    </row>
    <row r="229">
      <c r="V229">
        <f>IFERROR(IF(AND('Reservations'!$G229=$B$5,OR('Reservations'!$P229="Confirmed",'Reservations'!$P229="In House")),COUNTIFS('Reservations'!$G$2:'Reservations'!$G229,$B$5,'Reservations'!$P$2:'Reservations'!$P229,"Confirmed")+COUNTIFS('Reservations'!$G$2:'Reservations'!$G229,$B$5,'Reservations'!$P$2:'Reservations'!$P229,"In House"),""),"")</f>
        <v/>
      </c>
      <c r="W229">
        <f>IFERROR(IF(AND('Reservations'!$H229=$B$5,OR('Reservations'!$P229="In House",'Reservations'!$P229="Checked Out")),COUNTIFS('Reservations'!$H$2:'Reservations'!$H229,$B$5,'Reservations'!$P$2:'Reservations'!$P229,"In House")+COUNTIFS('Reservations'!$H$2:'Reservations'!$H229,$B$5,'Reservations'!$P$2:'Reservations'!$P229,"Checked Out"),""),"")</f>
        <v/>
      </c>
    </row>
    <row r="230">
      <c r="V230">
        <f>IFERROR(IF(AND('Reservations'!$G230=$B$5,OR('Reservations'!$P230="Confirmed",'Reservations'!$P230="In House")),COUNTIFS('Reservations'!$G$2:'Reservations'!$G230,$B$5,'Reservations'!$P$2:'Reservations'!$P230,"Confirmed")+COUNTIFS('Reservations'!$G$2:'Reservations'!$G230,$B$5,'Reservations'!$P$2:'Reservations'!$P230,"In House"),""),"")</f>
        <v/>
      </c>
      <c r="W230">
        <f>IFERROR(IF(AND('Reservations'!$H230=$B$5,OR('Reservations'!$P230="In House",'Reservations'!$P230="Checked Out")),COUNTIFS('Reservations'!$H$2:'Reservations'!$H230,$B$5,'Reservations'!$P$2:'Reservations'!$P230,"In House")+COUNTIFS('Reservations'!$H$2:'Reservations'!$H230,$B$5,'Reservations'!$P$2:'Reservations'!$P230,"Checked Out"),""),"")</f>
        <v/>
      </c>
    </row>
    <row r="231">
      <c r="V231">
        <f>IFERROR(IF(AND('Reservations'!$G231=$B$5,OR('Reservations'!$P231="Confirmed",'Reservations'!$P231="In House")),COUNTIFS('Reservations'!$G$2:'Reservations'!$G231,$B$5,'Reservations'!$P$2:'Reservations'!$P231,"Confirmed")+COUNTIFS('Reservations'!$G$2:'Reservations'!$G231,$B$5,'Reservations'!$P$2:'Reservations'!$P231,"In House"),""),"")</f>
        <v/>
      </c>
      <c r="W231">
        <f>IFERROR(IF(AND('Reservations'!$H231=$B$5,OR('Reservations'!$P231="In House",'Reservations'!$P231="Checked Out")),COUNTIFS('Reservations'!$H$2:'Reservations'!$H231,$B$5,'Reservations'!$P$2:'Reservations'!$P231,"In House")+COUNTIFS('Reservations'!$H$2:'Reservations'!$H231,$B$5,'Reservations'!$P$2:'Reservations'!$P231,"Checked Out"),""),"")</f>
        <v/>
      </c>
    </row>
    <row r="232">
      <c r="V232">
        <f>IFERROR(IF(AND('Reservations'!$G232=$B$5,OR('Reservations'!$P232="Confirmed",'Reservations'!$P232="In House")),COUNTIFS('Reservations'!$G$2:'Reservations'!$G232,$B$5,'Reservations'!$P$2:'Reservations'!$P232,"Confirmed")+COUNTIFS('Reservations'!$G$2:'Reservations'!$G232,$B$5,'Reservations'!$P$2:'Reservations'!$P232,"In House"),""),"")</f>
        <v/>
      </c>
      <c r="W232">
        <f>IFERROR(IF(AND('Reservations'!$H232=$B$5,OR('Reservations'!$P232="In House",'Reservations'!$P232="Checked Out")),COUNTIFS('Reservations'!$H$2:'Reservations'!$H232,$B$5,'Reservations'!$P$2:'Reservations'!$P232,"In House")+COUNTIFS('Reservations'!$H$2:'Reservations'!$H232,$B$5,'Reservations'!$P$2:'Reservations'!$P232,"Checked Out"),""),"")</f>
        <v/>
      </c>
    </row>
    <row r="233">
      <c r="V233">
        <f>IFERROR(IF(AND('Reservations'!$G233=$B$5,OR('Reservations'!$P233="Confirmed",'Reservations'!$P233="In House")),COUNTIFS('Reservations'!$G$2:'Reservations'!$G233,$B$5,'Reservations'!$P$2:'Reservations'!$P233,"Confirmed")+COUNTIFS('Reservations'!$G$2:'Reservations'!$G233,$B$5,'Reservations'!$P$2:'Reservations'!$P233,"In House"),""),"")</f>
        <v/>
      </c>
      <c r="W233">
        <f>IFERROR(IF(AND('Reservations'!$H233=$B$5,OR('Reservations'!$P233="In House",'Reservations'!$P233="Checked Out")),COUNTIFS('Reservations'!$H$2:'Reservations'!$H233,$B$5,'Reservations'!$P$2:'Reservations'!$P233,"In House")+COUNTIFS('Reservations'!$H$2:'Reservations'!$H233,$B$5,'Reservations'!$P$2:'Reservations'!$P233,"Checked Out"),""),"")</f>
        <v/>
      </c>
    </row>
    <row r="234">
      <c r="V234">
        <f>IFERROR(IF(AND('Reservations'!$G234=$B$5,OR('Reservations'!$P234="Confirmed",'Reservations'!$P234="In House")),COUNTIFS('Reservations'!$G$2:'Reservations'!$G234,$B$5,'Reservations'!$P$2:'Reservations'!$P234,"Confirmed")+COUNTIFS('Reservations'!$G$2:'Reservations'!$G234,$B$5,'Reservations'!$P$2:'Reservations'!$P234,"In House"),""),"")</f>
        <v/>
      </c>
      <c r="W234">
        <f>IFERROR(IF(AND('Reservations'!$H234=$B$5,OR('Reservations'!$P234="In House",'Reservations'!$P234="Checked Out")),COUNTIFS('Reservations'!$H$2:'Reservations'!$H234,$B$5,'Reservations'!$P$2:'Reservations'!$P234,"In House")+COUNTIFS('Reservations'!$H$2:'Reservations'!$H234,$B$5,'Reservations'!$P$2:'Reservations'!$P234,"Checked Out"),""),"")</f>
        <v/>
      </c>
    </row>
    <row r="235">
      <c r="V235">
        <f>IFERROR(IF(AND('Reservations'!$G235=$B$5,OR('Reservations'!$P235="Confirmed",'Reservations'!$P235="In House")),COUNTIFS('Reservations'!$G$2:'Reservations'!$G235,$B$5,'Reservations'!$P$2:'Reservations'!$P235,"Confirmed")+COUNTIFS('Reservations'!$G$2:'Reservations'!$G235,$B$5,'Reservations'!$P$2:'Reservations'!$P235,"In House"),""),"")</f>
        <v/>
      </c>
      <c r="W235">
        <f>IFERROR(IF(AND('Reservations'!$H235=$B$5,OR('Reservations'!$P235="In House",'Reservations'!$P235="Checked Out")),COUNTIFS('Reservations'!$H$2:'Reservations'!$H235,$B$5,'Reservations'!$P$2:'Reservations'!$P235,"In House")+COUNTIFS('Reservations'!$H$2:'Reservations'!$H235,$B$5,'Reservations'!$P$2:'Reservations'!$P235,"Checked Out"),""),"")</f>
        <v/>
      </c>
    </row>
    <row r="236">
      <c r="V236">
        <f>IFERROR(IF(AND('Reservations'!$G236=$B$5,OR('Reservations'!$P236="Confirmed",'Reservations'!$P236="In House")),COUNTIFS('Reservations'!$G$2:'Reservations'!$G236,$B$5,'Reservations'!$P$2:'Reservations'!$P236,"Confirmed")+COUNTIFS('Reservations'!$G$2:'Reservations'!$G236,$B$5,'Reservations'!$P$2:'Reservations'!$P236,"In House"),""),"")</f>
        <v/>
      </c>
      <c r="W236">
        <f>IFERROR(IF(AND('Reservations'!$H236=$B$5,OR('Reservations'!$P236="In House",'Reservations'!$P236="Checked Out")),COUNTIFS('Reservations'!$H$2:'Reservations'!$H236,$B$5,'Reservations'!$P$2:'Reservations'!$P236,"In House")+COUNTIFS('Reservations'!$H$2:'Reservations'!$H236,$B$5,'Reservations'!$P$2:'Reservations'!$P236,"Checked Out"),""),"")</f>
        <v/>
      </c>
    </row>
    <row r="237">
      <c r="V237">
        <f>IFERROR(IF(AND('Reservations'!$G237=$B$5,OR('Reservations'!$P237="Confirmed",'Reservations'!$P237="In House")),COUNTIFS('Reservations'!$G$2:'Reservations'!$G237,$B$5,'Reservations'!$P$2:'Reservations'!$P237,"Confirmed")+COUNTIFS('Reservations'!$G$2:'Reservations'!$G237,$B$5,'Reservations'!$P$2:'Reservations'!$P237,"In House"),""),"")</f>
        <v/>
      </c>
      <c r="W237">
        <f>IFERROR(IF(AND('Reservations'!$H237=$B$5,OR('Reservations'!$P237="In House",'Reservations'!$P237="Checked Out")),COUNTIFS('Reservations'!$H$2:'Reservations'!$H237,$B$5,'Reservations'!$P$2:'Reservations'!$P237,"In House")+COUNTIFS('Reservations'!$H$2:'Reservations'!$H237,$B$5,'Reservations'!$P$2:'Reservations'!$P237,"Checked Out"),""),"")</f>
        <v/>
      </c>
    </row>
    <row r="238">
      <c r="V238">
        <f>IFERROR(IF(AND('Reservations'!$G238=$B$5,OR('Reservations'!$P238="Confirmed",'Reservations'!$P238="In House")),COUNTIFS('Reservations'!$G$2:'Reservations'!$G238,$B$5,'Reservations'!$P$2:'Reservations'!$P238,"Confirmed")+COUNTIFS('Reservations'!$G$2:'Reservations'!$G238,$B$5,'Reservations'!$P$2:'Reservations'!$P238,"In House"),""),"")</f>
        <v/>
      </c>
      <c r="W238">
        <f>IFERROR(IF(AND('Reservations'!$H238=$B$5,OR('Reservations'!$P238="In House",'Reservations'!$P238="Checked Out")),COUNTIFS('Reservations'!$H$2:'Reservations'!$H238,$B$5,'Reservations'!$P$2:'Reservations'!$P238,"In House")+COUNTIFS('Reservations'!$H$2:'Reservations'!$H238,$B$5,'Reservations'!$P$2:'Reservations'!$P238,"Checked Out"),""),"")</f>
        <v/>
      </c>
    </row>
    <row r="239">
      <c r="V239">
        <f>IFERROR(IF(AND('Reservations'!$G239=$B$5,OR('Reservations'!$P239="Confirmed",'Reservations'!$P239="In House")),COUNTIFS('Reservations'!$G$2:'Reservations'!$G239,$B$5,'Reservations'!$P$2:'Reservations'!$P239,"Confirmed")+COUNTIFS('Reservations'!$G$2:'Reservations'!$G239,$B$5,'Reservations'!$P$2:'Reservations'!$P239,"In House"),""),"")</f>
        <v/>
      </c>
      <c r="W239">
        <f>IFERROR(IF(AND('Reservations'!$H239=$B$5,OR('Reservations'!$P239="In House",'Reservations'!$P239="Checked Out")),COUNTIFS('Reservations'!$H$2:'Reservations'!$H239,$B$5,'Reservations'!$P$2:'Reservations'!$P239,"In House")+COUNTIFS('Reservations'!$H$2:'Reservations'!$H239,$B$5,'Reservations'!$P$2:'Reservations'!$P239,"Checked Out"),""),"")</f>
        <v/>
      </c>
    </row>
    <row r="240">
      <c r="V240">
        <f>IFERROR(IF(AND('Reservations'!$G240=$B$5,OR('Reservations'!$P240="Confirmed",'Reservations'!$P240="In House")),COUNTIFS('Reservations'!$G$2:'Reservations'!$G240,$B$5,'Reservations'!$P$2:'Reservations'!$P240,"Confirmed")+COUNTIFS('Reservations'!$G$2:'Reservations'!$G240,$B$5,'Reservations'!$P$2:'Reservations'!$P240,"In House"),""),"")</f>
        <v/>
      </c>
      <c r="W240">
        <f>IFERROR(IF(AND('Reservations'!$H240=$B$5,OR('Reservations'!$P240="In House",'Reservations'!$P240="Checked Out")),COUNTIFS('Reservations'!$H$2:'Reservations'!$H240,$B$5,'Reservations'!$P$2:'Reservations'!$P240,"In House")+COUNTIFS('Reservations'!$H$2:'Reservations'!$H240,$B$5,'Reservations'!$P$2:'Reservations'!$P240,"Checked Out"),""),"")</f>
        <v/>
      </c>
    </row>
    <row r="241">
      <c r="V241">
        <f>IFERROR(IF(AND('Reservations'!$G241=$B$5,OR('Reservations'!$P241="Confirmed",'Reservations'!$P241="In House")),COUNTIFS('Reservations'!$G$2:'Reservations'!$G241,$B$5,'Reservations'!$P$2:'Reservations'!$P241,"Confirmed")+COUNTIFS('Reservations'!$G$2:'Reservations'!$G241,$B$5,'Reservations'!$P$2:'Reservations'!$P241,"In House"),""),"")</f>
        <v/>
      </c>
      <c r="W241">
        <f>IFERROR(IF(AND('Reservations'!$H241=$B$5,OR('Reservations'!$P241="In House",'Reservations'!$P241="Checked Out")),COUNTIFS('Reservations'!$H$2:'Reservations'!$H241,$B$5,'Reservations'!$P$2:'Reservations'!$P241,"In House")+COUNTIFS('Reservations'!$H$2:'Reservations'!$H241,$B$5,'Reservations'!$P$2:'Reservations'!$P241,"Checked Out"),""),"")</f>
        <v/>
      </c>
    </row>
    <row r="242">
      <c r="V242">
        <f>IFERROR(IF(AND('Reservations'!$G242=$B$5,OR('Reservations'!$P242="Confirmed",'Reservations'!$P242="In House")),COUNTIFS('Reservations'!$G$2:'Reservations'!$G242,$B$5,'Reservations'!$P$2:'Reservations'!$P242,"Confirmed")+COUNTIFS('Reservations'!$G$2:'Reservations'!$G242,$B$5,'Reservations'!$P$2:'Reservations'!$P242,"In House"),""),"")</f>
        <v/>
      </c>
      <c r="W242">
        <f>IFERROR(IF(AND('Reservations'!$H242=$B$5,OR('Reservations'!$P242="In House",'Reservations'!$P242="Checked Out")),COUNTIFS('Reservations'!$H$2:'Reservations'!$H242,$B$5,'Reservations'!$P$2:'Reservations'!$P242,"In House")+COUNTIFS('Reservations'!$H$2:'Reservations'!$H242,$B$5,'Reservations'!$P$2:'Reservations'!$P242,"Checked Out"),""),"")</f>
        <v/>
      </c>
    </row>
    <row r="243">
      <c r="V243">
        <f>IFERROR(IF(AND('Reservations'!$G243=$B$5,OR('Reservations'!$P243="Confirmed",'Reservations'!$P243="In House")),COUNTIFS('Reservations'!$G$2:'Reservations'!$G243,$B$5,'Reservations'!$P$2:'Reservations'!$P243,"Confirmed")+COUNTIFS('Reservations'!$G$2:'Reservations'!$G243,$B$5,'Reservations'!$P$2:'Reservations'!$P243,"In House"),""),"")</f>
        <v/>
      </c>
      <c r="W243">
        <f>IFERROR(IF(AND('Reservations'!$H243=$B$5,OR('Reservations'!$P243="In House",'Reservations'!$P243="Checked Out")),COUNTIFS('Reservations'!$H$2:'Reservations'!$H243,$B$5,'Reservations'!$P$2:'Reservations'!$P243,"In House")+COUNTIFS('Reservations'!$H$2:'Reservations'!$H243,$B$5,'Reservations'!$P$2:'Reservations'!$P243,"Checked Out"),""),"")</f>
        <v/>
      </c>
    </row>
    <row r="244">
      <c r="V244">
        <f>IFERROR(IF(AND('Reservations'!$G244=$B$5,OR('Reservations'!$P244="Confirmed",'Reservations'!$P244="In House")),COUNTIFS('Reservations'!$G$2:'Reservations'!$G244,$B$5,'Reservations'!$P$2:'Reservations'!$P244,"Confirmed")+COUNTIFS('Reservations'!$G$2:'Reservations'!$G244,$B$5,'Reservations'!$P$2:'Reservations'!$P244,"In House"),""),"")</f>
        <v/>
      </c>
      <c r="W244">
        <f>IFERROR(IF(AND('Reservations'!$H244=$B$5,OR('Reservations'!$P244="In House",'Reservations'!$P244="Checked Out")),COUNTIFS('Reservations'!$H$2:'Reservations'!$H244,$B$5,'Reservations'!$P$2:'Reservations'!$P244,"In House")+COUNTIFS('Reservations'!$H$2:'Reservations'!$H244,$B$5,'Reservations'!$P$2:'Reservations'!$P244,"Checked Out"),""),"")</f>
        <v/>
      </c>
    </row>
    <row r="245">
      <c r="V245">
        <f>IFERROR(IF(AND('Reservations'!$G245=$B$5,OR('Reservations'!$P245="Confirmed",'Reservations'!$P245="In House")),COUNTIFS('Reservations'!$G$2:'Reservations'!$G245,$B$5,'Reservations'!$P$2:'Reservations'!$P245,"Confirmed")+COUNTIFS('Reservations'!$G$2:'Reservations'!$G245,$B$5,'Reservations'!$P$2:'Reservations'!$P245,"In House"),""),"")</f>
        <v/>
      </c>
      <c r="W245">
        <f>IFERROR(IF(AND('Reservations'!$H245=$B$5,OR('Reservations'!$P245="In House",'Reservations'!$P245="Checked Out")),COUNTIFS('Reservations'!$H$2:'Reservations'!$H245,$B$5,'Reservations'!$P$2:'Reservations'!$P245,"In House")+COUNTIFS('Reservations'!$H$2:'Reservations'!$H245,$B$5,'Reservations'!$P$2:'Reservations'!$P245,"Checked Out"),""),"")</f>
        <v/>
      </c>
    </row>
    <row r="246">
      <c r="V246">
        <f>IFERROR(IF(AND('Reservations'!$G246=$B$5,OR('Reservations'!$P246="Confirmed",'Reservations'!$P246="In House")),COUNTIFS('Reservations'!$G$2:'Reservations'!$G246,$B$5,'Reservations'!$P$2:'Reservations'!$P246,"Confirmed")+COUNTIFS('Reservations'!$G$2:'Reservations'!$G246,$B$5,'Reservations'!$P$2:'Reservations'!$P246,"In House"),""),"")</f>
        <v/>
      </c>
      <c r="W246">
        <f>IFERROR(IF(AND('Reservations'!$H246=$B$5,OR('Reservations'!$P246="In House",'Reservations'!$P246="Checked Out")),COUNTIFS('Reservations'!$H$2:'Reservations'!$H246,$B$5,'Reservations'!$P$2:'Reservations'!$P246,"In House")+COUNTIFS('Reservations'!$H$2:'Reservations'!$H246,$B$5,'Reservations'!$P$2:'Reservations'!$P246,"Checked Out"),""),"")</f>
        <v/>
      </c>
    </row>
    <row r="247">
      <c r="V247">
        <f>IFERROR(IF(AND('Reservations'!$G247=$B$5,OR('Reservations'!$P247="Confirmed",'Reservations'!$P247="In House")),COUNTIFS('Reservations'!$G$2:'Reservations'!$G247,$B$5,'Reservations'!$P$2:'Reservations'!$P247,"Confirmed")+COUNTIFS('Reservations'!$G$2:'Reservations'!$G247,$B$5,'Reservations'!$P$2:'Reservations'!$P247,"In House"),""),"")</f>
        <v/>
      </c>
      <c r="W247">
        <f>IFERROR(IF(AND('Reservations'!$H247=$B$5,OR('Reservations'!$P247="In House",'Reservations'!$P247="Checked Out")),COUNTIFS('Reservations'!$H$2:'Reservations'!$H247,$B$5,'Reservations'!$P$2:'Reservations'!$P247,"In House")+COUNTIFS('Reservations'!$H$2:'Reservations'!$H247,$B$5,'Reservations'!$P$2:'Reservations'!$P247,"Checked Out"),""),"")</f>
        <v/>
      </c>
    </row>
    <row r="248">
      <c r="V248">
        <f>IFERROR(IF(AND('Reservations'!$G248=$B$5,OR('Reservations'!$P248="Confirmed",'Reservations'!$P248="In House")),COUNTIFS('Reservations'!$G$2:'Reservations'!$G248,$B$5,'Reservations'!$P$2:'Reservations'!$P248,"Confirmed")+COUNTIFS('Reservations'!$G$2:'Reservations'!$G248,$B$5,'Reservations'!$P$2:'Reservations'!$P248,"In House"),""),"")</f>
        <v/>
      </c>
      <c r="W248">
        <f>IFERROR(IF(AND('Reservations'!$H248=$B$5,OR('Reservations'!$P248="In House",'Reservations'!$P248="Checked Out")),COUNTIFS('Reservations'!$H$2:'Reservations'!$H248,$B$5,'Reservations'!$P$2:'Reservations'!$P248,"In House")+COUNTIFS('Reservations'!$H$2:'Reservations'!$H248,$B$5,'Reservations'!$P$2:'Reservations'!$P248,"Checked Out"),""),"")</f>
        <v/>
      </c>
    </row>
    <row r="249">
      <c r="V249">
        <f>IFERROR(IF(AND('Reservations'!$G249=$B$5,OR('Reservations'!$P249="Confirmed",'Reservations'!$P249="In House")),COUNTIFS('Reservations'!$G$2:'Reservations'!$G249,$B$5,'Reservations'!$P$2:'Reservations'!$P249,"Confirmed")+COUNTIFS('Reservations'!$G$2:'Reservations'!$G249,$B$5,'Reservations'!$P$2:'Reservations'!$P249,"In House"),""),"")</f>
        <v/>
      </c>
      <c r="W249">
        <f>IFERROR(IF(AND('Reservations'!$H249=$B$5,OR('Reservations'!$P249="In House",'Reservations'!$P249="Checked Out")),COUNTIFS('Reservations'!$H$2:'Reservations'!$H249,$B$5,'Reservations'!$P$2:'Reservations'!$P249,"In House")+COUNTIFS('Reservations'!$H$2:'Reservations'!$H249,$B$5,'Reservations'!$P$2:'Reservations'!$P249,"Checked Out"),""),"")</f>
        <v/>
      </c>
    </row>
    <row r="250">
      <c r="V250">
        <f>IFERROR(IF(AND('Reservations'!$G250=$B$5,OR('Reservations'!$P250="Confirmed",'Reservations'!$P250="In House")),COUNTIFS('Reservations'!$G$2:'Reservations'!$G250,$B$5,'Reservations'!$P$2:'Reservations'!$P250,"Confirmed")+COUNTIFS('Reservations'!$G$2:'Reservations'!$G250,$B$5,'Reservations'!$P$2:'Reservations'!$P250,"In House"),""),"")</f>
        <v/>
      </c>
      <c r="W250">
        <f>IFERROR(IF(AND('Reservations'!$H250=$B$5,OR('Reservations'!$P250="In House",'Reservations'!$P250="Checked Out")),COUNTIFS('Reservations'!$H$2:'Reservations'!$H250,$B$5,'Reservations'!$P$2:'Reservations'!$P250,"In House")+COUNTIFS('Reservations'!$H$2:'Reservations'!$H250,$B$5,'Reservations'!$P$2:'Reservations'!$P250,"Checked Out"),""),"")</f>
        <v/>
      </c>
    </row>
    <row r="251">
      <c r="V251">
        <f>IFERROR(IF(AND('Reservations'!$G251=$B$5,OR('Reservations'!$P251="Confirmed",'Reservations'!$P251="In House")),COUNTIFS('Reservations'!$G$2:'Reservations'!$G251,$B$5,'Reservations'!$P$2:'Reservations'!$P251,"Confirmed")+COUNTIFS('Reservations'!$G$2:'Reservations'!$G251,$B$5,'Reservations'!$P$2:'Reservations'!$P251,"In House"),""),"")</f>
        <v/>
      </c>
      <c r="W251">
        <f>IFERROR(IF(AND('Reservations'!$H251=$B$5,OR('Reservations'!$P251="In House",'Reservations'!$P251="Checked Out")),COUNTIFS('Reservations'!$H$2:'Reservations'!$H251,$B$5,'Reservations'!$P$2:'Reservations'!$P251,"In House")+COUNTIFS('Reservations'!$H$2:'Reservations'!$H251,$B$5,'Reservations'!$P$2:'Reservations'!$P251,"Checked Out"),""),"")</f>
        <v/>
      </c>
    </row>
  </sheetData>
  <mergeCells count="2">
    <mergeCell ref="A3:L3"/>
    <mergeCell ref="A1:L2"/>
  </mergeCells>
  <conditionalFormatting sqref="H5">
    <cfRule type="expression" priority="1" dxfId="0">
      <formula>$H$5&lt;$E$5</formula>
    </cfRule>
  </conditionalFormatting>
  <conditionalFormatting sqref="B25">
    <cfRule type="cellIs" priority="2" operator="greaterThan" dxfId="0">
      <formula>0</formula>
    </cfRule>
  </conditionalFormatting>
  <conditionalFormatting sqref="E25">
    <cfRule type="cellIs" priority="3" operator="greaterThan" dxfId="0">
      <formula>0</formula>
    </cfRule>
  </conditionalFormatting>
  <conditionalFormatting sqref="H25">
    <cfRule type="cellIs" priority="4" operator="greaterThan" dxfId="0">
      <formula>0</formula>
    </cfRule>
  </conditionalFormatting>
  <conditionalFormatting sqref="B28">
    <cfRule type="cellIs" priority="5" operator="greaterThan" dxfId="0">
      <formula>0</formula>
    </cfRule>
  </conditionalFormatting>
  <conditionalFormatting sqref="H28">
    <cfRule type="cellIs" priority="6" operator="greaterThan" dxfId="0">
      <formula>0</formula>
    </cfRule>
  </conditionalFormatting>
  <conditionalFormatting sqref="E28">
    <cfRule type="expression" priority="7" dxfId="0">
      <formula>E28="Review"</formula>
    </cfRule>
    <cfRule type="expression" priority="8" dxfId="1">
      <formula>E28="Clear"</formula>
    </cfRule>
  </conditionalFormatting>
  <dataValidations count="1">
    <dataValidation sqref="B5 E5 H5" showDropDown="0" showInputMessage="0" showErrorMessage="0" allowBlank="0" type="date" operator="between">
      <formula1>DATE(2000,1,1)</formula1>
      <formula2>DATE(2100,12,31)</formula2>
    </dataValidation>
  </dataValidation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J251"/>
  <sheetViews>
    <sheetView zoomScale="70" zoomScaleNormal="70" workbookViewId="0">
      <pane xSplit="3" ySplit="1" topLeftCell="D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6" customWidth="1" min="1" max="1"/>
    <col width="20" customWidth="1" min="2" max="2"/>
    <col width="13" customWidth="1" min="3" max="3"/>
    <col width="22" customWidth="1" min="4" max="4"/>
    <col width="16" customWidth="1" min="5" max="5"/>
    <col width="28" customWidth="1" min="6" max="6"/>
    <col width="13" customWidth="1" min="7" max="7"/>
    <col width="13" customWidth="1" min="8" max="8"/>
    <col width="9" customWidth="1" min="9" max="9"/>
    <col width="9" customWidth="1" min="10" max="10"/>
    <col width="9" customWidth="1" min="11" max="11"/>
    <col width="9" customWidth="1" min="12" max="12"/>
    <col width="20" customWidth="1" min="13" max="13"/>
    <col width="22" customWidth="1" min="14" max="14"/>
    <col width="24" customWidth="1" min="15" max="15"/>
    <col width="20" customWidth="1" min="16" max="16"/>
    <col width="15" customWidth="1" min="17" max="17"/>
    <col width="14" customWidth="1" min="18" max="18"/>
    <col width="12" customWidth="1" min="19" max="19"/>
    <col width="13" customWidth="1" min="20" max="20"/>
    <col width="18" customWidth="1" min="21" max="21"/>
    <col width="24" customWidth="1" min="22" max="22"/>
    <col width="15" customWidth="1" min="23" max="23"/>
    <col width="15" customWidth="1" min="24" max="24"/>
    <col width="15" customWidth="1" min="25" max="25"/>
    <col width="20" customWidth="1" min="26" max="26"/>
    <col width="16" customWidth="1" min="27" max="27"/>
    <col width="17" customWidth="1" min="28" max="28"/>
    <col width="15" customWidth="1" min="29" max="29"/>
    <col width="15" customWidth="1" min="30" max="30"/>
    <col width="17" customWidth="1" min="31" max="31"/>
    <col width="20" customWidth="1" min="32" max="32"/>
    <col width="30" customWidth="1" min="33" max="33"/>
    <col width="18" customWidth="1" min="34" max="34"/>
    <col width="17" customWidth="1" min="35" max="35"/>
    <col width="34" customWidth="1" min="36" max="36"/>
  </cols>
  <sheetData>
    <row r="1">
      <c r="A1" s="24" t="inlineStr">
        <is>
          <t>Reservation ID</t>
        </is>
      </c>
      <c r="B1" s="24" t="inlineStr">
        <is>
          <t>External Reference</t>
        </is>
      </c>
      <c r="C1" s="24" t="inlineStr">
        <is>
          <t>Booking Date</t>
        </is>
      </c>
      <c r="D1" s="24" t="inlineStr">
        <is>
          <t>Guest Name</t>
        </is>
      </c>
      <c r="E1" s="24" t="inlineStr">
        <is>
          <t>Phone</t>
        </is>
      </c>
      <c r="F1" s="24" t="inlineStr">
        <is>
          <t>Email</t>
        </is>
      </c>
      <c r="G1" s="24" t="inlineStr">
        <is>
          <t>Arrival Date</t>
        </is>
      </c>
      <c r="H1" s="24" t="inlineStr">
        <is>
          <t>Departure Date</t>
        </is>
      </c>
      <c r="I1" s="24" t="inlineStr">
        <is>
          <t>Nights</t>
        </is>
      </c>
      <c r="J1" s="24" t="inlineStr">
        <is>
          <t>Rooms</t>
        </is>
      </c>
      <c r="K1" s="24" t="inlineStr">
        <is>
          <t>Adults</t>
        </is>
      </c>
      <c r="L1" s="24" t="inlineStr">
        <is>
          <t>Children</t>
        </is>
      </c>
      <c r="M1" s="24" t="inlineStr">
        <is>
          <t>Room Type</t>
        </is>
      </c>
      <c r="N1" s="24" t="inlineStr">
        <is>
          <t>Rate Plan</t>
        </is>
      </c>
      <c r="O1" s="24" t="inlineStr">
        <is>
          <t>Booking Source</t>
        </is>
      </c>
      <c r="P1" s="24" t="inlineStr">
        <is>
          <t>Reservation Status</t>
        </is>
      </c>
      <c r="Q1" s="24" t="inlineStr">
        <is>
          <t>Assigned Room</t>
        </is>
      </c>
      <c r="R1" s="24" t="inlineStr">
        <is>
          <t>Nightly Rate</t>
        </is>
      </c>
      <c r="S1" s="24" t="inlineStr">
        <is>
          <t>Discount %</t>
        </is>
      </c>
      <c r="T1" s="24" t="inlineStr">
        <is>
          <t>Extras</t>
        </is>
      </c>
      <c r="U1" s="24" t="inlineStr">
        <is>
          <t>Tax Rate Override</t>
        </is>
      </c>
      <c r="V1" s="24" t="inlineStr">
        <is>
          <t>Service Charge Rate Override</t>
        </is>
      </c>
      <c r="W1" s="24" t="inlineStr">
        <is>
          <t>Room Revenue</t>
        </is>
      </c>
      <c r="X1" s="24" t="inlineStr">
        <is>
          <t>Service Charge</t>
        </is>
      </c>
      <c r="Y1" s="24" t="inlineStr">
        <is>
          <t>Estimated Tax</t>
        </is>
      </c>
      <c r="Z1" s="24" t="inlineStr">
        <is>
          <t>Total Reservation Value</t>
        </is>
      </c>
      <c r="AA1" s="24" t="inlineStr">
        <is>
          <t>Deposit Override</t>
        </is>
      </c>
      <c r="AB1" s="24" t="inlineStr">
        <is>
          <t>Deposit Required</t>
        </is>
      </c>
      <c r="AC1" s="24" t="inlineStr">
        <is>
          <t>Deposit Paid</t>
        </is>
      </c>
      <c r="AD1" s="24" t="inlineStr">
        <is>
          <t>Balance Due</t>
        </is>
      </c>
      <c r="AE1" s="24" t="inlineStr">
        <is>
          <t>Payment Status</t>
        </is>
      </c>
      <c r="AF1" s="24" t="inlineStr">
        <is>
          <t>Cancellation Deadline</t>
        </is>
      </c>
      <c r="AG1" s="24" t="inlineStr">
        <is>
          <t>Special Requests</t>
        </is>
      </c>
      <c r="AH1" s="24" t="inlineStr">
        <is>
          <t>Reservation Owner</t>
        </is>
      </c>
      <c r="AI1" s="24" t="inlineStr">
        <is>
          <t>Last Guest Contact</t>
        </is>
      </c>
      <c r="AJ1" s="24" t="inlineStr">
        <is>
          <t>Operational Check</t>
        </is>
      </c>
    </row>
    <row r="2">
      <c r="A2" s="25" t="inlineStr">
        <is>
          <t>R-260901</t>
        </is>
      </c>
      <c r="B2" s="25" t="inlineStr"/>
      <c r="C2" s="50" t="n">
        <v>46252</v>
      </c>
      <c r="D2" s="25" t="inlineStr">
        <is>
          <t>Jordan Miller</t>
        </is>
      </c>
      <c r="E2" s="25" t="inlineStr">
        <is>
          <t>202-555-0101</t>
        </is>
      </c>
      <c r="F2" s="25" t="inlineStr">
        <is>
          <t>jordan.miller@example.com</t>
        </is>
      </c>
      <c r="G2" s="50" t="n">
        <v>46282</v>
      </c>
      <c r="H2" s="50" t="n">
        <v>46285</v>
      </c>
      <c r="I2" s="27">
        <f>IFERROR(IF(A2="","",MAX(0,H2-G2)),"")</f>
        <v/>
      </c>
      <c r="J2" s="28" t="n">
        <v>1</v>
      </c>
      <c r="K2" s="28" t="n">
        <v>2</v>
      </c>
      <c r="L2" s="28" t="n">
        <v>0</v>
      </c>
      <c r="M2" s="25" t="inlineStr">
        <is>
          <t>Standard King</t>
        </is>
      </c>
      <c r="N2" s="25" t="inlineStr">
        <is>
          <t>Best Available Rate</t>
        </is>
      </c>
      <c r="O2" s="25" t="inlineStr">
        <is>
          <t>Direct Website</t>
        </is>
      </c>
      <c r="P2" s="25" t="inlineStr">
        <is>
          <t>Confirmed</t>
        </is>
      </c>
      <c r="Q2" s="25" t="inlineStr">
        <is>
          <t>412</t>
        </is>
      </c>
      <c r="R2" s="51" t="n">
        <v>189</v>
      </c>
      <c r="S2" s="52" t="n">
        <v>0</v>
      </c>
      <c r="T2" s="51" t="n">
        <v>35</v>
      </c>
      <c r="U2" s="52" t="n"/>
      <c r="V2" s="52" t="n"/>
      <c r="W2" s="53">
        <f>IFERROR(IF(A2="","",ROUND(I2*J2*R2*(1-S2),2)),"")</f>
        <v/>
      </c>
      <c r="X2" s="53">
        <f>IFERROR(IF(A2="","",ROUND(W2*IF(V2="",'Setup &amp; Lists'!$B$7,V2),2)),"")</f>
        <v/>
      </c>
      <c r="Y2" s="53">
        <f>IFERROR(IF(A2="","",ROUND((W2+IF('Setup &amp; Lists'!$B$8="Yes",T2,0)+IF('Setup &amp; Lists'!$B$9="Yes",X2,0))*IF(U2="",'Setup &amp; Lists'!$B$6,U2),2)),"")</f>
        <v/>
      </c>
      <c r="Z2" s="53">
        <f>IFERROR(IF(A2="","",ROUND(W2+T2+X2+Y2,2)),"")</f>
        <v/>
      </c>
      <c r="AA2" s="51" t="n"/>
      <c r="AB2" s="53">
        <f>IFERROR(IF(A2="","",ROUND(IF(AA2&lt;&gt;"",AA2,Z2*'Setup &amp; Lists'!$B$10),2)),"")</f>
        <v/>
      </c>
      <c r="AC2" s="51" t="n">
        <v>175</v>
      </c>
      <c r="AD2" s="53">
        <f>IFERROR(IF(A2="","",MAX(0,ROUND(Z2-AC2,2))),"")</f>
        <v/>
      </c>
      <c r="AE2" s="32">
        <f>IFERROR(IF(A2="","",IF(AD2=0,"Paid",IF(AC2&gt;=AB2,"Deposit Met",IF(AC2&gt;0,"Partial Payment","Unpaid")))),"")</f>
        <v/>
      </c>
      <c r="AF2" s="54">
        <f>IFERROR(IF(OR(A2="",G2=""),"",G2-('Setup &amp; Lists'!$B$11/24)),"")</f>
        <v/>
      </c>
      <c r="AG2" s="25" t="inlineStr">
        <is>
          <t>High floor</t>
        </is>
      </c>
      <c r="AH2" s="25" t="inlineStr">
        <is>
          <t>Reservations</t>
        </is>
      </c>
      <c r="AI2" s="50" t="n">
        <v>46268</v>
      </c>
      <c r="AJ2" s="32">
        <f>IFERROR(IF(A2="","",IF(H2&lt;=G2,"Departure must be after arrival",IF(OR(J2="",J2&lt;1),"Rooms must be at least 1",IF(D2="","Guest name missing",IF(COUNTIF($A$2:$A$251,A2)&gt;1,"Duplicate reservation ID",IF(AND(P2="Confirmed",G2&gt;=TODAY(),G2&lt;=TODAY()+'Setup &amp; Lists'!$B$12,Q2=""),"Assign room for near-term arrival",IF(AND(G2&lt;TODAY(),P2="Confirmed"),"Past-due confirmed arrival",IF(AND(G2&gt;TODAY(),P2="Confirmed",AC2&lt;AB2),"Deposit shortfall",IF(AND(H2&lt;TODAY(),AD2&gt;0,P2&lt;&gt;"Cancelled"),"Balance remains after departure",IF(R2&lt;0,"Nightly rate is negative",IF(AC2&gt;Z2,"Deposit paid exceeds total value",""))))))))))),"")</f>
        <v/>
      </c>
    </row>
    <row r="3">
      <c r="A3" s="25" t="inlineStr">
        <is>
          <t>R-260902</t>
        </is>
      </c>
      <c r="B3" s="25" t="inlineStr"/>
      <c r="C3" s="50" t="n">
        <v>46262</v>
      </c>
      <c r="D3" s="25" t="inlineStr">
        <is>
          <t>Casey Brooks</t>
        </is>
      </c>
      <c r="E3" s="25" t="inlineStr">
        <is>
          <t>202-555-0102</t>
        </is>
      </c>
      <c r="F3" s="25" t="inlineStr">
        <is>
          <t>casey.brooks@example.com</t>
        </is>
      </c>
      <c r="G3" s="50" t="n">
        <v>46271</v>
      </c>
      <c r="H3" s="50" t="n">
        <v>46273</v>
      </c>
      <c r="I3" s="27">
        <f>IFERROR(IF(A3="","",MAX(0,H3-G3)),"")</f>
        <v/>
      </c>
      <c r="J3" s="28" t="n">
        <v>1</v>
      </c>
      <c r="K3" s="28" t="n">
        <v>1</v>
      </c>
      <c r="L3" s="28" t="n">
        <v>0</v>
      </c>
      <c r="M3" s="25" t="inlineStr">
        <is>
          <t>Deluxe King</t>
        </is>
      </c>
      <c r="N3" s="25" t="inlineStr">
        <is>
          <t>AAA</t>
        </is>
      </c>
      <c r="O3" s="25" t="inlineStr">
        <is>
          <t>Phone</t>
        </is>
      </c>
      <c r="P3" s="25" t="inlineStr">
        <is>
          <t>Confirmed</t>
        </is>
      </c>
      <c r="Q3" s="25" t="inlineStr"/>
      <c r="R3" s="51" t="n">
        <v>205</v>
      </c>
      <c r="S3" s="52" t="n">
        <v>0.1</v>
      </c>
      <c r="T3" s="51" t="n">
        <v>0</v>
      </c>
      <c r="U3" s="52" t="n"/>
      <c r="V3" s="52" t="n"/>
      <c r="W3" s="53">
        <f>IFERROR(IF(A3="","",ROUND(I3*J3*R3*(1-S3),2)),"")</f>
        <v/>
      </c>
      <c r="X3" s="53">
        <f>IFERROR(IF(A3="","",ROUND(W3*IF(V3="",'Setup &amp; Lists'!$B$7,V3),2)),"")</f>
        <v/>
      </c>
      <c r="Y3" s="53">
        <f>IFERROR(IF(A3="","",ROUND((W3+IF('Setup &amp; Lists'!$B$8="Yes",T3,0)+IF('Setup &amp; Lists'!$B$9="Yes",X3,0))*IF(U3="",'Setup &amp; Lists'!$B$6,U3),2)),"")</f>
        <v/>
      </c>
      <c r="Z3" s="53">
        <f>IFERROR(IF(A3="","",ROUND(W3+T3+X3+Y3,2)),"")</f>
        <v/>
      </c>
      <c r="AA3" s="51" t="n"/>
      <c r="AB3" s="53">
        <f>IFERROR(IF(A3="","",ROUND(IF(AA3&lt;&gt;"",AA3,Z3*'Setup &amp; Lists'!$B$10),2)),"")</f>
        <v/>
      </c>
      <c r="AC3" s="51" t="n">
        <v>0</v>
      </c>
      <c r="AD3" s="53">
        <f>IFERROR(IF(A3="","",MAX(0,ROUND(Z3-AC3,2))),"")</f>
        <v/>
      </c>
      <c r="AE3" s="32">
        <f>IFERROR(IF(A3="","",IF(AD3=0,"Paid",IF(AC3&gt;=AB3,"Deposit Met",IF(AC3&gt;0,"Partial Payment","Unpaid")))),"")</f>
        <v/>
      </c>
      <c r="AF3" s="54">
        <f>IFERROR(IF(OR(A3="",G3=""),"",G3-('Setup &amp; Lists'!$B$11/24)),"")</f>
        <v/>
      </c>
      <c r="AG3" s="25" t="inlineStr">
        <is>
          <t>Late arrival</t>
        </is>
      </c>
      <c r="AH3" s="25" t="inlineStr">
        <is>
          <t>Front Desk</t>
        </is>
      </c>
      <c r="AI3" s="50" t="n">
        <v>46269</v>
      </c>
      <c r="AJ3" s="32">
        <f>IFERROR(IF(A3="","",IF(H3&lt;=G3,"Departure must be after arrival",IF(OR(J3="",J3&lt;1),"Rooms must be at least 1",IF(D3="","Guest name missing",IF(COUNTIF($A$2:$A$251,A3)&gt;1,"Duplicate reservation ID",IF(AND(P3="Confirmed",G3&gt;=TODAY(),G3&lt;=TODAY()+'Setup &amp; Lists'!$B$12,Q3=""),"Assign room for near-term arrival",IF(AND(G3&lt;TODAY(),P3="Confirmed"),"Past-due confirmed arrival",IF(AND(G3&gt;TODAY(),P3="Confirmed",AC3&lt;AB3),"Deposit shortfall",IF(AND(H3&lt;TODAY(),AD3&gt;0,P3&lt;&gt;"Cancelled"),"Balance remains after departure",IF(R3&lt;0,"Nightly rate is negative",IF(AC3&gt;Z3,"Deposit paid exceeds total value",""))))))))))),"")</f>
        <v/>
      </c>
    </row>
    <row r="4">
      <c r="A4" s="25" t="inlineStr">
        <is>
          <t>R-260903</t>
        </is>
      </c>
      <c r="B4" s="25" t="inlineStr"/>
      <c r="C4" s="50" t="n">
        <v>46250</v>
      </c>
      <c r="D4" s="25" t="inlineStr">
        <is>
          <t>Taylor Nguyen</t>
        </is>
      </c>
      <c r="E4" s="25" t="inlineStr">
        <is>
          <t>202-555-0103</t>
        </is>
      </c>
      <c r="F4" s="25" t="inlineStr">
        <is>
          <t>taylor.nguyen@example.com</t>
        </is>
      </c>
      <c r="G4" s="50" t="n">
        <v>46269</v>
      </c>
      <c r="H4" s="50" t="n">
        <v>46272</v>
      </c>
      <c r="I4" s="27">
        <f>IFERROR(IF(A4="","",MAX(0,H4-G4)),"")</f>
        <v/>
      </c>
      <c r="J4" s="28" t="n">
        <v>1</v>
      </c>
      <c r="K4" s="28" t="n">
        <v>2</v>
      </c>
      <c r="L4" s="28" t="n">
        <v>2</v>
      </c>
      <c r="M4" s="25" t="inlineStr">
        <is>
          <t>Double Queen</t>
        </is>
      </c>
      <c r="N4" s="25" t="inlineStr">
        <is>
          <t>Package</t>
        </is>
      </c>
      <c r="O4" s="25" t="inlineStr">
        <is>
          <t>Walk-In</t>
        </is>
      </c>
      <c r="P4" s="25" t="inlineStr">
        <is>
          <t>In House</t>
        </is>
      </c>
      <c r="Q4" s="25" t="inlineStr">
        <is>
          <t>218</t>
        </is>
      </c>
      <c r="R4" s="51" t="n">
        <v>229</v>
      </c>
      <c r="S4" s="52" t="n">
        <v>0</v>
      </c>
      <c r="T4" s="51" t="n">
        <v>45</v>
      </c>
      <c r="U4" s="52" t="n"/>
      <c r="V4" s="52" t="n"/>
      <c r="W4" s="53">
        <f>IFERROR(IF(A4="","",ROUND(I4*J4*R4*(1-S4),2)),"")</f>
        <v/>
      </c>
      <c r="X4" s="53">
        <f>IFERROR(IF(A4="","",ROUND(W4*IF(V4="",'Setup &amp; Lists'!$B$7,V4),2)),"")</f>
        <v/>
      </c>
      <c r="Y4" s="53">
        <f>IFERROR(IF(A4="","",ROUND((W4+IF('Setup &amp; Lists'!$B$8="Yes",T4,0)+IF('Setup &amp; Lists'!$B$9="Yes",X4,0))*IF(U4="",'Setup &amp; Lists'!$B$6,U4),2)),"")</f>
        <v/>
      </c>
      <c r="Z4" s="53">
        <f>IFERROR(IF(A4="","",ROUND(W4+T4+X4+Y4,2)),"")</f>
        <v/>
      </c>
      <c r="AA4" s="51" t="n"/>
      <c r="AB4" s="53">
        <f>IFERROR(IF(A4="","",ROUND(IF(AA4&lt;&gt;"",AA4,Z4*'Setup &amp; Lists'!$B$10),2)),"")</f>
        <v/>
      </c>
      <c r="AC4" s="51" t="n">
        <v>300</v>
      </c>
      <c r="AD4" s="53">
        <f>IFERROR(IF(A4="","",MAX(0,ROUND(Z4-AC4,2))),"")</f>
        <v/>
      </c>
      <c r="AE4" s="32">
        <f>IFERROR(IF(A4="","",IF(AD4=0,"Paid",IF(AC4&gt;=AB4,"Deposit Met",IF(AC4&gt;0,"Partial Payment","Unpaid")))),"")</f>
        <v/>
      </c>
      <c r="AF4" s="54">
        <f>IFERROR(IF(OR(A4="",G4=""),"",G4-('Setup &amp; Lists'!$B$11/24)),"")</f>
        <v/>
      </c>
      <c r="AG4" s="25" t="inlineStr">
        <is>
          <t>Crib requested</t>
        </is>
      </c>
      <c r="AH4" s="25" t="inlineStr">
        <is>
          <t>Front Desk</t>
        </is>
      </c>
      <c r="AI4" s="50" t="n">
        <v>46270</v>
      </c>
      <c r="AJ4" s="32">
        <f>IFERROR(IF(A4="","",IF(H4&lt;=G4,"Departure must be after arrival",IF(OR(J4="",J4&lt;1),"Rooms must be at least 1",IF(D4="","Guest name missing",IF(COUNTIF($A$2:$A$251,A4)&gt;1,"Duplicate reservation ID",IF(AND(P4="Confirmed",G4&gt;=TODAY(),G4&lt;=TODAY()+'Setup &amp; Lists'!$B$12,Q4=""),"Assign room for near-term arrival",IF(AND(G4&lt;TODAY(),P4="Confirmed"),"Past-due confirmed arrival",IF(AND(G4&gt;TODAY(),P4="Confirmed",AC4&lt;AB4),"Deposit shortfall",IF(AND(H4&lt;TODAY(),AD4&gt;0,P4&lt;&gt;"Cancelled"),"Balance remains after departure",IF(R4&lt;0,"Nightly rate is negative",IF(AC4&gt;Z4,"Deposit paid exceeds total value",""))))))))))),"")</f>
        <v/>
      </c>
    </row>
    <row r="5">
      <c r="A5" s="25" t="inlineStr">
        <is>
          <t>R-260904</t>
        </is>
      </c>
      <c r="B5" s="25" t="inlineStr"/>
      <c r="C5" s="50" t="n">
        <v>46240</v>
      </c>
      <c r="D5" s="25" t="inlineStr">
        <is>
          <t>Morgan Davis</t>
        </is>
      </c>
      <c r="E5" s="25" t="inlineStr">
        <is>
          <t>202-555-0104</t>
        </is>
      </c>
      <c r="F5" s="25" t="inlineStr">
        <is>
          <t>morgan.davis@example.com</t>
        </is>
      </c>
      <c r="G5" s="50" t="n">
        <v>46260</v>
      </c>
      <c r="H5" s="50" t="n">
        <v>46263</v>
      </c>
      <c r="I5" s="27">
        <f>IFERROR(IF(A5="","",MAX(0,H5-G5)),"")</f>
        <v/>
      </c>
      <c r="J5" s="28" t="n">
        <v>1</v>
      </c>
      <c r="K5" s="28" t="n">
        <v>1</v>
      </c>
      <c r="L5" s="28" t="n">
        <v>0</v>
      </c>
      <c r="M5" s="25" t="inlineStr">
        <is>
          <t>Accessible King</t>
        </is>
      </c>
      <c r="N5" s="25" t="inlineStr">
        <is>
          <t>Senior</t>
        </is>
      </c>
      <c r="O5" s="25" t="inlineStr">
        <is>
          <t>Direct Website</t>
        </is>
      </c>
      <c r="P5" s="25" t="inlineStr">
        <is>
          <t>Checked Out</t>
        </is>
      </c>
      <c r="Q5" s="25" t="inlineStr">
        <is>
          <t>105</t>
        </is>
      </c>
      <c r="R5" s="51" t="n">
        <v>169</v>
      </c>
      <c r="S5" s="52" t="n">
        <v>0</v>
      </c>
      <c r="T5" s="51" t="n">
        <v>20</v>
      </c>
      <c r="U5" s="52" t="n"/>
      <c r="V5" s="52" t="n"/>
      <c r="W5" s="53">
        <f>IFERROR(IF(A5="","",ROUND(I5*J5*R5*(1-S5),2)),"")</f>
        <v/>
      </c>
      <c r="X5" s="53">
        <f>IFERROR(IF(A5="","",ROUND(W5*IF(V5="",'Setup &amp; Lists'!$B$7,V5),2)),"")</f>
        <v/>
      </c>
      <c r="Y5" s="53">
        <f>IFERROR(IF(A5="","",ROUND((W5+IF('Setup &amp; Lists'!$B$8="Yes",T5,0)+IF('Setup &amp; Lists'!$B$9="Yes",X5,0))*IF(U5="",'Setup &amp; Lists'!$B$6,U5),2)),"")</f>
        <v/>
      </c>
      <c r="Z5" s="53">
        <f>IFERROR(IF(A5="","",ROUND(W5+T5+X5+Y5,2)),"")</f>
        <v/>
      </c>
      <c r="AA5" s="51" t="n"/>
      <c r="AB5" s="53">
        <f>IFERROR(IF(A5="","",ROUND(IF(AA5&lt;&gt;"",AA5,Z5*'Setup &amp; Lists'!$B$10),2)),"")</f>
        <v/>
      </c>
      <c r="AC5" s="51" t="n">
        <v>1000</v>
      </c>
      <c r="AD5" s="53">
        <f>IFERROR(IF(A5="","",MAX(0,ROUND(Z5-AC5,2))),"")</f>
        <v/>
      </c>
      <c r="AE5" s="32">
        <f>IFERROR(IF(A5="","",IF(AD5=0,"Paid",IF(AC5&gt;=AB5,"Deposit Met",IF(AC5&gt;0,"Partial Payment","Unpaid")))),"")</f>
        <v/>
      </c>
      <c r="AF5" s="54">
        <f>IFERROR(IF(OR(A5="",G5=""),"",G5-('Setup &amp; Lists'!$B$11/24)),"")</f>
        <v/>
      </c>
      <c r="AG5" s="25" t="inlineStr">
        <is>
          <t>Accessible shower</t>
        </is>
      </c>
      <c r="AH5" s="25" t="inlineStr">
        <is>
          <t>Front Desk</t>
        </is>
      </c>
      <c r="AI5" s="50" t="n">
        <v>46263</v>
      </c>
      <c r="AJ5" s="32">
        <f>IFERROR(IF(A5="","",IF(H5&lt;=G5,"Departure must be after arrival",IF(OR(J5="",J5&lt;1),"Rooms must be at least 1",IF(D5="","Guest name missing",IF(COUNTIF($A$2:$A$251,A5)&gt;1,"Duplicate reservation ID",IF(AND(P5="Confirmed",G5&gt;=TODAY(),G5&lt;=TODAY()+'Setup &amp; Lists'!$B$12,Q5=""),"Assign room for near-term arrival",IF(AND(G5&lt;TODAY(),P5="Confirmed"),"Past-due confirmed arrival",IF(AND(G5&gt;TODAY(),P5="Confirmed",AC5&lt;AB5),"Deposit shortfall",IF(AND(H5&lt;TODAY(),AD5&gt;0,P5&lt;&gt;"Cancelled"),"Balance remains after departure",IF(R5&lt;0,"Nightly rate is negative",IF(AC5&gt;Z5,"Deposit paid exceeds total value",""))))))))))),"")</f>
        <v/>
      </c>
    </row>
    <row r="6">
      <c r="A6" s="25" t="inlineStr">
        <is>
          <t>R-260905</t>
        </is>
      </c>
      <c r="B6" s="25" t="inlineStr"/>
      <c r="C6" s="50" t="n">
        <v>46248</v>
      </c>
      <c r="D6" s="25" t="inlineStr">
        <is>
          <t>Avery Wilson</t>
        </is>
      </c>
      <c r="E6" s="25" t="inlineStr">
        <is>
          <t>202-555-0105</t>
        </is>
      </c>
      <c r="F6" s="25" t="inlineStr">
        <is>
          <t>avery.wilson@example.com</t>
        </is>
      </c>
      <c r="G6" s="50" t="n">
        <v>46290</v>
      </c>
      <c r="H6" s="50" t="n">
        <v>46292</v>
      </c>
      <c r="I6" s="27">
        <f>IFERROR(IF(A6="","",MAX(0,H6-G6)),"")</f>
        <v/>
      </c>
      <c r="J6" s="28" t="n">
        <v>1</v>
      </c>
      <c r="K6" s="28" t="n">
        <v>2</v>
      </c>
      <c r="L6" s="28" t="n">
        <v>0</v>
      </c>
      <c r="M6" s="25" t="inlineStr">
        <is>
          <t>Standard King</t>
        </is>
      </c>
      <c r="N6" s="25" t="inlineStr">
        <is>
          <t>Advance Purchase</t>
        </is>
      </c>
      <c r="O6" s="25" t="inlineStr">
        <is>
          <t>Email</t>
        </is>
      </c>
      <c r="P6" s="25" t="inlineStr">
        <is>
          <t>Cancelled</t>
        </is>
      </c>
      <c r="Q6" s="25" t="inlineStr"/>
      <c r="R6" s="51" t="n">
        <v>179</v>
      </c>
      <c r="S6" s="52" t="n">
        <v>0.05</v>
      </c>
      <c r="T6" s="51" t="n">
        <v>0</v>
      </c>
      <c r="U6" s="52" t="n"/>
      <c r="V6" s="52" t="n"/>
      <c r="W6" s="53">
        <f>IFERROR(IF(A6="","",ROUND(I6*J6*R6*(1-S6),2)),"")</f>
        <v/>
      </c>
      <c r="X6" s="53">
        <f>IFERROR(IF(A6="","",ROUND(W6*IF(V6="",'Setup &amp; Lists'!$B$7,V6),2)),"")</f>
        <v/>
      </c>
      <c r="Y6" s="53">
        <f>IFERROR(IF(A6="","",ROUND((W6+IF('Setup &amp; Lists'!$B$8="Yes",T6,0)+IF('Setup &amp; Lists'!$B$9="Yes",X6,0))*IF(U6="",'Setup &amp; Lists'!$B$6,U6),2)),"")</f>
        <v/>
      </c>
      <c r="Z6" s="53">
        <f>IFERROR(IF(A6="","",ROUND(W6+T6+X6+Y6,2)),"")</f>
        <v/>
      </c>
      <c r="AA6" s="51" t="n"/>
      <c r="AB6" s="53">
        <f>IFERROR(IF(A6="","",ROUND(IF(AA6&lt;&gt;"",AA6,Z6*'Setup &amp; Lists'!$B$10),2)),"")</f>
        <v/>
      </c>
      <c r="AC6" s="51" t="n">
        <v>0</v>
      </c>
      <c r="AD6" s="53">
        <f>IFERROR(IF(A6="","",MAX(0,ROUND(Z6-AC6,2))),"")</f>
        <v/>
      </c>
      <c r="AE6" s="32">
        <f>IFERROR(IF(A6="","",IF(AD6=0,"Paid",IF(AC6&gt;=AB6,"Deposit Met",IF(AC6&gt;0,"Partial Payment","Unpaid")))),"")</f>
        <v/>
      </c>
      <c r="AF6" s="54">
        <f>IFERROR(IF(OR(A6="",G6=""),"",G6-('Setup &amp; Lists'!$B$11/24)),"")</f>
        <v/>
      </c>
      <c r="AG6" s="25" t="inlineStr"/>
      <c r="AH6" s="25" t="inlineStr">
        <is>
          <t>Reservations</t>
        </is>
      </c>
      <c r="AI6" s="50" t="n">
        <v>46267</v>
      </c>
      <c r="AJ6" s="32">
        <f>IFERROR(IF(A6="","",IF(H6&lt;=G6,"Departure must be after arrival",IF(OR(J6="",J6&lt;1),"Rooms must be at least 1",IF(D6="","Guest name missing",IF(COUNTIF($A$2:$A$251,A6)&gt;1,"Duplicate reservation ID",IF(AND(P6="Confirmed",G6&gt;=TODAY(),G6&lt;=TODAY()+'Setup &amp; Lists'!$B$12,Q6=""),"Assign room for near-term arrival",IF(AND(G6&lt;TODAY(),P6="Confirmed"),"Past-due confirmed arrival",IF(AND(G6&gt;TODAY(),P6="Confirmed",AC6&lt;AB6),"Deposit shortfall",IF(AND(H6&lt;TODAY(),AD6&gt;0,P6&lt;&gt;"Cancelled"),"Balance remains after departure",IF(R6&lt;0,"Nightly rate is negative",IF(AC6&gt;Z6,"Deposit paid exceeds total value",""))))))))))),"")</f>
        <v/>
      </c>
    </row>
    <row r="7">
      <c r="A7" s="25" t="inlineStr">
        <is>
          <t>R-260906</t>
        </is>
      </c>
      <c r="B7" s="25" t="inlineStr">
        <is>
          <t>EXP-662104</t>
        </is>
      </c>
      <c r="C7" s="50" t="n">
        <v>46245</v>
      </c>
      <c r="D7" s="25" t="inlineStr">
        <is>
          <t>Riley Thompson</t>
        </is>
      </c>
      <c r="E7" s="25" t="inlineStr">
        <is>
          <t>202-555-0106</t>
        </is>
      </c>
      <c r="F7" s="25" t="inlineStr">
        <is>
          <t>riley.thompson@example.com</t>
        </is>
      </c>
      <c r="G7" s="50" t="n">
        <v>46266</v>
      </c>
      <c r="H7" s="50" t="n">
        <v>46268</v>
      </c>
      <c r="I7" s="27">
        <f>IFERROR(IF(A7="","",MAX(0,H7-G7)),"")</f>
        <v/>
      </c>
      <c r="J7" s="28" t="n">
        <v>1</v>
      </c>
      <c r="K7" s="28" t="n">
        <v>2</v>
      </c>
      <c r="L7" s="28" t="n">
        <v>0</v>
      </c>
      <c r="M7" s="25" t="inlineStr">
        <is>
          <t>Double Queen</t>
        </is>
      </c>
      <c r="N7" s="25" t="inlineStr">
        <is>
          <t>Best Available Rate</t>
        </is>
      </c>
      <c r="O7" s="25" t="inlineStr">
        <is>
          <t>Expedia</t>
        </is>
      </c>
      <c r="P7" s="25" t="inlineStr">
        <is>
          <t>No Show</t>
        </is>
      </c>
      <c r="Q7" s="25" t="inlineStr"/>
      <c r="R7" s="51" t="n">
        <v>198</v>
      </c>
      <c r="S7" s="52" t="n">
        <v>0</v>
      </c>
      <c r="T7" s="51" t="n">
        <v>0</v>
      </c>
      <c r="U7" s="52" t="n"/>
      <c r="V7" s="52" t="n"/>
      <c r="W7" s="53">
        <f>IFERROR(IF(A7="","",ROUND(I7*J7*R7*(1-S7),2)),"")</f>
        <v/>
      </c>
      <c r="X7" s="53">
        <f>IFERROR(IF(A7="","",ROUND(W7*IF(V7="",'Setup &amp; Lists'!$B$7,V7),2)),"")</f>
        <v/>
      </c>
      <c r="Y7" s="53">
        <f>IFERROR(IF(A7="","",ROUND((W7+IF('Setup &amp; Lists'!$B$8="Yes",T7,0)+IF('Setup &amp; Lists'!$B$9="Yes",X7,0))*IF(U7="",'Setup &amp; Lists'!$B$6,U7),2)),"")</f>
        <v/>
      </c>
      <c r="Z7" s="53">
        <f>IFERROR(IF(A7="","",ROUND(W7+T7+X7+Y7,2)),"")</f>
        <v/>
      </c>
      <c r="AA7" s="51" t="n"/>
      <c r="AB7" s="53">
        <f>IFERROR(IF(A7="","",ROUND(IF(AA7&lt;&gt;"",AA7,Z7*'Setup &amp; Lists'!$B$10),2)),"")</f>
        <v/>
      </c>
      <c r="AC7" s="51" t="n">
        <v>0</v>
      </c>
      <c r="AD7" s="53">
        <f>IFERROR(IF(A7="","",MAX(0,ROUND(Z7-AC7,2))),"")</f>
        <v/>
      </c>
      <c r="AE7" s="32">
        <f>IFERROR(IF(A7="","",IF(AD7=0,"Paid",IF(AC7&gt;=AB7,"Deposit Met",IF(AC7&gt;0,"Partial Payment","Unpaid")))),"")</f>
        <v/>
      </c>
      <c r="AF7" s="54">
        <f>IFERROR(IF(OR(A7="",G7=""),"",G7-('Setup &amp; Lists'!$B$11/24)),"")</f>
        <v/>
      </c>
      <c r="AG7" s="25" t="inlineStr"/>
      <c r="AH7" s="25" t="inlineStr">
        <is>
          <t>Reservations</t>
        </is>
      </c>
      <c r="AI7" s="50" t="n">
        <v>46266</v>
      </c>
      <c r="AJ7" s="32">
        <f>IFERROR(IF(A7="","",IF(H7&lt;=G7,"Departure must be after arrival",IF(OR(J7="",J7&lt;1),"Rooms must be at least 1",IF(D7="","Guest name missing",IF(COUNTIF($A$2:$A$251,A7)&gt;1,"Duplicate reservation ID",IF(AND(P7="Confirmed",G7&gt;=TODAY(),G7&lt;=TODAY()+'Setup &amp; Lists'!$B$12,Q7=""),"Assign room for near-term arrival",IF(AND(G7&lt;TODAY(),P7="Confirmed"),"Past-due confirmed arrival",IF(AND(G7&gt;TODAY(),P7="Confirmed",AC7&lt;AB7),"Deposit shortfall",IF(AND(H7&lt;TODAY(),AD7&gt;0,P7&lt;&gt;"Cancelled"),"Balance remains after departure",IF(R7&lt;0,"Nightly rate is negative",IF(AC7&gt;Z7,"Deposit paid exceeds total value",""))))))))))),"")</f>
        <v/>
      </c>
    </row>
    <row r="8">
      <c r="A8" s="25" t="inlineStr">
        <is>
          <t>R-260907</t>
        </is>
      </c>
      <c r="B8" s="25" t="inlineStr"/>
      <c r="C8" s="50" t="n">
        <v>46266</v>
      </c>
      <c r="D8" s="25" t="inlineStr">
        <is>
          <t>Cameron Reed</t>
        </is>
      </c>
      <c r="E8" s="25" t="inlineStr">
        <is>
          <t>202-555-0107</t>
        </is>
      </c>
      <c r="F8" s="25" t="inlineStr">
        <is>
          <t>cameron.reed@example.com</t>
        </is>
      </c>
      <c r="G8" s="50" t="n">
        <v>46300</v>
      </c>
      <c r="H8" s="50" t="n">
        <v>46304</v>
      </c>
      <c r="I8" s="27">
        <f>IFERROR(IF(A8="","",MAX(0,H8-G8)),"")</f>
        <v/>
      </c>
      <c r="J8" s="28" t="n">
        <v>1</v>
      </c>
      <c r="K8" s="28" t="n">
        <v>2</v>
      </c>
      <c r="L8" s="28" t="n">
        <v>1</v>
      </c>
      <c r="M8" s="25" t="inlineStr">
        <is>
          <t>Junior Suite</t>
        </is>
      </c>
      <c r="N8" s="25" t="inlineStr">
        <is>
          <t>Best Available Rate</t>
        </is>
      </c>
      <c r="O8" s="25" t="inlineStr">
        <is>
          <t>Direct Website</t>
        </is>
      </c>
      <c r="P8" s="25" t="inlineStr">
        <is>
          <t>Confirmed</t>
        </is>
      </c>
      <c r="Q8" s="25" t="inlineStr">
        <is>
          <t>501</t>
        </is>
      </c>
      <c r="R8" s="51" t="n">
        <v>329</v>
      </c>
      <c r="S8" s="52" t="n">
        <v>0</v>
      </c>
      <c r="T8" s="51" t="n">
        <v>75</v>
      </c>
      <c r="U8" s="52" t="n"/>
      <c r="V8" s="52" t="n"/>
      <c r="W8" s="53">
        <f>IFERROR(IF(A8="","",ROUND(I8*J8*R8*(1-S8),2)),"")</f>
        <v/>
      </c>
      <c r="X8" s="53">
        <f>IFERROR(IF(A8="","",ROUND(W8*IF(V8="",'Setup &amp; Lists'!$B$7,V8),2)),"")</f>
        <v/>
      </c>
      <c r="Y8" s="53">
        <f>IFERROR(IF(A8="","",ROUND((W8+IF('Setup &amp; Lists'!$B$8="Yes",T8,0)+IF('Setup &amp; Lists'!$B$9="Yes",X8,0))*IF(U8="",'Setup &amp; Lists'!$B$6,U8),2)),"")</f>
        <v/>
      </c>
      <c r="Z8" s="53">
        <f>IFERROR(IF(A8="","",ROUND(W8+T8+X8+Y8,2)),"")</f>
        <v/>
      </c>
      <c r="AA8" s="51" t="n"/>
      <c r="AB8" s="53">
        <f>IFERROR(IF(A8="","",ROUND(IF(AA8&lt;&gt;"",AA8,Z8*'Setup &amp; Lists'!$B$10),2)),"")</f>
        <v/>
      </c>
      <c r="AC8" s="51" t="n">
        <v>0</v>
      </c>
      <c r="AD8" s="53">
        <f>IFERROR(IF(A8="","",MAX(0,ROUND(Z8-AC8,2))),"")</f>
        <v/>
      </c>
      <c r="AE8" s="32">
        <f>IFERROR(IF(A8="","",IF(AD8=0,"Paid",IF(AC8&gt;=AB8,"Deposit Met",IF(AC8&gt;0,"Partial Payment","Unpaid")))),"")</f>
        <v/>
      </c>
      <c r="AF8" s="54">
        <f>IFERROR(IF(OR(A8="",G8=""),"",G8-('Setup &amp; Lists'!$B$11/24)),"")</f>
        <v/>
      </c>
      <c r="AG8" s="25" t="inlineStr">
        <is>
          <t>Anniversary amenity</t>
        </is>
      </c>
      <c r="AH8" s="25" t="inlineStr">
        <is>
          <t>Revenue Manager</t>
        </is>
      </c>
      <c r="AI8" s="50" t="n">
        <v>46269</v>
      </c>
      <c r="AJ8" s="32">
        <f>IFERROR(IF(A8="","",IF(H8&lt;=G8,"Departure must be after arrival",IF(OR(J8="",J8&lt;1),"Rooms must be at least 1",IF(D8="","Guest name missing",IF(COUNTIF($A$2:$A$251,A8)&gt;1,"Duplicate reservation ID",IF(AND(P8="Confirmed",G8&gt;=TODAY(),G8&lt;=TODAY()+'Setup &amp; Lists'!$B$12,Q8=""),"Assign room for near-term arrival",IF(AND(G8&lt;TODAY(),P8="Confirmed"),"Past-due confirmed arrival",IF(AND(G8&gt;TODAY(),P8="Confirmed",AC8&lt;AB8),"Deposit shortfall",IF(AND(H8&lt;TODAY(),AD8&gt;0,P8&lt;&gt;"Cancelled"),"Balance remains after departure",IF(R8&lt;0,"Nightly rate is negative",IF(AC8&gt;Z8,"Deposit paid exceeds total value",""))))))))))),"")</f>
        <v/>
      </c>
    </row>
    <row r="9">
      <c r="A9" s="25" t="inlineStr">
        <is>
          <t>R-260908</t>
        </is>
      </c>
      <c r="B9" s="25" t="inlineStr">
        <is>
          <t>ACME-TRV-8842</t>
        </is>
      </c>
      <c r="C9" s="50" t="n">
        <v>46254</v>
      </c>
      <c r="D9" s="25" t="inlineStr">
        <is>
          <t>Parker Lewis</t>
        </is>
      </c>
      <c r="E9" s="25" t="inlineStr">
        <is>
          <t>202-555-0108</t>
        </is>
      </c>
      <c r="F9" s="25" t="inlineStr">
        <is>
          <t>parker.lewis@example.com</t>
        </is>
      </c>
      <c r="G9" s="50" t="n">
        <v>46277</v>
      </c>
      <c r="H9" s="50" t="n">
        <v>46280</v>
      </c>
      <c r="I9" s="27">
        <f>IFERROR(IF(A9="","",MAX(0,H9-G9)),"")</f>
        <v/>
      </c>
      <c r="J9" s="28" t="n">
        <v>1</v>
      </c>
      <c r="K9" s="28" t="n">
        <v>1</v>
      </c>
      <c r="L9" s="28" t="n">
        <v>0</v>
      </c>
      <c r="M9" s="25" t="inlineStr">
        <is>
          <t>Deluxe King</t>
        </is>
      </c>
      <c r="N9" s="25" t="inlineStr">
        <is>
          <t>Corporate</t>
        </is>
      </c>
      <c r="O9" s="25" t="inlineStr">
        <is>
          <t>Corporate</t>
        </is>
      </c>
      <c r="P9" s="25" t="inlineStr">
        <is>
          <t>Confirmed</t>
        </is>
      </c>
      <c r="Q9" s="25" t="inlineStr">
        <is>
          <t>315</t>
        </is>
      </c>
      <c r="R9" s="51" t="n">
        <v>175</v>
      </c>
      <c r="S9" s="52" t="n">
        <v>0</v>
      </c>
      <c r="T9" s="51" t="n">
        <v>15</v>
      </c>
      <c r="U9" s="52" t="n"/>
      <c r="V9" s="52" t="n"/>
      <c r="W9" s="53">
        <f>IFERROR(IF(A9="","",ROUND(I9*J9*R9*(1-S9),2)),"")</f>
        <v/>
      </c>
      <c r="X9" s="53">
        <f>IFERROR(IF(A9="","",ROUND(W9*IF(V9="",'Setup &amp; Lists'!$B$7,V9),2)),"")</f>
        <v/>
      </c>
      <c r="Y9" s="53">
        <f>IFERROR(IF(A9="","",ROUND((W9+IF('Setup &amp; Lists'!$B$8="Yes",T9,0)+IF('Setup &amp; Lists'!$B$9="Yes",X9,0))*IF(U9="",'Setup &amp; Lists'!$B$6,U9),2)),"")</f>
        <v/>
      </c>
      <c r="Z9" s="53">
        <f>IFERROR(IF(A9="","",ROUND(W9+T9+X9+Y9,2)),"")</f>
        <v/>
      </c>
      <c r="AA9" s="51" t="n">
        <v>150</v>
      </c>
      <c r="AB9" s="53">
        <f>IFERROR(IF(A9="","",ROUND(IF(AA9&lt;&gt;"",AA9,Z9*'Setup &amp; Lists'!$B$10),2)),"")</f>
        <v/>
      </c>
      <c r="AC9" s="51" t="n">
        <v>150</v>
      </c>
      <c r="AD9" s="53">
        <f>IFERROR(IF(A9="","",MAX(0,ROUND(Z9-AC9,2))),"")</f>
        <v/>
      </c>
      <c r="AE9" s="32">
        <f>IFERROR(IF(A9="","",IF(AD9=0,"Paid",IF(AC9&gt;=AB9,"Deposit Met",IF(AC9&gt;0,"Partial Payment","Unpaid")))),"")</f>
        <v/>
      </c>
      <c r="AF9" s="54">
        <f>IFERROR(IF(OR(A9="",G9=""),"",G9-('Setup &amp; Lists'!$B$11/24)),"")</f>
        <v/>
      </c>
      <c r="AG9" s="25" t="inlineStr">
        <is>
          <t>Company billing reference</t>
        </is>
      </c>
      <c r="AH9" s="25" t="inlineStr">
        <is>
          <t>Sales</t>
        </is>
      </c>
      <c r="AI9" s="50" t="n">
        <v>46268</v>
      </c>
      <c r="AJ9" s="32">
        <f>IFERROR(IF(A9="","",IF(H9&lt;=G9,"Departure must be after arrival",IF(OR(J9="",J9&lt;1),"Rooms must be at least 1",IF(D9="","Guest name missing",IF(COUNTIF($A$2:$A$251,A9)&gt;1,"Duplicate reservation ID",IF(AND(P9="Confirmed",G9&gt;=TODAY(),G9&lt;=TODAY()+'Setup &amp; Lists'!$B$12,Q9=""),"Assign room for near-term arrival",IF(AND(G9&lt;TODAY(),P9="Confirmed"),"Past-due confirmed arrival",IF(AND(G9&gt;TODAY(),P9="Confirmed",AC9&lt;AB9),"Deposit shortfall",IF(AND(H9&lt;TODAY(),AD9&gt;0,P9&lt;&gt;"Cancelled"),"Balance remains after departure",IF(R9&lt;0,"Nightly rate is negative",IF(AC9&gt;Z9,"Deposit paid exceeds total value",""))))))))))),"")</f>
        <v/>
      </c>
    </row>
    <row r="10">
      <c r="A10" s="25" t="inlineStr">
        <is>
          <t>R-260909</t>
        </is>
      </c>
      <c r="B10" s="25" t="inlineStr">
        <is>
          <t>BDC-918274</t>
        </is>
      </c>
      <c r="C10" s="50" t="n">
        <v>46258</v>
      </c>
      <c r="D10" s="25" t="inlineStr">
        <is>
          <t>Sydney Martinez</t>
        </is>
      </c>
      <c r="E10" s="25" t="inlineStr">
        <is>
          <t>202-555-0109</t>
        </is>
      </c>
      <c r="F10" s="25" t="inlineStr">
        <is>
          <t>sydney.martinez@example.com</t>
        </is>
      </c>
      <c r="G10" s="50" t="n">
        <v>46270</v>
      </c>
      <c r="H10" s="50" t="n">
        <v>46273</v>
      </c>
      <c r="I10" s="27">
        <f>IFERROR(IF(A10="","",MAX(0,H10-G10)),"")</f>
        <v/>
      </c>
      <c r="J10" s="28" t="n">
        <v>1</v>
      </c>
      <c r="K10" s="28" t="n">
        <v>2</v>
      </c>
      <c r="L10" s="28" t="n">
        <v>0</v>
      </c>
      <c r="M10" s="25" t="inlineStr">
        <is>
          <t>Standard King</t>
        </is>
      </c>
      <c r="N10" s="25" t="inlineStr">
        <is>
          <t>Best Available Rate</t>
        </is>
      </c>
      <c r="O10" s="25" t="inlineStr">
        <is>
          <t>Booking.com</t>
        </is>
      </c>
      <c r="P10" s="25" t="inlineStr">
        <is>
          <t>Confirmed</t>
        </is>
      </c>
      <c r="Q10" s="25" t="inlineStr">
        <is>
          <t>307</t>
        </is>
      </c>
      <c r="R10" s="51" t="n">
        <v>215</v>
      </c>
      <c r="S10" s="52" t="n">
        <v>0</v>
      </c>
      <c r="T10" s="51" t="n">
        <v>30</v>
      </c>
      <c r="U10" s="52" t="n"/>
      <c r="V10" s="52" t="n"/>
      <c r="W10" s="53">
        <f>IFERROR(IF(A10="","",ROUND(I10*J10*R10*(1-S10),2)),"")</f>
        <v/>
      </c>
      <c r="X10" s="53">
        <f>IFERROR(IF(A10="","",ROUND(W10*IF(V10="",'Setup &amp; Lists'!$B$7,V10),2)),"")</f>
        <v/>
      </c>
      <c r="Y10" s="53">
        <f>IFERROR(IF(A10="","",ROUND((W10+IF('Setup &amp; Lists'!$B$8="Yes",T10,0)+IF('Setup &amp; Lists'!$B$9="Yes",X10,0))*IF(U10="",'Setup &amp; Lists'!$B$6,U10),2)),"")</f>
        <v/>
      </c>
      <c r="Z10" s="53">
        <f>IFERROR(IF(A10="","",ROUND(W10+T10+X10+Y10,2)),"")</f>
        <v/>
      </c>
      <c r="AA10" s="51" t="n"/>
      <c r="AB10" s="53">
        <f>IFERROR(IF(A10="","",ROUND(IF(AA10&lt;&gt;"",AA10,Z10*'Setup &amp; Lists'!$B$10),2)),"")</f>
        <v/>
      </c>
      <c r="AC10" s="51" t="n">
        <v>200</v>
      </c>
      <c r="AD10" s="53">
        <f>IFERROR(IF(A10="","",MAX(0,ROUND(Z10-AC10,2))),"")</f>
        <v/>
      </c>
      <c r="AE10" s="32">
        <f>IFERROR(IF(A10="","",IF(AD10=0,"Paid",IF(AC10&gt;=AB10,"Deposit Met",IF(AC10&gt;0,"Partial Payment","Unpaid")))),"")</f>
        <v/>
      </c>
      <c r="AF10" s="54">
        <f>IFERROR(IF(OR(A10="",G10=""),"",G10-('Setup &amp; Lists'!$B$11/24)),"")</f>
        <v/>
      </c>
      <c r="AG10" s="25" t="inlineStr">
        <is>
          <t>Quiet room</t>
        </is>
      </c>
      <c r="AH10" s="25" t="inlineStr">
        <is>
          <t>Front Desk</t>
        </is>
      </c>
      <c r="AI10" s="50" t="n">
        <v>46269</v>
      </c>
      <c r="AJ10" s="32">
        <f>IFERROR(IF(A10="","",IF(H10&lt;=G10,"Departure must be after arrival",IF(OR(J10="",J10&lt;1),"Rooms must be at least 1",IF(D10="","Guest name missing",IF(COUNTIF($A$2:$A$251,A10)&gt;1,"Duplicate reservation ID",IF(AND(P10="Confirmed",G10&gt;=TODAY(),G10&lt;=TODAY()+'Setup &amp; Lists'!$B$12,Q10=""),"Assign room for near-term arrival",IF(AND(G10&lt;TODAY(),P10="Confirmed"),"Past-due confirmed arrival",IF(AND(G10&gt;TODAY(),P10="Confirmed",AC10&lt;AB10),"Deposit shortfall",IF(AND(H10&lt;TODAY(),AD10&gt;0,P10&lt;&gt;"Cancelled"),"Balance remains after departure",IF(R10&lt;0,"Nightly rate is negative",IF(AC10&gt;Z10,"Deposit paid exceeds total value",""))))))))))),"")</f>
        <v/>
      </c>
    </row>
    <row r="11">
      <c r="A11" s="25" t="inlineStr">
        <is>
          <t>R-260910</t>
        </is>
      </c>
      <c r="B11" s="25" t="inlineStr">
        <is>
          <t>GRP-HARBOR-26</t>
        </is>
      </c>
      <c r="C11" s="50" t="n">
        <v>46264</v>
      </c>
      <c r="D11" s="25" t="inlineStr">
        <is>
          <t>Drew Anderson</t>
        </is>
      </c>
      <c r="E11" s="25" t="inlineStr">
        <is>
          <t>202-555-0110</t>
        </is>
      </c>
      <c r="F11" s="25" t="inlineStr">
        <is>
          <t>drew.anderson@example.com</t>
        </is>
      </c>
      <c r="G11" s="50" t="n">
        <v>46315</v>
      </c>
      <c r="H11" s="50" t="n">
        <v>46317</v>
      </c>
      <c r="I11" s="27">
        <f>IFERROR(IF(A11="","",MAX(0,H11-G11)),"")</f>
        <v/>
      </c>
      <c r="J11" s="28" t="n">
        <v>2</v>
      </c>
      <c r="K11" s="28" t="n">
        <v>4</v>
      </c>
      <c r="L11" s="28" t="n">
        <v>0</v>
      </c>
      <c r="M11" s="25" t="inlineStr">
        <is>
          <t>Double Queen</t>
        </is>
      </c>
      <c r="N11" s="25" t="inlineStr">
        <is>
          <t>Group</t>
        </is>
      </c>
      <c r="O11" s="25" t="inlineStr">
        <is>
          <t>Group Sales</t>
        </is>
      </c>
      <c r="P11" s="25" t="inlineStr">
        <is>
          <t>Tentative</t>
        </is>
      </c>
      <c r="Q11" s="25" t="inlineStr"/>
      <c r="R11" s="51" t="n">
        <v>159</v>
      </c>
      <c r="S11" s="52" t="n">
        <v>0.12</v>
      </c>
      <c r="T11" s="51" t="n">
        <v>100</v>
      </c>
      <c r="U11" s="52" t="n"/>
      <c r="V11" s="52" t="n"/>
      <c r="W11" s="53">
        <f>IFERROR(IF(A11="","",ROUND(I11*J11*R11*(1-S11),2)),"")</f>
        <v/>
      </c>
      <c r="X11" s="53">
        <f>IFERROR(IF(A11="","",ROUND(W11*IF(V11="",'Setup &amp; Lists'!$B$7,V11),2)),"")</f>
        <v/>
      </c>
      <c r="Y11" s="53">
        <f>IFERROR(IF(A11="","",ROUND((W11+IF('Setup &amp; Lists'!$B$8="Yes",T11,0)+IF('Setup &amp; Lists'!$B$9="Yes",X11,0))*IF(U11="",'Setup &amp; Lists'!$B$6,U11),2)),"")</f>
        <v/>
      </c>
      <c r="Z11" s="53">
        <f>IFERROR(IF(A11="","",ROUND(W11+T11+X11+Y11,2)),"")</f>
        <v/>
      </c>
      <c r="AA11" s="51" t="n"/>
      <c r="AB11" s="53">
        <f>IFERROR(IF(A11="","",ROUND(IF(AA11&lt;&gt;"",AA11,Z11*'Setup &amp; Lists'!$B$10),2)),"")</f>
        <v/>
      </c>
      <c r="AC11" s="51" t="n">
        <v>0</v>
      </c>
      <c r="AD11" s="53">
        <f>IFERROR(IF(A11="","",MAX(0,ROUND(Z11-AC11,2))),"")</f>
        <v/>
      </c>
      <c r="AE11" s="32">
        <f>IFERROR(IF(A11="","",IF(AD11=0,"Paid",IF(AC11&gt;=AB11,"Deposit Met",IF(AC11&gt;0,"Partial Payment","Unpaid")))),"")</f>
        <v/>
      </c>
      <c r="AF11" s="54">
        <f>IFERROR(IF(OR(A11="",G11=""),"",G11-('Setup &amp; Lists'!$B$11/24)),"")</f>
        <v/>
      </c>
      <c r="AG11" s="25" t="inlineStr">
        <is>
          <t>Adjacent rooms preferred</t>
        </is>
      </c>
      <c r="AH11" s="25" t="inlineStr">
        <is>
          <t>Sales</t>
        </is>
      </c>
      <c r="AI11" s="50" t="n">
        <v>46268</v>
      </c>
      <c r="AJ11" s="32">
        <f>IFERROR(IF(A11="","",IF(H11&lt;=G11,"Departure must be after arrival",IF(OR(J11="",J11&lt;1),"Rooms must be at least 1",IF(D11="","Guest name missing",IF(COUNTIF($A$2:$A$251,A11)&gt;1,"Duplicate reservation ID",IF(AND(P11="Confirmed",G11&gt;=TODAY(),G11&lt;=TODAY()+'Setup &amp; Lists'!$B$12,Q11=""),"Assign room for near-term arrival",IF(AND(G11&lt;TODAY(),P11="Confirmed"),"Past-due confirmed arrival",IF(AND(G11&gt;TODAY(),P11="Confirmed",AC11&lt;AB11),"Deposit shortfall",IF(AND(H11&lt;TODAY(),AD11&gt;0,P11&lt;&gt;"Cancelled"),"Balance remains after departure",IF(R11&lt;0,"Nightly rate is negative",IF(AC11&gt;Z11,"Deposit paid exceeds total value",""))))))))))),"")</f>
        <v/>
      </c>
    </row>
    <row r="12">
      <c r="A12" s="25" t="n"/>
      <c r="B12" s="25" t="n"/>
      <c r="C12" s="50" t="n"/>
      <c r="D12" s="25" t="n"/>
      <c r="E12" s="25" t="n"/>
      <c r="F12" s="25" t="n"/>
      <c r="G12" s="50" t="n"/>
      <c r="H12" s="50" t="n"/>
      <c r="I12" s="27">
        <f>IFERROR(IF(A12="","",MAX(0,H12-G12)),"")</f>
        <v/>
      </c>
      <c r="J12" s="28" t="n"/>
      <c r="K12" s="28" t="n"/>
      <c r="L12" s="28" t="n"/>
      <c r="M12" s="25" t="n"/>
      <c r="N12" s="25" t="n"/>
      <c r="O12" s="25" t="n"/>
      <c r="P12" s="25" t="n"/>
      <c r="Q12" s="25" t="n"/>
      <c r="R12" s="51" t="n"/>
      <c r="S12" s="52" t="n"/>
      <c r="T12" s="51" t="n"/>
      <c r="U12" s="52" t="n"/>
      <c r="V12" s="52" t="n"/>
      <c r="W12" s="53">
        <f>IFERROR(IF(A12="","",ROUND(I12*J12*R12*(1-S12),2)),"")</f>
        <v/>
      </c>
      <c r="X12" s="53">
        <f>IFERROR(IF(A12="","",ROUND(W12*IF(V12="",'Setup &amp; Lists'!$B$7,V12),2)),"")</f>
        <v/>
      </c>
      <c r="Y12" s="53">
        <f>IFERROR(IF(A12="","",ROUND((W12+IF('Setup &amp; Lists'!$B$8="Yes",T12,0)+IF('Setup &amp; Lists'!$B$9="Yes",X12,0))*IF(U12="",'Setup &amp; Lists'!$B$6,U12),2)),"")</f>
        <v/>
      </c>
      <c r="Z12" s="53">
        <f>IFERROR(IF(A12="","",ROUND(W12+T12+X12+Y12,2)),"")</f>
        <v/>
      </c>
      <c r="AA12" s="51" t="n"/>
      <c r="AB12" s="53">
        <f>IFERROR(IF(A12="","",ROUND(IF(AA12&lt;&gt;"",AA12,Z12*'Setup &amp; Lists'!$B$10),2)),"")</f>
        <v/>
      </c>
      <c r="AC12" s="51" t="n"/>
      <c r="AD12" s="53">
        <f>IFERROR(IF(A12="","",MAX(0,ROUND(Z12-AC12,2))),"")</f>
        <v/>
      </c>
      <c r="AE12" s="32">
        <f>IFERROR(IF(A12="","",IF(AD12=0,"Paid",IF(AC12&gt;=AB12,"Deposit Met",IF(AC12&gt;0,"Partial Payment","Unpaid")))),"")</f>
        <v/>
      </c>
      <c r="AF12" s="54">
        <f>IFERROR(IF(OR(A12="",G12=""),"",G12-('Setup &amp; Lists'!$B$11/24)),"")</f>
        <v/>
      </c>
      <c r="AG12" s="25" t="n"/>
      <c r="AH12" s="25" t="n"/>
      <c r="AI12" s="50" t="n"/>
      <c r="AJ12" s="32">
        <f>IFERROR(IF(A12="","",IF(H12&lt;=G12,"Departure must be after arrival",IF(OR(J12="",J12&lt;1),"Rooms must be at least 1",IF(D12="","Guest name missing",IF(COUNTIF($A$2:$A$251,A12)&gt;1,"Duplicate reservation ID",IF(AND(P12="Confirmed",G12&gt;=TODAY(),G12&lt;=TODAY()+'Setup &amp; Lists'!$B$12,Q12=""),"Assign room for near-term arrival",IF(AND(G12&lt;TODAY(),P12="Confirmed"),"Past-due confirmed arrival",IF(AND(G12&gt;TODAY(),P12="Confirmed",AC12&lt;AB12),"Deposit shortfall",IF(AND(H12&lt;TODAY(),AD12&gt;0,P12&lt;&gt;"Cancelled"),"Balance remains after departure",IF(R12&lt;0,"Nightly rate is negative",IF(AC12&gt;Z12,"Deposit paid exceeds total value",""))))))))))),"")</f>
        <v/>
      </c>
    </row>
    <row r="13">
      <c r="A13" s="25" t="n"/>
      <c r="B13" s="25" t="n"/>
      <c r="C13" s="50" t="n"/>
      <c r="D13" s="25" t="n"/>
      <c r="E13" s="25" t="n"/>
      <c r="F13" s="25" t="n"/>
      <c r="G13" s="50" t="n"/>
      <c r="H13" s="50" t="n"/>
      <c r="I13" s="27">
        <f>IFERROR(IF(A13="","",MAX(0,H13-G13)),"")</f>
        <v/>
      </c>
      <c r="J13" s="28" t="n"/>
      <c r="K13" s="28" t="n"/>
      <c r="L13" s="28" t="n"/>
      <c r="M13" s="25" t="n"/>
      <c r="N13" s="25" t="n"/>
      <c r="O13" s="25" t="n"/>
      <c r="P13" s="25" t="n"/>
      <c r="Q13" s="25" t="n"/>
      <c r="R13" s="51" t="n"/>
      <c r="S13" s="52" t="n"/>
      <c r="T13" s="51" t="n"/>
      <c r="U13" s="52" t="n"/>
      <c r="V13" s="52" t="n"/>
      <c r="W13" s="53">
        <f>IFERROR(IF(A13="","",ROUND(I13*J13*R13*(1-S13),2)),"")</f>
        <v/>
      </c>
      <c r="X13" s="53">
        <f>IFERROR(IF(A13="","",ROUND(W13*IF(V13="",'Setup &amp; Lists'!$B$7,V13),2)),"")</f>
        <v/>
      </c>
      <c r="Y13" s="53">
        <f>IFERROR(IF(A13="","",ROUND((W13+IF('Setup &amp; Lists'!$B$8="Yes",T13,0)+IF('Setup &amp; Lists'!$B$9="Yes",X13,0))*IF(U13="",'Setup &amp; Lists'!$B$6,U13),2)),"")</f>
        <v/>
      </c>
      <c r="Z13" s="53">
        <f>IFERROR(IF(A13="","",ROUND(W13+T13+X13+Y13,2)),"")</f>
        <v/>
      </c>
      <c r="AA13" s="51" t="n"/>
      <c r="AB13" s="53">
        <f>IFERROR(IF(A13="","",ROUND(IF(AA13&lt;&gt;"",AA13,Z13*'Setup &amp; Lists'!$B$10),2)),"")</f>
        <v/>
      </c>
      <c r="AC13" s="51" t="n"/>
      <c r="AD13" s="53">
        <f>IFERROR(IF(A13="","",MAX(0,ROUND(Z13-AC13,2))),"")</f>
        <v/>
      </c>
      <c r="AE13" s="32">
        <f>IFERROR(IF(A13="","",IF(AD13=0,"Paid",IF(AC13&gt;=AB13,"Deposit Met",IF(AC13&gt;0,"Partial Payment","Unpaid")))),"")</f>
        <v/>
      </c>
      <c r="AF13" s="54">
        <f>IFERROR(IF(OR(A13="",G13=""),"",G13-('Setup &amp; Lists'!$B$11/24)),"")</f>
        <v/>
      </c>
      <c r="AG13" s="25" t="n"/>
      <c r="AH13" s="25" t="n"/>
      <c r="AI13" s="50" t="n"/>
      <c r="AJ13" s="32">
        <f>IFERROR(IF(A13="","",IF(H13&lt;=G13,"Departure must be after arrival",IF(OR(J13="",J13&lt;1),"Rooms must be at least 1",IF(D13="","Guest name missing",IF(COUNTIF($A$2:$A$251,A13)&gt;1,"Duplicate reservation ID",IF(AND(P13="Confirmed",G13&gt;=TODAY(),G13&lt;=TODAY()+'Setup &amp; Lists'!$B$12,Q13=""),"Assign room for near-term arrival",IF(AND(G13&lt;TODAY(),P13="Confirmed"),"Past-due confirmed arrival",IF(AND(G13&gt;TODAY(),P13="Confirmed",AC13&lt;AB13),"Deposit shortfall",IF(AND(H13&lt;TODAY(),AD13&gt;0,P13&lt;&gt;"Cancelled"),"Balance remains after departure",IF(R13&lt;0,"Nightly rate is negative",IF(AC13&gt;Z13,"Deposit paid exceeds total value",""))))))))))),"")</f>
        <v/>
      </c>
    </row>
    <row r="14">
      <c r="A14" s="25" t="n"/>
      <c r="B14" s="25" t="n"/>
      <c r="C14" s="50" t="n"/>
      <c r="D14" s="25" t="n"/>
      <c r="E14" s="25" t="n"/>
      <c r="F14" s="25" t="n"/>
      <c r="G14" s="50" t="n"/>
      <c r="H14" s="50" t="n"/>
      <c r="I14" s="27">
        <f>IFERROR(IF(A14="","",MAX(0,H14-G14)),"")</f>
        <v/>
      </c>
      <c r="J14" s="28" t="n"/>
      <c r="K14" s="28" t="n"/>
      <c r="L14" s="28" t="n"/>
      <c r="M14" s="25" t="n"/>
      <c r="N14" s="25" t="n"/>
      <c r="O14" s="25" t="n"/>
      <c r="P14" s="25" t="n"/>
      <c r="Q14" s="25" t="n"/>
      <c r="R14" s="51" t="n"/>
      <c r="S14" s="52" t="n"/>
      <c r="T14" s="51" t="n"/>
      <c r="U14" s="52" t="n"/>
      <c r="V14" s="52" t="n"/>
      <c r="W14" s="53">
        <f>IFERROR(IF(A14="","",ROUND(I14*J14*R14*(1-S14),2)),"")</f>
        <v/>
      </c>
      <c r="X14" s="53">
        <f>IFERROR(IF(A14="","",ROUND(W14*IF(V14="",'Setup &amp; Lists'!$B$7,V14),2)),"")</f>
        <v/>
      </c>
      <c r="Y14" s="53">
        <f>IFERROR(IF(A14="","",ROUND((W14+IF('Setup &amp; Lists'!$B$8="Yes",T14,0)+IF('Setup &amp; Lists'!$B$9="Yes",X14,0))*IF(U14="",'Setup &amp; Lists'!$B$6,U14),2)),"")</f>
        <v/>
      </c>
      <c r="Z14" s="53">
        <f>IFERROR(IF(A14="","",ROUND(W14+T14+X14+Y14,2)),"")</f>
        <v/>
      </c>
      <c r="AA14" s="51" t="n"/>
      <c r="AB14" s="53">
        <f>IFERROR(IF(A14="","",ROUND(IF(AA14&lt;&gt;"",AA14,Z14*'Setup &amp; Lists'!$B$10),2)),"")</f>
        <v/>
      </c>
      <c r="AC14" s="51" t="n"/>
      <c r="AD14" s="53">
        <f>IFERROR(IF(A14="","",MAX(0,ROUND(Z14-AC14,2))),"")</f>
        <v/>
      </c>
      <c r="AE14" s="32">
        <f>IFERROR(IF(A14="","",IF(AD14=0,"Paid",IF(AC14&gt;=AB14,"Deposit Met",IF(AC14&gt;0,"Partial Payment","Unpaid")))),"")</f>
        <v/>
      </c>
      <c r="AF14" s="54">
        <f>IFERROR(IF(OR(A14="",G14=""),"",G14-('Setup &amp; Lists'!$B$11/24)),"")</f>
        <v/>
      </c>
      <c r="AG14" s="25" t="n"/>
      <c r="AH14" s="25" t="n"/>
      <c r="AI14" s="50" t="n"/>
      <c r="AJ14" s="32">
        <f>IFERROR(IF(A14="","",IF(H14&lt;=G14,"Departure must be after arrival",IF(OR(J14="",J14&lt;1),"Rooms must be at least 1",IF(D14="","Guest name missing",IF(COUNTIF($A$2:$A$251,A14)&gt;1,"Duplicate reservation ID",IF(AND(P14="Confirmed",G14&gt;=TODAY(),G14&lt;=TODAY()+'Setup &amp; Lists'!$B$12,Q14=""),"Assign room for near-term arrival",IF(AND(G14&lt;TODAY(),P14="Confirmed"),"Past-due confirmed arrival",IF(AND(G14&gt;TODAY(),P14="Confirmed",AC14&lt;AB14),"Deposit shortfall",IF(AND(H14&lt;TODAY(),AD14&gt;0,P14&lt;&gt;"Cancelled"),"Balance remains after departure",IF(R14&lt;0,"Nightly rate is negative",IF(AC14&gt;Z14,"Deposit paid exceeds total value",""))))))))))),"")</f>
        <v/>
      </c>
    </row>
    <row r="15">
      <c r="A15" s="25" t="n"/>
      <c r="B15" s="25" t="n"/>
      <c r="C15" s="50" t="n"/>
      <c r="D15" s="25" t="n"/>
      <c r="E15" s="25" t="n"/>
      <c r="F15" s="25" t="n"/>
      <c r="G15" s="50" t="n"/>
      <c r="H15" s="50" t="n"/>
      <c r="I15" s="27">
        <f>IFERROR(IF(A15="","",MAX(0,H15-G15)),"")</f>
        <v/>
      </c>
      <c r="J15" s="28" t="n"/>
      <c r="K15" s="28" t="n"/>
      <c r="L15" s="28" t="n"/>
      <c r="M15" s="25" t="n"/>
      <c r="N15" s="25" t="n"/>
      <c r="O15" s="25" t="n"/>
      <c r="P15" s="25" t="n"/>
      <c r="Q15" s="25" t="n"/>
      <c r="R15" s="51" t="n"/>
      <c r="S15" s="52" t="n"/>
      <c r="T15" s="51" t="n"/>
      <c r="U15" s="52" t="n"/>
      <c r="V15" s="52" t="n"/>
      <c r="W15" s="53">
        <f>IFERROR(IF(A15="","",ROUND(I15*J15*R15*(1-S15),2)),"")</f>
        <v/>
      </c>
      <c r="X15" s="53">
        <f>IFERROR(IF(A15="","",ROUND(W15*IF(V15="",'Setup &amp; Lists'!$B$7,V15),2)),"")</f>
        <v/>
      </c>
      <c r="Y15" s="53">
        <f>IFERROR(IF(A15="","",ROUND((W15+IF('Setup &amp; Lists'!$B$8="Yes",T15,0)+IF('Setup &amp; Lists'!$B$9="Yes",X15,0))*IF(U15="",'Setup &amp; Lists'!$B$6,U15),2)),"")</f>
        <v/>
      </c>
      <c r="Z15" s="53">
        <f>IFERROR(IF(A15="","",ROUND(W15+T15+X15+Y15,2)),"")</f>
        <v/>
      </c>
      <c r="AA15" s="51" t="n"/>
      <c r="AB15" s="53">
        <f>IFERROR(IF(A15="","",ROUND(IF(AA15&lt;&gt;"",AA15,Z15*'Setup &amp; Lists'!$B$10),2)),"")</f>
        <v/>
      </c>
      <c r="AC15" s="51" t="n"/>
      <c r="AD15" s="53">
        <f>IFERROR(IF(A15="","",MAX(0,ROUND(Z15-AC15,2))),"")</f>
        <v/>
      </c>
      <c r="AE15" s="32">
        <f>IFERROR(IF(A15="","",IF(AD15=0,"Paid",IF(AC15&gt;=AB15,"Deposit Met",IF(AC15&gt;0,"Partial Payment","Unpaid")))),"")</f>
        <v/>
      </c>
      <c r="AF15" s="54">
        <f>IFERROR(IF(OR(A15="",G15=""),"",G15-('Setup &amp; Lists'!$B$11/24)),"")</f>
        <v/>
      </c>
      <c r="AG15" s="25" t="n"/>
      <c r="AH15" s="25" t="n"/>
      <c r="AI15" s="50" t="n"/>
      <c r="AJ15" s="32">
        <f>IFERROR(IF(A15="","",IF(H15&lt;=G15,"Departure must be after arrival",IF(OR(J15="",J15&lt;1),"Rooms must be at least 1",IF(D15="","Guest name missing",IF(COUNTIF($A$2:$A$251,A15)&gt;1,"Duplicate reservation ID",IF(AND(P15="Confirmed",G15&gt;=TODAY(),G15&lt;=TODAY()+'Setup &amp; Lists'!$B$12,Q15=""),"Assign room for near-term arrival",IF(AND(G15&lt;TODAY(),P15="Confirmed"),"Past-due confirmed arrival",IF(AND(G15&gt;TODAY(),P15="Confirmed",AC15&lt;AB15),"Deposit shortfall",IF(AND(H15&lt;TODAY(),AD15&gt;0,P15&lt;&gt;"Cancelled"),"Balance remains after departure",IF(R15&lt;0,"Nightly rate is negative",IF(AC15&gt;Z15,"Deposit paid exceeds total value",""))))))))))),"")</f>
        <v/>
      </c>
    </row>
    <row r="16">
      <c r="A16" s="25" t="n"/>
      <c r="B16" s="25" t="n"/>
      <c r="C16" s="50" t="n"/>
      <c r="D16" s="25" t="n"/>
      <c r="E16" s="25" t="n"/>
      <c r="F16" s="25" t="n"/>
      <c r="G16" s="50" t="n"/>
      <c r="H16" s="50" t="n"/>
      <c r="I16" s="27">
        <f>IFERROR(IF(A16="","",MAX(0,H16-G16)),"")</f>
        <v/>
      </c>
      <c r="J16" s="28" t="n"/>
      <c r="K16" s="28" t="n"/>
      <c r="L16" s="28" t="n"/>
      <c r="M16" s="25" t="n"/>
      <c r="N16" s="25" t="n"/>
      <c r="O16" s="25" t="n"/>
      <c r="P16" s="25" t="n"/>
      <c r="Q16" s="25" t="n"/>
      <c r="R16" s="51" t="n"/>
      <c r="S16" s="52" t="n"/>
      <c r="T16" s="51" t="n"/>
      <c r="U16" s="52" t="n"/>
      <c r="V16" s="52" t="n"/>
      <c r="W16" s="53">
        <f>IFERROR(IF(A16="","",ROUND(I16*J16*R16*(1-S16),2)),"")</f>
        <v/>
      </c>
      <c r="X16" s="53">
        <f>IFERROR(IF(A16="","",ROUND(W16*IF(V16="",'Setup &amp; Lists'!$B$7,V16),2)),"")</f>
        <v/>
      </c>
      <c r="Y16" s="53">
        <f>IFERROR(IF(A16="","",ROUND((W16+IF('Setup &amp; Lists'!$B$8="Yes",T16,0)+IF('Setup &amp; Lists'!$B$9="Yes",X16,0))*IF(U16="",'Setup &amp; Lists'!$B$6,U16),2)),"")</f>
        <v/>
      </c>
      <c r="Z16" s="53">
        <f>IFERROR(IF(A16="","",ROUND(W16+T16+X16+Y16,2)),"")</f>
        <v/>
      </c>
      <c r="AA16" s="51" t="n"/>
      <c r="AB16" s="53">
        <f>IFERROR(IF(A16="","",ROUND(IF(AA16&lt;&gt;"",AA16,Z16*'Setup &amp; Lists'!$B$10),2)),"")</f>
        <v/>
      </c>
      <c r="AC16" s="51" t="n"/>
      <c r="AD16" s="53">
        <f>IFERROR(IF(A16="","",MAX(0,ROUND(Z16-AC16,2))),"")</f>
        <v/>
      </c>
      <c r="AE16" s="32">
        <f>IFERROR(IF(A16="","",IF(AD16=0,"Paid",IF(AC16&gt;=AB16,"Deposit Met",IF(AC16&gt;0,"Partial Payment","Unpaid")))),"")</f>
        <v/>
      </c>
      <c r="AF16" s="54">
        <f>IFERROR(IF(OR(A16="",G16=""),"",G16-('Setup &amp; Lists'!$B$11/24)),"")</f>
        <v/>
      </c>
      <c r="AG16" s="25" t="n"/>
      <c r="AH16" s="25" t="n"/>
      <c r="AI16" s="50" t="n"/>
      <c r="AJ16" s="32">
        <f>IFERROR(IF(A16="","",IF(H16&lt;=G16,"Departure must be after arrival",IF(OR(J16="",J16&lt;1),"Rooms must be at least 1",IF(D16="","Guest name missing",IF(COUNTIF($A$2:$A$251,A16)&gt;1,"Duplicate reservation ID",IF(AND(P16="Confirmed",G16&gt;=TODAY(),G16&lt;=TODAY()+'Setup &amp; Lists'!$B$12,Q16=""),"Assign room for near-term arrival",IF(AND(G16&lt;TODAY(),P16="Confirmed"),"Past-due confirmed arrival",IF(AND(G16&gt;TODAY(),P16="Confirmed",AC16&lt;AB16),"Deposit shortfall",IF(AND(H16&lt;TODAY(),AD16&gt;0,P16&lt;&gt;"Cancelled"),"Balance remains after departure",IF(R16&lt;0,"Nightly rate is negative",IF(AC16&gt;Z16,"Deposit paid exceeds total value",""))))))))))),"")</f>
        <v/>
      </c>
    </row>
    <row r="17">
      <c r="A17" s="25" t="n"/>
      <c r="B17" s="25" t="n"/>
      <c r="C17" s="50" t="n"/>
      <c r="D17" s="25" t="n"/>
      <c r="E17" s="25" t="n"/>
      <c r="F17" s="25" t="n"/>
      <c r="G17" s="50" t="n"/>
      <c r="H17" s="50" t="n"/>
      <c r="I17" s="27">
        <f>IFERROR(IF(A17="","",MAX(0,H17-G17)),"")</f>
        <v/>
      </c>
      <c r="J17" s="28" t="n"/>
      <c r="K17" s="28" t="n"/>
      <c r="L17" s="28" t="n"/>
      <c r="M17" s="25" t="n"/>
      <c r="N17" s="25" t="n"/>
      <c r="O17" s="25" t="n"/>
      <c r="P17" s="25" t="n"/>
      <c r="Q17" s="25" t="n"/>
      <c r="R17" s="51" t="n"/>
      <c r="S17" s="52" t="n"/>
      <c r="T17" s="51" t="n"/>
      <c r="U17" s="52" t="n"/>
      <c r="V17" s="52" t="n"/>
      <c r="W17" s="53">
        <f>IFERROR(IF(A17="","",ROUND(I17*J17*R17*(1-S17),2)),"")</f>
        <v/>
      </c>
      <c r="X17" s="53">
        <f>IFERROR(IF(A17="","",ROUND(W17*IF(V17="",'Setup &amp; Lists'!$B$7,V17),2)),"")</f>
        <v/>
      </c>
      <c r="Y17" s="53">
        <f>IFERROR(IF(A17="","",ROUND((W17+IF('Setup &amp; Lists'!$B$8="Yes",T17,0)+IF('Setup &amp; Lists'!$B$9="Yes",X17,0))*IF(U17="",'Setup &amp; Lists'!$B$6,U17),2)),"")</f>
        <v/>
      </c>
      <c r="Z17" s="53">
        <f>IFERROR(IF(A17="","",ROUND(W17+T17+X17+Y17,2)),"")</f>
        <v/>
      </c>
      <c r="AA17" s="51" t="n"/>
      <c r="AB17" s="53">
        <f>IFERROR(IF(A17="","",ROUND(IF(AA17&lt;&gt;"",AA17,Z17*'Setup &amp; Lists'!$B$10),2)),"")</f>
        <v/>
      </c>
      <c r="AC17" s="51" t="n"/>
      <c r="AD17" s="53">
        <f>IFERROR(IF(A17="","",MAX(0,ROUND(Z17-AC17,2))),"")</f>
        <v/>
      </c>
      <c r="AE17" s="32">
        <f>IFERROR(IF(A17="","",IF(AD17=0,"Paid",IF(AC17&gt;=AB17,"Deposit Met",IF(AC17&gt;0,"Partial Payment","Unpaid")))),"")</f>
        <v/>
      </c>
      <c r="AF17" s="54">
        <f>IFERROR(IF(OR(A17="",G17=""),"",G17-('Setup &amp; Lists'!$B$11/24)),"")</f>
        <v/>
      </c>
      <c r="AG17" s="25" t="n"/>
      <c r="AH17" s="25" t="n"/>
      <c r="AI17" s="50" t="n"/>
      <c r="AJ17" s="32">
        <f>IFERROR(IF(A17="","",IF(H17&lt;=G17,"Departure must be after arrival",IF(OR(J17="",J17&lt;1),"Rooms must be at least 1",IF(D17="","Guest name missing",IF(COUNTIF($A$2:$A$251,A17)&gt;1,"Duplicate reservation ID",IF(AND(P17="Confirmed",G17&gt;=TODAY(),G17&lt;=TODAY()+'Setup &amp; Lists'!$B$12,Q17=""),"Assign room for near-term arrival",IF(AND(G17&lt;TODAY(),P17="Confirmed"),"Past-due confirmed arrival",IF(AND(G17&gt;TODAY(),P17="Confirmed",AC17&lt;AB17),"Deposit shortfall",IF(AND(H17&lt;TODAY(),AD17&gt;0,P17&lt;&gt;"Cancelled"),"Balance remains after departure",IF(R17&lt;0,"Nightly rate is negative",IF(AC17&gt;Z17,"Deposit paid exceeds total value",""))))))))))),"")</f>
        <v/>
      </c>
    </row>
    <row r="18">
      <c r="A18" s="25" t="n"/>
      <c r="B18" s="25" t="n"/>
      <c r="C18" s="50" t="n"/>
      <c r="D18" s="25" t="n"/>
      <c r="E18" s="25" t="n"/>
      <c r="F18" s="25" t="n"/>
      <c r="G18" s="50" t="n"/>
      <c r="H18" s="50" t="n"/>
      <c r="I18" s="27">
        <f>IFERROR(IF(A18="","",MAX(0,H18-G18)),"")</f>
        <v/>
      </c>
      <c r="J18" s="28" t="n"/>
      <c r="K18" s="28" t="n"/>
      <c r="L18" s="28" t="n"/>
      <c r="M18" s="25" t="n"/>
      <c r="N18" s="25" t="n"/>
      <c r="O18" s="25" t="n"/>
      <c r="P18" s="25" t="n"/>
      <c r="Q18" s="25" t="n"/>
      <c r="R18" s="51" t="n"/>
      <c r="S18" s="52" t="n"/>
      <c r="T18" s="51" t="n"/>
      <c r="U18" s="52" t="n"/>
      <c r="V18" s="52" t="n"/>
      <c r="W18" s="53">
        <f>IFERROR(IF(A18="","",ROUND(I18*J18*R18*(1-S18),2)),"")</f>
        <v/>
      </c>
      <c r="X18" s="53">
        <f>IFERROR(IF(A18="","",ROUND(W18*IF(V18="",'Setup &amp; Lists'!$B$7,V18),2)),"")</f>
        <v/>
      </c>
      <c r="Y18" s="53">
        <f>IFERROR(IF(A18="","",ROUND((W18+IF('Setup &amp; Lists'!$B$8="Yes",T18,0)+IF('Setup &amp; Lists'!$B$9="Yes",X18,0))*IF(U18="",'Setup &amp; Lists'!$B$6,U18),2)),"")</f>
        <v/>
      </c>
      <c r="Z18" s="53">
        <f>IFERROR(IF(A18="","",ROUND(W18+T18+X18+Y18,2)),"")</f>
        <v/>
      </c>
      <c r="AA18" s="51" t="n"/>
      <c r="AB18" s="53">
        <f>IFERROR(IF(A18="","",ROUND(IF(AA18&lt;&gt;"",AA18,Z18*'Setup &amp; Lists'!$B$10),2)),"")</f>
        <v/>
      </c>
      <c r="AC18" s="51" t="n"/>
      <c r="AD18" s="53">
        <f>IFERROR(IF(A18="","",MAX(0,ROUND(Z18-AC18,2))),"")</f>
        <v/>
      </c>
      <c r="AE18" s="32">
        <f>IFERROR(IF(A18="","",IF(AD18=0,"Paid",IF(AC18&gt;=AB18,"Deposit Met",IF(AC18&gt;0,"Partial Payment","Unpaid")))),"")</f>
        <v/>
      </c>
      <c r="AF18" s="54">
        <f>IFERROR(IF(OR(A18="",G18=""),"",G18-('Setup &amp; Lists'!$B$11/24)),"")</f>
        <v/>
      </c>
      <c r="AG18" s="25" t="n"/>
      <c r="AH18" s="25" t="n"/>
      <c r="AI18" s="50" t="n"/>
      <c r="AJ18" s="32">
        <f>IFERROR(IF(A18="","",IF(H18&lt;=G18,"Departure must be after arrival",IF(OR(J18="",J18&lt;1),"Rooms must be at least 1",IF(D18="","Guest name missing",IF(COUNTIF($A$2:$A$251,A18)&gt;1,"Duplicate reservation ID",IF(AND(P18="Confirmed",G18&gt;=TODAY(),G18&lt;=TODAY()+'Setup &amp; Lists'!$B$12,Q18=""),"Assign room for near-term arrival",IF(AND(G18&lt;TODAY(),P18="Confirmed"),"Past-due confirmed arrival",IF(AND(G18&gt;TODAY(),P18="Confirmed",AC18&lt;AB18),"Deposit shortfall",IF(AND(H18&lt;TODAY(),AD18&gt;0,P18&lt;&gt;"Cancelled"),"Balance remains after departure",IF(R18&lt;0,"Nightly rate is negative",IF(AC18&gt;Z18,"Deposit paid exceeds total value",""))))))))))),"")</f>
        <v/>
      </c>
    </row>
    <row r="19">
      <c r="A19" s="25" t="n"/>
      <c r="B19" s="25" t="n"/>
      <c r="C19" s="50" t="n"/>
      <c r="D19" s="25" t="n"/>
      <c r="E19" s="25" t="n"/>
      <c r="F19" s="25" t="n"/>
      <c r="G19" s="50" t="n"/>
      <c r="H19" s="50" t="n"/>
      <c r="I19" s="27">
        <f>IFERROR(IF(A19="","",MAX(0,H19-G19)),"")</f>
        <v/>
      </c>
      <c r="J19" s="28" t="n"/>
      <c r="K19" s="28" t="n"/>
      <c r="L19" s="28" t="n"/>
      <c r="M19" s="25" t="n"/>
      <c r="N19" s="25" t="n"/>
      <c r="O19" s="25" t="n"/>
      <c r="P19" s="25" t="n"/>
      <c r="Q19" s="25" t="n"/>
      <c r="R19" s="51" t="n"/>
      <c r="S19" s="52" t="n"/>
      <c r="T19" s="51" t="n"/>
      <c r="U19" s="52" t="n"/>
      <c r="V19" s="52" t="n"/>
      <c r="W19" s="53">
        <f>IFERROR(IF(A19="","",ROUND(I19*J19*R19*(1-S19),2)),"")</f>
        <v/>
      </c>
      <c r="X19" s="53">
        <f>IFERROR(IF(A19="","",ROUND(W19*IF(V19="",'Setup &amp; Lists'!$B$7,V19),2)),"")</f>
        <v/>
      </c>
      <c r="Y19" s="53">
        <f>IFERROR(IF(A19="","",ROUND((W19+IF('Setup &amp; Lists'!$B$8="Yes",T19,0)+IF('Setup &amp; Lists'!$B$9="Yes",X19,0))*IF(U19="",'Setup &amp; Lists'!$B$6,U19),2)),"")</f>
        <v/>
      </c>
      <c r="Z19" s="53">
        <f>IFERROR(IF(A19="","",ROUND(W19+T19+X19+Y19,2)),"")</f>
        <v/>
      </c>
      <c r="AA19" s="51" t="n"/>
      <c r="AB19" s="53">
        <f>IFERROR(IF(A19="","",ROUND(IF(AA19&lt;&gt;"",AA19,Z19*'Setup &amp; Lists'!$B$10),2)),"")</f>
        <v/>
      </c>
      <c r="AC19" s="51" t="n"/>
      <c r="AD19" s="53">
        <f>IFERROR(IF(A19="","",MAX(0,ROUND(Z19-AC19,2))),"")</f>
        <v/>
      </c>
      <c r="AE19" s="32">
        <f>IFERROR(IF(A19="","",IF(AD19=0,"Paid",IF(AC19&gt;=AB19,"Deposit Met",IF(AC19&gt;0,"Partial Payment","Unpaid")))),"")</f>
        <v/>
      </c>
      <c r="AF19" s="54">
        <f>IFERROR(IF(OR(A19="",G19=""),"",G19-('Setup &amp; Lists'!$B$11/24)),"")</f>
        <v/>
      </c>
      <c r="AG19" s="25" t="n"/>
      <c r="AH19" s="25" t="n"/>
      <c r="AI19" s="50" t="n"/>
      <c r="AJ19" s="32">
        <f>IFERROR(IF(A19="","",IF(H19&lt;=G19,"Departure must be after arrival",IF(OR(J19="",J19&lt;1),"Rooms must be at least 1",IF(D19="","Guest name missing",IF(COUNTIF($A$2:$A$251,A19)&gt;1,"Duplicate reservation ID",IF(AND(P19="Confirmed",G19&gt;=TODAY(),G19&lt;=TODAY()+'Setup &amp; Lists'!$B$12,Q19=""),"Assign room for near-term arrival",IF(AND(G19&lt;TODAY(),P19="Confirmed"),"Past-due confirmed arrival",IF(AND(G19&gt;TODAY(),P19="Confirmed",AC19&lt;AB19),"Deposit shortfall",IF(AND(H19&lt;TODAY(),AD19&gt;0,P19&lt;&gt;"Cancelled"),"Balance remains after departure",IF(R19&lt;0,"Nightly rate is negative",IF(AC19&gt;Z19,"Deposit paid exceeds total value",""))))))))))),"")</f>
        <v/>
      </c>
    </row>
    <row r="20">
      <c r="A20" s="25" t="n"/>
      <c r="B20" s="25" t="n"/>
      <c r="C20" s="50" t="n"/>
      <c r="D20" s="25" t="n"/>
      <c r="E20" s="25" t="n"/>
      <c r="F20" s="25" t="n"/>
      <c r="G20" s="50" t="n"/>
      <c r="H20" s="50" t="n"/>
      <c r="I20" s="27">
        <f>IFERROR(IF(A20="","",MAX(0,H20-G20)),"")</f>
        <v/>
      </c>
      <c r="J20" s="28" t="n"/>
      <c r="K20" s="28" t="n"/>
      <c r="L20" s="28" t="n"/>
      <c r="M20" s="25" t="n"/>
      <c r="N20" s="25" t="n"/>
      <c r="O20" s="25" t="n"/>
      <c r="P20" s="25" t="n"/>
      <c r="Q20" s="25" t="n"/>
      <c r="R20" s="51" t="n"/>
      <c r="S20" s="52" t="n"/>
      <c r="T20" s="51" t="n"/>
      <c r="U20" s="52" t="n"/>
      <c r="V20" s="52" t="n"/>
      <c r="W20" s="53">
        <f>IFERROR(IF(A20="","",ROUND(I20*J20*R20*(1-S20),2)),"")</f>
        <v/>
      </c>
      <c r="X20" s="53">
        <f>IFERROR(IF(A20="","",ROUND(W20*IF(V20="",'Setup &amp; Lists'!$B$7,V20),2)),"")</f>
        <v/>
      </c>
      <c r="Y20" s="53">
        <f>IFERROR(IF(A20="","",ROUND((W20+IF('Setup &amp; Lists'!$B$8="Yes",T20,0)+IF('Setup &amp; Lists'!$B$9="Yes",X20,0))*IF(U20="",'Setup &amp; Lists'!$B$6,U20),2)),"")</f>
        <v/>
      </c>
      <c r="Z20" s="53">
        <f>IFERROR(IF(A20="","",ROUND(W20+T20+X20+Y20,2)),"")</f>
        <v/>
      </c>
      <c r="AA20" s="51" t="n"/>
      <c r="AB20" s="53">
        <f>IFERROR(IF(A20="","",ROUND(IF(AA20&lt;&gt;"",AA20,Z20*'Setup &amp; Lists'!$B$10),2)),"")</f>
        <v/>
      </c>
      <c r="AC20" s="51" t="n"/>
      <c r="AD20" s="53">
        <f>IFERROR(IF(A20="","",MAX(0,ROUND(Z20-AC20,2))),"")</f>
        <v/>
      </c>
      <c r="AE20" s="32">
        <f>IFERROR(IF(A20="","",IF(AD20=0,"Paid",IF(AC20&gt;=AB20,"Deposit Met",IF(AC20&gt;0,"Partial Payment","Unpaid")))),"")</f>
        <v/>
      </c>
      <c r="AF20" s="54">
        <f>IFERROR(IF(OR(A20="",G20=""),"",G20-('Setup &amp; Lists'!$B$11/24)),"")</f>
        <v/>
      </c>
      <c r="AG20" s="25" t="n"/>
      <c r="AH20" s="25" t="n"/>
      <c r="AI20" s="50" t="n"/>
      <c r="AJ20" s="32">
        <f>IFERROR(IF(A20="","",IF(H20&lt;=G20,"Departure must be after arrival",IF(OR(J20="",J20&lt;1),"Rooms must be at least 1",IF(D20="","Guest name missing",IF(COUNTIF($A$2:$A$251,A20)&gt;1,"Duplicate reservation ID",IF(AND(P20="Confirmed",G20&gt;=TODAY(),G20&lt;=TODAY()+'Setup &amp; Lists'!$B$12,Q20=""),"Assign room for near-term arrival",IF(AND(G20&lt;TODAY(),P20="Confirmed"),"Past-due confirmed arrival",IF(AND(G20&gt;TODAY(),P20="Confirmed",AC20&lt;AB20),"Deposit shortfall",IF(AND(H20&lt;TODAY(),AD20&gt;0,P20&lt;&gt;"Cancelled"),"Balance remains after departure",IF(R20&lt;0,"Nightly rate is negative",IF(AC20&gt;Z20,"Deposit paid exceeds total value",""))))))))))),"")</f>
        <v/>
      </c>
    </row>
    <row r="21">
      <c r="A21" s="25" t="n"/>
      <c r="B21" s="25" t="n"/>
      <c r="C21" s="50" t="n"/>
      <c r="D21" s="25" t="n"/>
      <c r="E21" s="25" t="n"/>
      <c r="F21" s="25" t="n"/>
      <c r="G21" s="50" t="n"/>
      <c r="H21" s="50" t="n"/>
      <c r="I21" s="27">
        <f>IFERROR(IF(A21="","",MAX(0,H21-G21)),"")</f>
        <v/>
      </c>
      <c r="J21" s="28" t="n"/>
      <c r="K21" s="28" t="n"/>
      <c r="L21" s="28" t="n"/>
      <c r="M21" s="25" t="n"/>
      <c r="N21" s="25" t="n"/>
      <c r="O21" s="25" t="n"/>
      <c r="P21" s="25" t="n"/>
      <c r="Q21" s="25" t="n"/>
      <c r="R21" s="51" t="n"/>
      <c r="S21" s="52" t="n"/>
      <c r="T21" s="51" t="n"/>
      <c r="U21" s="52" t="n"/>
      <c r="V21" s="52" t="n"/>
      <c r="W21" s="53">
        <f>IFERROR(IF(A21="","",ROUND(I21*J21*R21*(1-S21),2)),"")</f>
        <v/>
      </c>
      <c r="X21" s="53">
        <f>IFERROR(IF(A21="","",ROUND(W21*IF(V21="",'Setup &amp; Lists'!$B$7,V21),2)),"")</f>
        <v/>
      </c>
      <c r="Y21" s="53">
        <f>IFERROR(IF(A21="","",ROUND((W21+IF('Setup &amp; Lists'!$B$8="Yes",T21,0)+IF('Setup &amp; Lists'!$B$9="Yes",X21,0))*IF(U21="",'Setup &amp; Lists'!$B$6,U21),2)),"")</f>
        <v/>
      </c>
      <c r="Z21" s="53">
        <f>IFERROR(IF(A21="","",ROUND(W21+T21+X21+Y21,2)),"")</f>
        <v/>
      </c>
      <c r="AA21" s="51" t="n"/>
      <c r="AB21" s="53">
        <f>IFERROR(IF(A21="","",ROUND(IF(AA21&lt;&gt;"",AA21,Z21*'Setup &amp; Lists'!$B$10),2)),"")</f>
        <v/>
      </c>
      <c r="AC21" s="51" t="n"/>
      <c r="AD21" s="53">
        <f>IFERROR(IF(A21="","",MAX(0,ROUND(Z21-AC21,2))),"")</f>
        <v/>
      </c>
      <c r="AE21" s="32">
        <f>IFERROR(IF(A21="","",IF(AD21=0,"Paid",IF(AC21&gt;=AB21,"Deposit Met",IF(AC21&gt;0,"Partial Payment","Unpaid")))),"")</f>
        <v/>
      </c>
      <c r="AF21" s="54">
        <f>IFERROR(IF(OR(A21="",G21=""),"",G21-('Setup &amp; Lists'!$B$11/24)),"")</f>
        <v/>
      </c>
      <c r="AG21" s="25" t="n"/>
      <c r="AH21" s="25" t="n"/>
      <c r="AI21" s="50" t="n"/>
      <c r="AJ21" s="32">
        <f>IFERROR(IF(A21="","",IF(H21&lt;=G21,"Departure must be after arrival",IF(OR(J21="",J21&lt;1),"Rooms must be at least 1",IF(D21="","Guest name missing",IF(COUNTIF($A$2:$A$251,A21)&gt;1,"Duplicate reservation ID",IF(AND(P21="Confirmed",G21&gt;=TODAY(),G21&lt;=TODAY()+'Setup &amp; Lists'!$B$12,Q21=""),"Assign room for near-term arrival",IF(AND(G21&lt;TODAY(),P21="Confirmed"),"Past-due confirmed arrival",IF(AND(G21&gt;TODAY(),P21="Confirmed",AC21&lt;AB21),"Deposit shortfall",IF(AND(H21&lt;TODAY(),AD21&gt;0,P21&lt;&gt;"Cancelled"),"Balance remains after departure",IF(R21&lt;0,"Nightly rate is negative",IF(AC21&gt;Z21,"Deposit paid exceeds total value",""))))))))))),"")</f>
        <v/>
      </c>
    </row>
    <row r="22">
      <c r="A22" s="25" t="n"/>
      <c r="B22" s="25" t="n"/>
      <c r="C22" s="50" t="n"/>
      <c r="D22" s="25" t="n"/>
      <c r="E22" s="25" t="n"/>
      <c r="F22" s="25" t="n"/>
      <c r="G22" s="50" t="n"/>
      <c r="H22" s="50" t="n"/>
      <c r="I22" s="27">
        <f>IFERROR(IF(A22="","",MAX(0,H22-G22)),"")</f>
        <v/>
      </c>
      <c r="J22" s="28" t="n"/>
      <c r="K22" s="28" t="n"/>
      <c r="L22" s="28" t="n"/>
      <c r="M22" s="25" t="n"/>
      <c r="N22" s="25" t="n"/>
      <c r="O22" s="25" t="n"/>
      <c r="P22" s="25" t="n"/>
      <c r="Q22" s="25" t="n"/>
      <c r="R22" s="51" t="n"/>
      <c r="S22" s="52" t="n"/>
      <c r="T22" s="51" t="n"/>
      <c r="U22" s="52" t="n"/>
      <c r="V22" s="52" t="n"/>
      <c r="W22" s="53">
        <f>IFERROR(IF(A22="","",ROUND(I22*J22*R22*(1-S22),2)),"")</f>
        <v/>
      </c>
      <c r="X22" s="53">
        <f>IFERROR(IF(A22="","",ROUND(W22*IF(V22="",'Setup &amp; Lists'!$B$7,V22),2)),"")</f>
        <v/>
      </c>
      <c r="Y22" s="53">
        <f>IFERROR(IF(A22="","",ROUND((W22+IF('Setup &amp; Lists'!$B$8="Yes",T22,0)+IF('Setup &amp; Lists'!$B$9="Yes",X22,0))*IF(U22="",'Setup &amp; Lists'!$B$6,U22),2)),"")</f>
        <v/>
      </c>
      <c r="Z22" s="53">
        <f>IFERROR(IF(A22="","",ROUND(W22+T22+X22+Y22,2)),"")</f>
        <v/>
      </c>
      <c r="AA22" s="51" t="n"/>
      <c r="AB22" s="53">
        <f>IFERROR(IF(A22="","",ROUND(IF(AA22&lt;&gt;"",AA22,Z22*'Setup &amp; Lists'!$B$10),2)),"")</f>
        <v/>
      </c>
      <c r="AC22" s="51" t="n"/>
      <c r="AD22" s="53">
        <f>IFERROR(IF(A22="","",MAX(0,ROUND(Z22-AC22,2))),"")</f>
        <v/>
      </c>
      <c r="AE22" s="32">
        <f>IFERROR(IF(A22="","",IF(AD22=0,"Paid",IF(AC22&gt;=AB22,"Deposit Met",IF(AC22&gt;0,"Partial Payment","Unpaid")))),"")</f>
        <v/>
      </c>
      <c r="AF22" s="54">
        <f>IFERROR(IF(OR(A22="",G22=""),"",G22-('Setup &amp; Lists'!$B$11/24)),"")</f>
        <v/>
      </c>
      <c r="AG22" s="25" t="n"/>
      <c r="AH22" s="25" t="n"/>
      <c r="AI22" s="50" t="n"/>
      <c r="AJ22" s="32">
        <f>IFERROR(IF(A22="","",IF(H22&lt;=G22,"Departure must be after arrival",IF(OR(J22="",J22&lt;1),"Rooms must be at least 1",IF(D22="","Guest name missing",IF(COUNTIF($A$2:$A$251,A22)&gt;1,"Duplicate reservation ID",IF(AND(P22="Confirmed",G22&gt;=TODAY(),G22&lt;=TODAY()+'Setup &amp; Lists'!$B$12,Q22=""),"Assign room for near-term arrival",IF(AND(G22&lt;TODAY(),P22="Confirmed"),"Past-due confirmed arrival",IF(AND(G22&gt;TODAY(),P22="Confirmed",AC22&lt;AB22),"Deposit shortfall",IF(AND(H22&lt;TODAY(),AD22&gt;0,P22&lt;&gt;"Cancelled"),"Balance remains after departure",IF(R22&lt;0,"Nightly rate is negative",IF(AC22&gt;Z22,"Deposit paid exceeds total value",""))))))))))),"")</f>
        <v/>
      </c>
    </row>
    <row r="23">
      <c r="A23" s="25" t="n"/>
      <c r="B23" s="25" t="n"/>
      <c r="C23" s="50" t="n"/>
      <c r="D23" s="25" t="n"/>
      <c r="E23" s="25" t="n"/>
      <c r="F23" s="25" t="n"/>
      <c r="G23" s="50" t="n"/>
      <c r="H23" s="50" t="n"/>
      <c r="I23" s="27">
        <f>IFERROR(IF(A23="","",MAX(0,H23-G23)),"")</f>
        <v/>
      </c>
      <c r="J23" s="28" t="n"/>
      <c r="K23" s="28" t="n"/>
      <c r="L23" s="28" t="n"/>
      <c r="M23" s="25" t="n"/>
      <c r="N23" s="25" t="n"/>
      <c r="O23" s="25" t="n"/>
      <c r="P23" s="25" t="n"/>
      <c r="Q23" s="25" t="n"/>
      <c r="R23" s="51" t="n"/>
      <c r="S23" s="52" t="n"/>
      <c r="T23" s="51" t="n"/>
      <c r="U23" s="52" t="n"/>
      <c r="V23" s="52" t="n"/>
      <c r="W23" s="53">
        <f>IFERROR(IF(A23="","",ROUND(I23*J23*R23*(1-S23),2)),"")</f>
        <v/>
      </c>
      <c r="X23" s="53">
        <f>IFERROR(IF(A23="","",ROUND(W23*IF(V23="",'Setup &amp; Lists'!$B$7,V23),2)),"")</f>
        <v/>
      </c>
      <c r="Y23" s="53">
        <f>IFERROR(IF(A23="","",ROUND((W23+IF('Setup &amp; Lists'!$B$8="Yes",T23,0)+IF('Setup &amp; Lists'!$B$9="Yes",X23,0))*IF(U23="",'Setup &amp; Lists'!$B$6,U23),2)),"")</f>
        <v/>
      </c>
      <c r="Z23" s="53">
        <f>IFERROR(IF(A23="","",ROUND(W23+T23+X23+Y23,2)),"")</f>
        <v/>
      </c>
      <c r="AA23" s="51" t="n"/>
      <c r="AB23" s="53">
        <f>IFERROR(IF(A23="","",ROUND(IF(AA23&lt;&gt;"",AA23,Z23*'Setup &amp; Lists'!$B$10),2)),"")</f>
        <v/>
      </c>
      <c r="AC23" s="51" t="n"/>
      <c r="AD23" s="53">
        <f>IFERROR(IF(A23="","",MAX(0,ROUND(Z23-AC23,2))),"")</f>
        <v/>
      </c>
      <c r="AE23" s="32">
        <f>IFERROR(IF(A23="","",IF(AD23=0,"Paid",IF(AC23&gt;=AB23,"Deposit Met",IF(AC23&gt;0,"Partial Payment","Unpaid")))),"")</f>
        <v/>
      </c>
      <c r="AF23" s="54">
        <f>IFERROR(IF(OR(A23="",G23=""),"",G23-('Setup &amp; Lists'!$B$11/24)),"")</f>
        <v/>
      </c>
      <c r="AG23" s="25" t="n"/>
      <c r="AH23" s="25" t="n"/>
      <c r="AI23" s="50" t="n"/>
      <c r="AJ23" s="32">
        <f>IFERROR(IF(A23="","",IF(H23&lt;=G23,"Departure must be after arrival",IF(OR(J23="",J23&lt;1),"Rooms must be at least 1",IF(D23="","Guest name missing",IF(COUNTIF($A$2:$A$251,A23)&gt;1,"Duplicate reservation ID",IF(AND(P23="Confirmed",G23&gt;=TODAY(),G23&lt;=TODAY()+'Setup &amp; Lists'!$B$12,Q23=""),"Assign room for near-term arrival",IF(AND(G23&lt;TODAY(),P23="Confirmed"),"Past-due confirmed arrival",IF(AND(G23&gt;TODAY(),P23="Confirmed",AC23&lt;AB23),"Deposit shortfall",IF(AND(H23&lt;TODAY(),AD23&gt;0,P23&lt;&gt;"Cancelled"),"Balance remains after departure",IF(R23&lt;0,"Nightly rate is negative",IF(AC23&gt;Z23,"Deposit paid exceeds total value",""))))))))))),"")</f>
        <v/>
      </c>
    </row>
    <row r="24">
      <c r="A24" s="25" t="n"/>
      <c r="B24" s="25" t="n"/>
      <c r="C24" s="50" t="n"/>
      <c r="D24" s="25" t="n"/>
      <c r="E24" s="25" t="n"/>
      <c r="F24" s="25" t="n"/>
      <c r="G24" s="50" t="n"/>
      <c r="H24" s="50" t="n"/>
      <c r="I24" s="27">
        <f>IFERROR(IF(A24="","",MAX(0,H24-G24)),"")</f>
        <v/>
      </c>
      <c r="J24" s="28" t="n"/>
      <c r="K24" s="28" t="n"/>
      <c r="L24" s="28" t="n"/>
      <c r="M24" s="25" t="n"/>
      <c r="N24" s="25" t="n"/>
      <c r="O24" s="25" t="n"/>
      <c r="P24" s="25" t="n"/>
      <c r="Q24" s="25" t="n"/>
      <c r="R24" s="51" t="n"/>
      <c r="S24" s="52" t="n"/>
      <c r="T24" s="51" t="n"/>
      <c r="U24" s="52" t="n"/>
      <c r="V24" s="52" t="n"/>
      <c r="W24" s="53">
        <f>IFERROR(IF(A24="","",ROUND(I24*J24*R24*(1-S24),2)),"")</f>
        <v/>
      </c>
      <c r="X24" s="53">
        <f>IFERROR(IF(A24="","",ROUND(W24*IF(V24="",'Setup &amp; Lists'!$B$7,V24),2)),"")</f>
        <v/>
      </c>
      <c r="Y24" s="53">
        <f>IFERROR(IF(A24="","",ROUND((W24+IF('Setup &amp; Lists'!$B$8="Yes",T24,0)+IF('Setup &amp; Lists'!$B$9="Yes",X24,0))*IF(U24="",'Setup &amp; Lists'!$B$6,U24),2)),"")</f>
        <v/>
      </c>
      <c r="Z24" s="53">
        <f>IFERROR(IF(A24="","",ROUND(W24+T24+X24+Y24,2)),"")</f>
        <v/>
      </c>
      <c r="AA24" s="51" t="n"/>
      <c r="AB24" s="53">
        <f>IFERROR(IF(A24="","",ROUND(IF(AA24&lt;&gt;"",AA24,Z24*'Setup &amp; Lists'!$B$10),2)),"")</f>
        <v/>
      </c>
      <c r="AC24" s="51" t="n"/>
      <c r="AD24" s="53">
        <f>IFERROR(IF(A24="","",MAX(0,ROUND(Z24-AC24,2))),"")</f>
        <v/>
      </c>
      <c r="AE24" s="32">
        <f>IFERROR(IF(A24="","",IF(AD24=0,"Paid",IF(AC24&gt;=AB24,"Deposit Met",IF(AC24&gt;0,"Partial Payment","Unpaid")))),"")</f>
        <v/>
      </c>
      <c r="AF24" s="54">
        <f>IFERROR(IF(OR(A24="",G24=""),"",G24-('Setup &amp; Lists'!$B$11/24)),"")</f>
        <v/>
      </c>
      <c r="AG24" s="25" t="n"/>
      <c r="AH24" s="25" t="n"/>
      <c r="AI24" s="50" t="n"/>
      <c r="AJ24" s="32">
        <f>IFERROR(IF(A24="","",IF(H24&lt;=G24,"Departure must be after arrival",IF(OR(J24="",J24&lt;1),"Rooms must be at least 1",IF(D24="","Guest name missing",IF(COUNTIF($A$2:$A$251,A24)&gt;1,"Duplicate reservation ID",IF(AND(P24="Confirmed",G24&gt;=TODAY(),G24&lt;=TODAY()+'Setup &amp; Lists'!$B$12,Q24=""),"Assign room for near-term arrival",IF(AND(G24&lt;TODAY(),P24="Confirmed"),"Past-due confirmed arrival",IF(AND(G24&gt;TODAY(),P24="Confirmed",AC24&lt;AB24),"Deposit shortfall",IF(AND(H24&lt;TODAY(),AD24&gt;0,P24&lt;&gt;"Cancelled"),"Balance remains after departure",IF(R24&lt;0,"Nightly rate is negative",IF(AC24&gt;Z24,"Deposit paid exceeds total value",""))))))))))),"")</f>
        <v/>
      </c>
    </row>
    <row r="25">
      <c r="A25" s="25" t="n"/>
      <c r="B25" s="25" t="n"/>
      <c r="C25" s="50" t="n"/>
      <c r="D25" s="25" t="n"/>
      <c r="E25" s="25" t="n"/>
      <c r="F25" s="25" t="n"/>
      <c r="G25" s="50" t="n"/>
      <c r="H25" s="50" t="n"/>
      <c r="I25" s="27">
        <f>IFERROR(IF(A25="","",MAX(0,H25-G25)),"")</f>
        <v/>
      </c>
      <c r="J25" s="28" t="n"/>
      <c r="K25" s="28" t="n"/>
      <c r="L25" s="28" t="n"/>
      <c r="M25" s="25" t="n"/>
      <c r="N25" s="25" t="n"/>
      <c r="O25" s="25" t="n"/>
      <c r="P25" s="25" t="n"/>
      <c r="Q25" s="25" t="n"/>
      <c r="R25" s="51" t="n"/>
      <c r="S25" s="52" t="n"/>
      <c r="T25" s="51" t="n"/>
      <c r="U25" s="52" t="n"/>
      <c r="V25" s="52" t="n"/>
      <c r="W25" s="53">
        <f>IFERROR(IF(A25="","",ROUND(I25*J25*R25*(1-S25),2)),"")</f>
        <v/>
      </c>
      <c r="X25" s="53">
        <f>IFERROR(IF(A25="","",ROUND(W25*IF(V25="",'Setup &amp; Lists'!$B$7,V25),2)),"")</f>
        <v/>
      </c>
      <c r="Y25" s="53">
        <f>IFERROR(IF(A25="","",ROUND((W25+IF('Setup &amp; Lists'!$B$8="Yes",T25,0)+IF('Setup &amp; Lists'!$B$9="Yes",X25,0))*IF(U25="",'Setup &amp; Lists'!$B$6,U25),2)),"")</f>
        <v/>
      </c>
      <c r="Z25" s="53">
        <f>IFERROR(IF(A25="","",ROUND(W25+T25+X25+Y25,2)),"")</f>
        <v/>
      </c>
      <c r="AA25" s="51" t="n"/>
      <c r="AB25" s="53">
        <f>IFERROR(IF(A25="","",ROUND(IF(AA25&lt;&gt;"",AA25,Z25*'Setup &amp; Lists'!$B$10),2)),"")</f>
        <v/>
      </c>
      <c r="AC25" s="51" t="n"/>
      <c r="AD25" s="53">
        <f>IFERROR(IF(A25="","",MAX(0,ROUND(Z25-AC25,2))),"")</f>
        <v/>
      </c>
      <c r="AE25" s="32">
        <f>IFERROR(IF(A25="","",IF(AD25=0,"Paid",IF(AC25&gt;=AB25,"Deposit Met",IF(AC25&gt;0,"Partial Payment","Unpaid")))),"")</f>
        <v/>
      </c>
      <c r="AF25" s="54">
        <f>IFERROR(IF(OR(A25="",G25=""),"",G25-('Setup &amp; Lists'!$B$11/24)),"")</f>
        <v/>
      </c>
      <c r="AG25" s="25" t="n"/>
      <c r="AH25" s="25" t="n"/>
      <c r="AI25" s="50" t="n"/>
      <c r="AJ25" s="32">
        <f>IFERROR(IF(A25="","",IF(H25&lt;=G25,"Departure must be after arrival",IF(OR(J25="",J25&lt;1),"Rooms must be at least 1",IF(D25="","Guest name missing",IF(COUNTIF($A$2:$A$251,A25)&gt;1,"Duplicate reservation ID",IF(AND(P25="Confirmed",G25&gt;=TODAY(),G25&lt;=TODAY()+'Setup &amp; Lists'!$B$12,Q25=""),"Assign room for near-term arrival",IF(AND(G25&lt;TODAY(),P25="Confirmed"),"Past-due confirmed arrival",IF(AND(G25&gt;TODAY(),P25="Confirmed",AC25&lt;AB25),"Deposit shortfall",IF(AND(H25&lt;TODAY(),AD25&gt;0,P25&lt;&gt;"Cancelled"),"Balance remains after departure",IF(R25&lt;0,"Nightly rate is negative",IF(AC25&gt;Z25,"Deposit paid exceeds total value",""))))))))))),"")</f>
        <v/>
      </c>
    </row>
    <row r="26">
      <c r="A26" s="25" t="n"/>
      <c r="B26" s="25" t="n"/>
      <c r="C26" s="50" t="n"/>
      <c r="D26" s="25" t="n"/>
      <c r="E26" s="25" t="n"/>
      <c r="F26" s="25" t="n"/>
      <c r="G26" s="50" t="n"/>
      <c r="H26" s="50" t="n"/>
      <c r="I26" s="27">
        <f>IFERROR(IF(A26="","",MAX(0,H26-G26)),"")</f>
        <v/>
      </c>
      <c r="J26" s="28" t="n"/>
      <c r="K26" s="28" t="n"/>
      <c r="L26" s="28" t="n"/>
      <c r="M26" s="25" t="n"/>
      <c r="N26" s="25" t="n"/>
      <c r="O26" s="25" t="n"/>
      <c r="P26" s="25" t="n"/>
      <c r="Q26" s="25" t="n"/>
      <c r="R26" s="51" t="n"/>
      <c r="S26" s="52" t="n"/>
      <c r="T26" s="51" t="n"/>
      <c r="U26" s="52" t="n"/>
      <c r="V26" s="52" t="n"/>
      <c r="W26" s="53">
        <f>IFERROR(IF(A26="","",ROUND(I26*J26*R26*(1-S26),2)),"")</f>
        <v/>
      </c>
      <c r="X26" s="53">
        <f>IFERROR(IF(A26="","",ROUND(W26*IF(V26="",'Setup &amp; Lists'!$B$7,V26),2)),"")</f>
        <v/>
      </c>
      <c r="Y26" s="53">
        <f>IFERROR(IF(A26="","",ROUND((W26+IF('Setup &amp; Lists'!$B$8="Yes",T26,0)+IF('Setup &amp; Lists'!$B$9="Yes",X26,0))*IF(U26="",'Setup &amp; Lists'!$B$6,U26),2)),"")</f>
        <v/>
      </c>
      <c r="Z26" s="53">
        <f>IFERROR(IF(A26="","",ROUND(W26+T26+X26+Y26,2)),"")</f>
        <v/>
      </c>
      <c r="AA26" s="51" t="n"/>
      <c r="AB26" s="53">
        <f>IFERROR(IF(A26="","",ROUND(IF(AA26&lt;&gt;"",AA26,Z26*'Setup &amp; Lists'!$B$10),2)),"")</f>
        <v/>
      </c>
      <c r="AC26" s="51" t="n"/>
      <c r="AD26" s="53">
        <f>IFERROR(IF(A26="","",MAX(0,ROUND(Z26-AC26,2))),"")</f>
        <v/>
      </c>
      <c r="AE26" s="32">
        <f>IFERROR(IF(A26="","",IF(AD26=0,"Paid",IF(AC26&gt;=AB26,"Deposit Met",IF(AC26&gt;0,"Partial Payment","Unpaid")))),"")</f>
        <v/>
      </c>
      <c r="AF26" s="54">
        <f>IFERROR(IF(OR(A26="",G26=""),"",G26-('Setup &amp; Lists'!$B$11/24)),"")</f>
        <v/>
      </c>
      <c r="AG26" s="25" t="n"/>
      <c r="AH26" s="25" t="n"/>
      <c r="AI26" s="50" t="n"/>
      <c r="AJ26" s="32">
        <f>IFERROR(IF(A26="","",IF(H26&lt;=G26,"Departure must be after arrival",IF(OR(J26="",J26&lt;1),"Rooms must be at least 1",IF(D26="","Guest name missing",IF(COUNTIF($A$2:$A$251,A26)&gt;1,"Duplicate reservation ID",IF(AND(P26="Confirmed",G26&gt;=TODAY(),G26&lt;=TODAY()+'Setup &amp; Lists'!$B$12,Q26=""),"Assign room for near-term arrival",IF(AND(G26&lt;TODAY(),P26="Confirmed"),"Past-due confirmed arrival",IF(AND(G26&gt;TODAY(),P26="Confirmed",AC26&lt;AB26),"Deposit shortfall",IF(AND(H26&lt;TODAY(),AD26&gt;0,P26&lt;&gt;"Cancelled"),"Balance remains after departure",IF(R26&lt;0,"Nightly rate is negative",IF(AC26&gt;Z26,"Deposit paid exceeds total value",""))))))))))),"")</f>
        <v/>
      </c>
    </row>
    <row r="27">
      <c r="A27" s="25" t="n"/>
      <c r="B27" s="25" t="n"/>
      <c r="C27" s="50" t="n"/>
      <c r="D27" s="25" t="n"/>
      <c r="E27" s="25" t="n"/>
      <c r="F27" s="25" t="n"/>
      <c r="G27" s="50" t="n"/>
      <c r="H27" s="50" t="n"/>
      <c r="I27" s="27">
        <f>IFERROR(IF(A27="","",MAX(0,H27-G27)),"")</f>
        <v/>
      </c>
      <c r="J27" s="28" t="n"/>
      <c r="K27" s="28" t="n"/>
      <c r="L27" s="28" t="n"/>
      <c r="M27" s="25" t="n"/>
      <c r="N27" s="25" t="n"/>
      <c r="O27" s="25" t="n"/>
      <c r="P27" s="25" t="n"/>
      <c r="Q27" s="25" t="n"/>
      <c r="R27" s="51" t="n"/>
      <c r="S27" s="52" t="n"/>
      <c r="T27" s="51" t="n"/>
      <c r="U27" s="52" t="n"/>
      <c r="V27" s="52" t="n"/>
      <c r="W27" s="53">
        <f>IFERROR(IF(A27="","",ROUND(I27*J27*R27*(1-S27),2)),"")</f>
        <v/>
      </c>
      <c r="X27" s="53">
        <f>IFERROR(IF(A27="","",ROUND(W27*IF(V27="",'Setup &amp; Lists'!$B$7,V27),2)),"")</f>
        <v/>
      </c>
      <c r="Y27" s="53">
        <f>IFERROR(IF(A27="","",ROUND((W27+IF('Setup &amp; Lists'!$B$8="Yes",T27,0)+IF('Setup &amp; Lists'!$B$9="Yes",X27,0))*IF(U27="",'Setup &amp; Lists'!$B$6,U27),2)),"")</f>
        <v/>
      </c>
      <c r="Z27" s="53">
        <f>IFERROR(IF(A27="","",ROUND(W27+T27+X27+Y27,2)),"")</f>
        <v/>
      </c>
      <c r="AA27" s="51" t="n"/>
      <c r="AB27" s="53">
        <f>IFERROR(IF(A27="","",ROUND(IF(AA27&lt;&gt;"",AA27,Z27*'Setup &amp; Lists'!$B$10),2)),"")</f>
        <v/>
      </c>
      <c r="AC27" s="51" t="n"/>
      <c r="AD27" s="53">
        <f>IFERROR(IF(A27="","",MAX(0,ROUND(Z27-AC27,2))),"")</f>
        <v/>
      </c>
      <c r="AE27" s="32">
        <f>IFERROR(IF(A27="","",IF(AD27=0,"Paid",IF(AC27&gt;=AB27,"Deposit Met",IF(AC27&gt;0,"Partial Payment","Unpaid")))),"")</f>
        <v/>
      </c>
      <c r="AF27" s="54">
        <f>IFERROR(IF(OR(A27="",G27=""),"",G27-('Setup &amp; Lists'!$B$11/24)),"")</f>
        <v/>
      </c>
      <c r="AG27" s="25" t="n"/>
      <c r="AH27" s="25" t="n"/>
      <c r="AI27" s="50" t="n"/>
      <c r="AJ27" s="32">
        <f>IFERROR(IF(A27="","",IF(H27&lt;=G27,"Departure must be after arrival",IF(OR(J27="",J27&lt;1),"Rooms must be at least 1",IF(D27="","Guest name missing",IF(COUNTIF($A$2:$A$251,A27)&gt;1,"Duplicate reservation ID",IF(AND(P27="Confirmed",G27&gt;=TODAY(),G27&lt;=TODAY()+'Setup &amp; Lists'!$B$12,Q27=""),"Assign room for near-term arrival",IF(AND(G27&lt;TODAY(),P27="Confirmed"),"Past-due confirmed arrival",IF(AND(G27&gt;TODAY(),P27="Confirmed",AC27&lt;AB27),"Deposit shortfall",IF(AND(H27&lt;TODAY(),AD27&gt;0,P27&lt;&gt;"Cancelled"),"Balance remains after departure",IF(R27&lt;0,"Nightly rate is negative",IF(AC27&gt;Z27,"Deposit paid exceeds total value",""))))))))))),"")</f>
        <v/>
      </c>
    </row>
    <row r="28">
      <c r="A28" s="25" t="n"/>
      <c r="B28" s="25" t="n"/>
      <c r="C28" s="50" t="n"/>
      <c r="D28" s="25" t="n"/>
      <c r="E28" s="25" t="n"/>
      <c r="F28" s="25" t="n"/>
      <c r="G28" s="50" t="n"/>
      <c r="H28" s="50" t="n"/>
      <c r="I28" s="27">
        <f>IFERROR(IF(A28="","",MAX(0,H28-G28)),"")</f>
        <v/>
      </c>
      <c r="J28" s="28" t="n"/>
      <c r="K28" s="28" t="n"/>
      <c r="L28" s="28" t="n"/>
      <c r="M28" s="25" t="n"/>
      <c r="N28" s="25" t="n"/>
      <c r="O28" s="25" t="n"/>
      <c r="P28" s="25" t="n"/>
      <c r="Q28" s="25" t="n"/>
      <c r="R28" s="51" t="n"/>
      <c r="S28" s="52" t="n"/>
      <c r="T28" s="51" t="n"/>
      <c r="U28" s="52" t="n"/>
      <c r="V28" s="52" t="n"/>
      <c r="W28" s="53">
        <f>IFERROR(IF(A28="","",ROUND(I28*J28*R28*(1-S28),2)),"")</f>
        <v/>
      </c>
      <c r="X28" s="53">
        <f>IFERROR(IF(A28="","",ROUND(W28*IF(V28="",'Setup &amp; Lists'!$B$7,V28),2)),"")</f>
        <v/>
      </c>
      <c r="Y28" s="53">
        <f>IFERROR(IF(A28="","",ROUND((W28+IF('Setup &amp; Lists'!$B$8="Yes",T28,0)+IF('Setup &amp; Lists'!$B$9="Yes",X28,0))*IF(U28="",'Setup &amp; Lists'!$B$6,U28),2)),"")</f>
        <v/>
      </c>
      <c r="Z28" s="53">
        <f>IFERROR(IF(A28="","",ROUND(W28+T28+X28+Y28,2)),"")</f>
        <v/>
      </c>
      <c r="AA28" s="51" t="n"/>
      <c r="AB28" s="53">
        <f>IFERROR(IF(A28="","",ROUND(IF(AA28&lt;&gt;"",AA28,Z28*'Setup &amp; Lists'!$B$10),2)),"")</f>
        <v/>
      </c>
      <c r="AC28" s="51" t="n"/>
      <c r="AD28" s="53">
        <f>IFERROR(IF(A28="","",MAX(0,ROUND(Z28-AC28,2))),"")</f>
        <v/>
      </c>
      <c r="AE28" s="32">
        <f>IFERROR(IF(A28="","",IF(AD28=0,"Paid",IF(AC28&gt;=AB28,"Deposit Met",IF(AC28&gt;0,"Partial Payment","Unpaid")))),"")</f>
        <v/>
      </c>
      <c r="AF28" s="54">
        <f>IFERROR(IF(OR(A28="",G28=""),"",G28-('Setup &amp; Lists'!$B$11/24)),"")</f>
        <v/>
      </c>
      <c r="AG28" s="25" t="n"/>
      <c r="AH28" s="25" t="n"/>
      <c r="AI28" s="50" t="n"/>
      <c r="AJ28" s="32">
        <f>IFERROR(IF(A28="","",IF(H28&lt;=G28,"Departure must be after arrival",IF(OR(J28="",J28&lt;1),"Rooms must be at least 1",IF(D28="","Guest name missing",IF(COUNTIF($A$2:$A$251,A28)&gt;1,"Duplicate reservation ID",IF(AND(P28="Confirmed",G28&gt;=TODAY(),G28&lt;=TODAY()+'Setup &amp; Lists'!$B$12,Q28=""),"Assign room for near-term arrival",IF(AND(G28&lt;TODAY(),P28="Confirmed"),"Past-due confirmed arrival",IF(AND(G28&gt;TODAY(),P28="Confirmed",AC28&lt;AB28),"Deposit shortfall",IF(AND(H28&lt;TODAY(),AD28&gt;0,P28&lt;&gt;"Cancelled"),"Balance remains after departure",IF(R28&lt;0,"Nightly rate is negative",IF(AC28&gt;Z28,"Deposit paid exceeds total value",""))))))))))),"")</f>
        <v/>
      </c>
    </row>
    <row r="29">
      <c r="A29" s="25" t="n"/>
      <c r="B29" s="25" t="n"/>
      <c r="C29" s="50" t="n"/>
      <c r="D29" s="25" t="n"/>
      <c r="E29" s="25" t="n"/>
      <c r="F29" s="25" t="n"/>
      <c r="G29" s="50" t="n"/>
      <c r="H29" s="50" t="n"/>
      <c r="I29" s="27">
        <f>IFERROR(IF(A29="","",MAX(0,H29-G29)),"")</f>
        <v/>
      </c>
      <c r="J29" s="28" t="n"/>
      <c r="K29" s="28" t="n"/>
      <c r="L29" s="28" t="n"/>
      <c r="M29" s="25" t="n"/>
      <c r="N29" s="25" t="n"/>
      <c r="O29" s="25" t="n"/>
      <c r="P29" s="25" t="n"/>
      <c r="Q29" s="25" t="n"/>
      <c r="R29" s="51" t="n"/>
      <c r="S29" s="52" t="n"/>
      <c r="T29" s="51" t="n"/>
      <c r="U29" s="52" t="n"/>
      <c r="V29" s="52" t="n"/>
      <c r="W29" s="53">
        <f>IFERROR(IF(A29="","",ROUND(I29*J29*R29*(1-S29),2)),"")</f>
        <v/>
      </c>
      <c r="X29" s="53">
        <f>IFERROR(IF(A29="","",ROUND(W29*IF(V29="",'Setup &amp; Lists'!$B$7,V29),2)),"")</f>
        <v/>
      </c>
      <c r="Y29" s="53">
        <f>IFERROR(IF(A29="","",ROUND((W29+IF('Setup &amp; Lists'!$B$8="Yes",T29,0)+IF('Setup &amp; Lists'!$B$9="Yes",X29,0))*IF(U29="",'Setup &amp; Lists'!$B$6,U29),2)),"")</f>
        <v/>
      </c>
      <c r="Z29" s="53">
        <f>IFERROR(IF(A29="","",ROUND(W29+T29+X29+Y29,2)),"")</f>
        <v/>
      </c>
      <c r="AA29" s="51" t="n"/>
      <c r="AB29" s="53">
        <f>IFERROR(IF(A29="","",ROUND(IF(AA29&lt;&gt;"",AA29,Z29*'Setup &amp; Lists'!$B$10),2)),"")</f>
        <v/>
      </c>
      <c r="AC29" s="51" t="n"/>
      <c r="AD29" s="53">
        <f>IFERROR(IF(A29="","",MAX(0,ROUND(Z29-AC29,2))),"")</f>
        <v/>
      </c>
      <c r="AE29" s="32">
        <f>IFERROR(IF(A29="","",IF(AD29=0,"Paid",IF(AC29&gt;=AB29,"Deposit Met",IF(AC29&gt;0,"Partial Payment","Unpaid")))),"")</f>
        <v/>
      </c>
      <c r="AF29" s="54">
        <f>IFERROR(IF(OR(A29="",G29=""),"",G29-('Setup &amp; Lists'!$B$11/24)),"")</f>
        <v/>
      </c>
      <c r="AG29" s="25" t="n"/>
      <c r="AH29" s="25" t="n"/>
      <c r="AI29" s="50" t="n"/>
      <c r="AJ29" s="32">
        <f>IFERROR(IF(A29="","",IF(H29&lt;=G29,"Departure must be after arrival",IF(OR(J29="",J29&lt;1),"Rooms must be at least 1",IF(D29="","Guest name missing",IF(COUNTIF($A$2:$A$251,A29)&gt;1,"Duplicate reservation ID",IF(AND(P29="Confirmed",G29&gt;=TODAY(),G29&lt;=TODAY()+'Setup &amp; Lists'!$B$12,Q29=""),"Assign room for near-term arrival",IF(AND(G29&lt;TODAY(),P29="Confirmed"),"Past-due confirmed arrival",IF(AND(G29&gt;TODAY(),P29="Confirmed",AC29&lt;AB29),"Deposit shortfall",IF(AND(H29&lt;TODAY(),AD29&gt;0,P29&lt;&gt;"Cancelled"),"Balance remains after departure",IF(R29&lt;0,"Nightly rate is negative",IF(AC29&gt;Z29,"Deposit paid exceeds total value",""))))))))))),"")</f>
        <v/>
      </c>
    </row>
    <row r="30">
      <c r="A30" s="25" t="n"/>
      <c r="B30" s="25" t="n"/>
      <c r="C30" s="50" t="n"/>
      <c r="D30" s="25" t="n"/>
      <c r="E30" s="25" t="n"/>
      <c r="F30" s="25" t="n"/>
      <c r="G30" s="50" t="n"/>
      <c r="H30" s="50" t="n"/>
      <c r="I30" s="27">
        <f>IFERROR(IF(A30="","",MAX(0,H30-G30)),"")</f>
        <v/>
      </c>
      <c r="J30" s="28" t="n"/>
      <c r="K30" s="28" t="n"/>
      <c r="L30" s="28" t="n"/>
      <c r="M30" s="25" t="n"/>
      <c r="N30" s="25" t="n"/>
      <c r="O30" s="25" t="n"/>
      <c r="P30" s="25" t="n"/>
      <c r="Q30" s="25" t="n"/>
      <c r="R30" s="51" t="n"/>
      <c r="S30" s="52" t="n"/>
      <c r="T30" s="51" t="n"/>
      <c r="U30" s="52" t="n"/>
      <c r="V30" s="52" t="n"/>
      <c r="W30" s="53">
        <f>IFERROR(IF(A30="","",ROUND(I30*J30*R30*(1-S30),2)),"")</f>
        <v/>
      </c>
      <c r="X30" s="53">
        <f>IFERROR(IF(A30="","",ROUND(W30*IF(V30="",'Setup &amp; Lists'!$B$7,V30),2)),"")</f>
        <v/>
      </c>
      <c r="Y30" s="53">
        <f>IFERROR(IF(A30="","",ROUND((W30+IF('Setup &amp; Lists'!$B$8="Yes",T30,0)+IF('Setup &amp; Lists'!$B$9="Yes",X30,0))*IF(U30="",'Setup &amp; Lists'!$B$6,U30),2)),"")</f>
        <v/>
      </c>
      <c r="Z30" s="53">
        <f>IFERROR(IF(A30="","",ROUND(W30+T30+X30+Y30,2)),"")</f>
        <v/>
      </c>
      <c r="AA30" s="51" t="n"/>
      <c r="AB30" s="53">
        <f>IFERROR(IF(A30="","",ROUND(IF(AA30&lt;&gt;"",AA30,Z30*'Setup &amp; Lists'!$B$10),2)),"")</f>
        <v/>
      </c>
      <c r="AC30" s="51" t="n"/>
      <c r="AD30" s="53">
        <f>IFERROR(IF(A30="","",MAX(0,ROUND(Z30-AC30,2))),"")</f>
        <v/>
      </c>
      <c r="AE30" s="32">
        <f>IFERROR(IF(A30="","",IF(AD30=0,"Paid",IF(AC30&gt;=AB30,"Deposit Met",IF(AC30&gt;0,"Partial Payment","Unpaid")))),"")</f>
        <v/>
      </c>
      <c r="AF30" s="54">
        <f>IFERROR(IF(OR(A30="",G30=""),"",G30-('Setup &amp; Lists'!$B$11/24)),"")</f>
        <v/>
      </c>
      <c r="AG30" s="25" t="n"/>
      <c r="AH30" s="25" t="n"/>
      <c r="AI30" s="50" t="n"/>
      <c r="AJ30" s="32">
        <f>IFERROR(IF(A30="","",IF(H30&lt;=G30,"Departure must be after arrival",IF(OR(J30="",J30&lt;1),"Rooms must be at least 1",IF(D30="","Guest name missing",IF(COUNTIF($A$2:$A$251,A30)&gt;1,"Duplicate reservation ID",IF(AND(P30="Confirmed",G30&gt;=TODAY(),G30&lt;=TODAY()+'Setup &amp; Lists'!$B$12,Q30=""),"Assign room for near-term arrival",IF(AND(G30&lt;TODAY(),P30="Confirmed"),"Past-due confirmed arrival",IF(AND(G30&gt;TODAY(),P30="Confirmed",AC30&lt;AB30),"Deposit shortfall",IF(AND(H30&lt;TODAY(),AD30&gt;0,P30&lt;&gt;"Cancelled"),"Balance remains after departure",IF(R30&lt;0,"Nightly rate is negative",IF(AC30&gt;Z30,"Deposit paid exceeds total value",""))))))))))),"")</f>
        <v/>
      </c>
    </row>
    <row r="31">
      <c r="A31" s="25" t="n"/>
      <c r="B31" s="25" t="n"/>
      <c r="C31" s="50" t="n"/>
      <c r="D31" s="25" t="n"/>
      <c r="E31" s="25" t="n"/>
      <c r="F31" s="25" t="n"/>
      <c r="G31" s="50" t="n"/>
      <c r="H31" s="50" t="n"/>
      <c r="I31" s="27">
        <f>IFERROR(IF(A31="","",MAX(0,H31-G31)),"")</f>
        <v/>
      </c>
      <c r="J31" s="28" t="n"/>
      <c r="K31" s="28" t="n"/>
      <c r="L31" s="28" t="n"/>
      <c r="M31" s="25" t="n"/>
      <c r="N31" s="25" t="n"/>
      <c r="O31" s="25" t="n"/>
      <c r="P31" s="25" t="n"/>
      <c r="Q31" s="25" t="n"/>
      <c r="R31" s="51" t="n"/>
      <c r="S31" s="52" t="n"/>
      <c r="T31" s="51" t="n"/>
      <c r="U31" s="52" t="n"/>
      <c r="V31" s="52" t="n"/>
      <c r="W31" s="53">
        <f>IFERROR(IF(A31="","",ROUND(I31*J31*R31*(1-S31),2)),"")</f>
        <v/>
      </c>
      <c r="X31" s="53">
        <f>IFERROR(IF(A31="","",ROUND(W31*IF(V31="",'Setup &amp; Lists'!$B$7,V31),2)),"")</f>
        <v/>
      </c>
      <c r="Y31" s="53">
        <f>IFERROR(IF(A31="","",ROUND((W31+IF('Setup &amp; Lists'!$B$8="Yes",T31,0)+IF('Setup &amp; Lists'!$B$9="Yes",X31,0))*IF(U31="",'Setup &amp; Lists'!$B$6,U31),2)),"")</f>
        <v/>
      </c>
      <c r="Z31" s="53">
        <f>IFERROR(IF(A31="","",ROUND(W31+T31+X31+Y31,2)),"")</f>
        <v/>
      </c>
      <c r="AA31" s="51" t="n"/>
      <c r="AB31" s="53">
        <f>IFERROR(IF(A31="","",ROUND(IF(AA31&lt;&gt;"",AA31,Z31*'Setup &amp; Lists'!$B$10),2)),"")</f>
        <v/>
      </c>
      <c r="AC31" s="51" t="n"/>
      <c r="AD31" s="53">
        <f>IFERROR(IF(A31="","",MAX(0,ROUND(Z31-AC31,2))),"")</f>
        <v/>
      </c>
      <c r="AE31" s="32">
        <f>IFERROR(IF(A31="","",IF(AD31=0,"Paid",IF(AC31&gt;=AB31,"Deposit Met",IF(AC31&gt;0,"Partial Payment","Unpaid")))),"")</f>
        <v/>
      </c>
      <c r="AF31" s="54">
        <f>IFERROR(IF(OR(A31="",G31=""),"",G31-('Setup &amp; Lists'!$B$11/24)),"")</f>
        <v/>
      </c>
      <c r="AG31" s="25" t="n"/>
      <c r="AH31" s="25" t="n"/>
      <c r="AI31" s="50" t="n"/>
      <c r="AJ31" s="32">
        <f>IFERROR(IF(A31="","",IF(H31&lt;=G31,"Departure must be after arrival",IF(OR(J31="",J31&lt;1),"Rooms must be at least 1",IF(D31="","Guest name missing",IF(COUNTIF($A$2:$A$251,A31)&gt;1,"Duplicate reservation ID",IF(AND(P31="Confirmed",G31&gt;=TODAY(),G31&lt;=TODAY()+'Setup &amp; Lists'!$B$12,Q31=""),"Assign room for near-term arrival",IF(AND(G31&lt;TODAY(),P31="Confirmed"),"Past-due confirmed arrival",IF(AND(G31&gt;TODAY(),P31="Confirmed",AC31&lt;AB31),"Deposit shortfall",IF(AND(H31&lt;TODAY(),AD31&gt;0,P31&lt;&gt;"Cancelled"),"Balance remains after departure",IF(R31&lt;0,"Nightly rate is negative",IF(AC31&gt;Z31,"Deposit paid exceeds total value",""))))))))))),"")</f>
        <v/>
      </c>
    </row>
    <row r="32">
      <c r="A32" s="25" t="n"/>
      <c r="B32" s="25" t="n"/>
      <c r="C32" s="50" t="n"/>
      <c r="D32" s="25" t="n"/>
      <c r="E32" s="25" t="n"/>
      <c r="F32" s="25" t="n"/>
      <c r="G32" s="50" t="n"/>
      <c r="H32" s="50" t="n"/>
      <c r="I32" s="27">
        <f>IFERROR(IF(A32="","",MAX(0,H32-G32)),"")</f>
        <v/>
      </c>
      <c r="J32" s="28" t="n"/>
      <c r="K32" s="28" t="n"/>
      <c r="L32" s="28" t="n"/>
      <c r="M32" s="25" t="n"/>
      <c r="N32" s="25" t="n"/>
      <c r="O32" s="25" t="n"/>
      <c r="P32" s="25" t="n"/>
      <c r="Q32" s="25" t="n"/>
      <c r="R32" s="51" t="n"/>
      <c r="S32" s="52" t="n"/>
      <c r="T32" s="51" t="n"/>
      <c r="U32" s="52" t="n"/>
      <c r="V32" s="52" t="n"/>
      <c r="W32" s="53">
        <f>IFERROR(IF(A32="","",ROUND(I32*J32*R32*(1-S32),2)),"")</f>
        <v/>
      </c>
      <c r="X32" s="53">
        <f>IFERROR(IF(A32="","",ROUND(W32*IF(V32="",'Setup &amp; Lists'!$B$7,V32),2)),"")</f>
        <v/>
      </c>
      <c r="Y32" s="53">
        <f>IFERROR(IF(A32="","",ROUND((W32+IF('Setup &amp; Lists'!$B$8="Yes",T32,0)+IF('Setup &amp; Lists'!$B$9="Yes",X32,0))*IF(U32="",'Setup &amp; Lists'!$B$6,U32),2)),"")</f>
        <v/>
      </c>
      <c r="Z32" s="53">
        <f>IFERROR(IF(A32="","",ROUND(W32+T32+X32+Y32,2)),"")</f>
        <v/>
      </c>
      <c r="AA32" s="51" t="n"/>
      <c r="AB32" s="53">
        <f>IFERROR(IF(A32="","",ROUND(IF(AA32&lt;&gt;"",AA32,Z32*'Setup &amp; Lists'!$B$10),2)),"")</f>
        <v/>
      </c>
      <c r="AC32" s="51" t="n"/>
      <c r="AD32" s="53">
        <f>IFERROR(IF(A32="","",MAX(0,ROUND(Z32-AC32,2))),"")</f>
        <v/>
      </c>
      <c r="AE32" s="32">
        <f>IFERROR(IF(A32="","",IF(AD32=0,"Paid",IF(AC32&gt;=AB32,"Deposit Met",IF(AC32&gt;0,"Partial Payment","Unpaid")))),"")</f>
        <v/>
      </c>
      <c r="AF32" s="54">
        <f>IFERROR(IF(OR(A32="",G32=""),"",G32-('Setup &amp; Lists'!$B$11/24)),"")</f>
        <v/>
      </c>
      <c r="AG32" s="25" t="n"/>
      <c r="AH32" s="25" t="n"/>
      <c r="AI32" s="50" t="n"/>
      <c r="AJ32" s="32">
        <f>IFERROR(IF(A32="","",IF(H32&lt;=G32,"Departure must be after arrival",IF(OR(J32="",J32&lt;1),"Rooms must be at least 1",IF(D32="","Guest name missing",IF(COUNTIF($A$2:$A$251,A32)&gt;1,"Duplicate reservation ID",IF(AND(P32="Confirmed",G32&gt;=TODAY(),G32&lt;=TODAY()+'Setup &amp; Lists'!$B$12,Q32=""),"Assign room for near-term arrival",IF(AND(G32&lt;TODAY(),P32="Confirmed"),"Past-due confirmed arrival",IF(AND(G32&gt;TODAY(),P32="Confirmed",AC32&lt;AB32),"Deposit shortfall",IF(AND(H32&lt;TODAY(),AD32&gt;0,P32&lt;&gt;"Cancelled"),"Balance remains after departure",IF(R32&lt;0,"Nightly rate is negative",IF(AC32&gt;Z32,"Deposit paid exceeds total value",""))))))))))),"")</f>
        <v/>
      </c>
    </row>
    <row r="33">
      <c r="A33" s="25" t="n"/>
      <c r="B33" s="25" t="n"/>
      <c r="C33" s="50" t="n"/>
      <c r="D33" s="25" t="n"/>
      <c r="E33" s="25" t="n"/>
      <c r="F33" s="25" t="n"/>
      <c r="G33" s="50" t="n"/>
      <c r="H33" s="50" t="n"/>
      <c r="I33" s="27">
        <f>IFERROR(IF(A33="","",MAX(0,H33-G33)),"")</f>
        <v/>
      </c>
      <c r="J33" s="28" t="n"/>
      <c r="K33" s="28" t="n"/>
      <c r="L33" s="28" t="n"/>
      <c r="M33" s="25" t="n"/>
      <c r="N33" s="25" t="n"/>
      <c r="O33" s="25" t="n"/>
      <c r="P33" s="25" t="n"/>
      <c r="Q33" s="25" t="n"/>
      <c r="R33" s="51" t="n"/>
      <c r="S33" s="52" t="n"/>
      <c r="T33" s="51" t="n"/>
      <c r="U33" s="52" t="n"/>
      <c r="V33" s="52" t="n"/>
      <c r="W33" s="53">
        <f>IFERROR(IF(A33="","",ROUND(I33*J33*R33*(1-S33),2)),"")</f>
        <v/>
      </c>
      <c r="X33" s="53">
        <f>IFERROR(IF(A33="","",ROUND(W33*IF(V33="",'Setup &amp; Lists'!$B$7,V33),2)),"")</f>
        <v/>
      </c>
      <c r="Y33" s="53">
        <f>IFERROR(IF(A33="","",ROUND((W33+IF('Setup &amp; Lists'!$B$8="Yes",T33,0)+IF('Setup &amp; Lists'!$B$9="Yes",X33,0))*IF(U33="",'Setup &amp; Lists'!$B$6,U33),2)),"")</f>
        <v/>
      </c>
      <c r="Z33" s="53">
        <f>IFERROR(IF(A33="","",ROUND(W33+T33+X33+Y33,2)),"")</f>
        <v/>
      </c>
      <c r="AA33" s="51" t="n"/>
      <c r="AB33" s="53">
        <f>IFERROR(IF(A33="","",ROUND(IF(AA33&lt;&gt;"",AA33,Z33*'Setup &amp; Lists'!$B$10),2)),"")</f>
        <v/>
      </c>
      <c r="AC33" s="51" t="n"/>
      <c r="AD33" s="53">
        <f>IFERROR(IF(A33="","",MAX(0,ROUND(Z33-AC33,2))),"")</f>
        <v/>
      </c>
      <c r="AE33" s="32">
        <f>IFERROR(IF(A33="","",IF(AD33=0,"Paid",IF(AC33&gt;=AB33,"Deposit Met",IF(AC33&gt;0,"Partial Payment","Unpaid")))),"")</f>
        <v/>
      </c>
      <c r="AF33" s="54">
        <f>IFERROR(IF(OR(A33="",G33=""),"",G33-('Setup &amp; Lists'!$B$11/24)),"")</f>
        <v/>
      </c>
      <c r="AG33" s="25" t="n"/>
      <c r="AH33" s="25" t="n"/>
      <c r="AI33" s="50" t="n"/>
      <c r="AJ33" s="32">
        <f>IFERROR(IF(A33="","",IF(H33&lt;=G33,"Departure must be after arrival",IF(OR(J33="",J33&lt;1),"Rooms must be at least 1",IF(D33="","Guest name missing",IF(COUNTIF($A$2:$A$251,A33)&gt;1,"Duplicate reservation ID",IF(AND(P33="Confirmed",G33&gt;=TODAY(),G33&lt;=TODAY()+'Setup &amp; Lists'!$B$12,Q33=""),"Assign room for near-term arrival",IF(AND(G33&lt;TODAY(),P33="Confirmed"),"Past-due confirmed arrival",IF(AND(G33&gt;TODAY(),P33="Confirmed",AC33&lt;AB33),"Deposit shortfall",IF(AND(H33&lt;TODAY(),AD33&gt;0,P33&lt;&gt;"Cancelled"),"Balance remains after departure",IF(R33&lt;0,"Nightly rate is negative",IF(AC33&gt;Z33,"Deposit paid exceeds total value",""))))))))))),"")</f>
        <v/>
      </c>
    </row>
    <row r="34">
      <c r="A34" s="25" t="n"/>
      <c r="B34" s="25" t="n"/>
      <c r="C34" s="50" t="n"/>
      <c r="D34" s="25" t="n"/>
      <c r="E34" s="25" t="n"/>
      <c r="F34" s="25" t="n"/>
      <c r="G34" s="50" t="n"/>
      <c r="H34" s="50" t="n"/>
      <c r="I34" s="27">
        <f>IFERROR(IF(A34="","",MAX(0,H34-G34)),"")</f>
        <v/>
      </c>
      <c r="J34" s="28" t="n"/>
      <c r="K34" s="28" t="n"/>
      <c r="L34" s="28" t="n"/>
      <c r="M34" s="25" t="n"/>
      <c r="N34" s="25" t="n"/>
      <c r="O34" s="25" t="n"/>
      <c r="P34" s="25" t="n"/>
      <c r="Q34" s="25" t="n"/>
      <c r="R34" s="51" t="n"/>
      <c r="S34" s="52" t="n"/>
      <c r="T34" s="51" t="n"/>
      <c r="U34" s="52" t="n"/>
      <c r="V34" s="52" t="n"/>
      <c r="W34" s="53">
        <f>IFERROR(IF(A34="","",ROUND(I34*J34*R34*(1-S34),2)),"")</f>
        <v/>
      </c>
      <c r="X34" s="53">
        <f>IFERROR(IF(A34="","",ROUND(W34*IF(V34="",'Setup &amp; Lists'!$B$7,V34),2)),"")</f>
        <v/>
      </c>
      <c r="Y34" s="53">
        <f>IFERROR(IF(A34="","",ROUND((W34+IF('Setup &amp; Lists'!$B$8="Yes",T34,0)+IF('Setup &amp; Lists'!$B$9="Yes",X34,0))*IF(U34="",'Setup &amp; Lists'!$B$6,U34),2)),"")</f>
        <v/>
      </c>
      <c r="Z34" s="53">
        <f>IFERROR(IF(A34="","",ROUND(W34+T34+X34+Y34,2)),"")</f>
        <v/>
      </c>
      <c r="AA34" s="51" t="n"/>
      <c r="AB34" s="53">
        <f>IFERROR(IF(A34="","",ROUND(IF(AA34&lt;&gt;"",AA34,Z34*'Setup &amp; Lists'!$B$10),2)),"")</f>
        <v/>
      </c>
      <c r="AC34" s="51" t="n"/>
      <c r="AD34" s="53">
        <f>IFERROR(IF(A34="","",MAX(0,ROUND(Z34-AC34,2))),"")</f>
        <v/>
      </c>
      <c r="AE34" s="32">
        <f>IFERROR(IF(A34="","",IF(AD34=0,"Paid",IF(AC34&gt;=AB34,"Deposit Met",IF(AC34&gt;0,"Partial Payment","Unpaid")))),"")</f>
        <v/>
      </c>
      <c r="AF34" s="54">
        <f>IFERROR(IF(OR(A34="",G34=""),"",G34-('Setup &amp; Lists'!$B$11/24)),"")</f>
        <v/>
      </c>
      <c r="AG34" s="25" t="n"/>
      <c r="AH34" s="25" t="n"/>
      <c r="AI34" s="50" t="n"/>
      <c r="AJ34" s="32">
        <f>IFERROR(IF(A34="","",IF(H34&lt;=G34,"Departure must be after arrival",IF(OR(J34="",J34&lt;1),"Rooms must be at least 1",IF(D34="","Guest name missing",IF(COUNTIF($A$2:$A$251,A34)&gt;1,"Duplicate reservation ID",IF(AND(P34="Confirmed",G34&gt;=TODAY(),G34&lt;=TODAY()+'Setup &amp; Lists'!$B$12,Q34=""),"Assign room for near-term arrival",IF(AND(G34&lt;TODAY(),P34="Confirmed"),"Past-due confirmed arrival",IF(AND(G34&gt;TODAY(),P34="Confirmed",AC34&lt;AB34),"Deposit shortfall",IF(AND(H34&lt;TODAY(),AD34&gt;0,P34&lt;&gt;"Cancelled"),"Balance remains after departure",IF(R34&lt;0,"Nightly rate is negative",IF(AC34&gt;Z34,"Deposit paid exceeds total value",""))))))))))),"")</f>
        <v/>
      </c>
    </row>
    <row r="35">
      <c r="A35" s="25" t="n"/>
      <c r="B35" s="25" t="n"/>
      <c r="C35" s="50" t="n"/>
      <c r="D35" s="25" t="n"/>
      <c r="E35" s="25" t="n"/>
      <c r="F35" s="25" t="n"/>
      <c r="G35" s="50" t="n"/>
      <c r="H35" s="50" t="n"/>
      <c r="I35" s="27">
        <f>IFERROR(IF(A35="","",MAX(0,H35-G35)),"")</f>
        <v/>
      </c>
      <c r="J35" s="28" t="n"/>
      <c r="K35" s="28" t="n"/>
      <c r="L35" s="28" t="n"/>
      <c r="M35" s="25" t="n"/>
      <c r="N35" s="25" t="n"/>
      <c r="O35" s="25" t="n"/>
      <c r="P35" s="25" t="n"/>
      <c r="Q35" s="25" t="n"/>
      <c r="R35" s="51" t="n"/>
      <c r="S35" s="52" t="n"/>
      <c r="T35" s="51" t="n"/>
      <c r="U35" s="52" t="n"/>
      <c r="V35" s="52" t="n"/>
      <c r="W35" s="53">
        <f>IFERROR(IF(A35="","",ROUND(I35*J35*R35*(1-S35),2)),"")</f>
        <v/>
      </c>
      <c r="X35" s="53">
        <f>IFERROR(IF(A35="","",ROUND(W35*IF(V35="",'Setup &amp; Lists'!$B$7,V35),2)),"")</f>
        <v/>
      </c>
      <c r="Y35" s="53">
        <f>IFERROR(IF(A35="","",ROUND((W35+IF('Setup &amp; Lists'!$B$8="Yes",T35,0)+IF('Setup &amp; Lists'!$B$9="Yes",X35,0))*IF(U35="",'Setup &amp; Lists'!$B$6,U35),2)),"")</f>
        <v/>
      </c>
      <c r="Z35" s="53">
        <f>IFERROR(IF(A35="","",ROUND(W35+T35+X35+Y35,2)),"")</f>
        <v/>
      </c>
      <c r="AA35" s="51" t="n"/>
      <c r="AB35" s="53">
        <f>IFERROR(IF(A35="","",ROUND(IF(AA35&lt;&gt;"",AA35,Z35*'Setup &amp; Lists'!$B$10),2)),"")</f>
        <v/>
      </c>
      <c r="AC35" s="51" t="n"/>
      <c r="AD35" s="53">
        <f>IFERROR(IF(A35="","",MAX(0,ROUND(Z35-AC35,2))),"")</f>
        <v/>
      </c>
      <c r="AE35" s="32">
        <f>IFERROR(IF(A35="","",IF(AD35=0,"Paid",IF(AC35&gt;=AB35,"Deposit Met",IF(AC35&gt;0,"Partial Payment","Unpaid")))),"")</f>
        <v/>
      </c>
      <c r="AF35" s="54">
        <f>IFERROR(IF(OR(A35="",G35=""),"",G35-('Setup &amp; Lists'!$B$11/24)),"")</f>
        <v/>
      </c>
      <c r="AG35" s="25" t="n"/>
      <c r="AH35" s="25" t="n"/>
      <c r="AI35" s="50" t="n"/>
      <c r="AJ35" s="32">
        <f>IFERROR(IF(A35="","",IF(H35&lt;=G35,"Departure must be after arrival",IF(OR(J35="",J35&lt;1),"Rooms must be at least 1",IF(D35="","Guest name missing",IF(COUNTIF($A$2:$A$251,A35)&gt;1,"Duplicate reservation ID",IF(AND(P35="Confirmed",G35&gt;=TODAY(),G35&lt;=TODAY()+'Setup &amp; Lists'!$B$12,Q35=""),"Assign room for near-term arrival",IF(AND(G35&lt;TODAY(),P35="Confirmed"),"Past-due confirmed arrival",IF(AND(G35&gt;TODAY(),P35="Confirmed",AC35&lt;AB35),"Deposit shortfall",IF(AND(H35&lt;TODAY(),AD35&gt;0,P35&lt;&gt;"Cancelled"),"Balance remains after departure",IF(R35&lt;0,"Nightly rate is negative",IF(AC35&gt;Z35,"Deposit paid exceeds total value",""))))))))))),"")</f>
        <v/>
      </c>
    </row>
    <row r="36">
      <c r="A36" s="25" t="n"/>
      <c r="B36" s="25" t="n"/>
      <c r="C36" s="50" t="n"/>
      <c r="D36" s="25" t="n"/>
      <c r="E36" s="25" t="n"/>
      <c r="F36" s="25" t="n"/>
      <c r="G36" s="50" t="n"/>
      <c r="H36" s="50" t="n"/>
      <c r="I36" s="27">
        <f>IFERROR(IF(A36="","",MAX(0,H36-G36)),"")</f>
        <v/>
      </c>
      <c r="J36" s="28" t="n"/>
      <c r="K36" s="28" t="n"/>
      <c r="L36" s="28" t="n"/>
      <c r="M36" s="25" t="n"/>
      <c r="N36" s="25" t="n"/>
      <c r="O36" s="25" t="n"/>
      <c r="P36" s="25" t="n"/>
      <c r="Q36" s="25" t="n"/>
      <c r="R36" s="51" t="n"/>
      <c r="S36" s="52" t="n"/>
      <c r="T36" s="51" t="n"/>
      <c r="U36" s="52" t="n"/>
      <c r="V36" s="52" t="n"/>
      <c r="W36" s="53">
        <f>IFERROR(IF(A36="","",ROUND(I36*J36*R36*(1-S36),2)),"")</f>
        <v/>
      </c>
      <c r="X36" s="53">
        <f>IFERROR(IF(A36="","",ROUND(W36*IF(V36="",'Setup &amp; Lists'!$B$7,V36),2)),"")</f>
        <v/>
      </c>
      <c r="Y36" s="53">
        <f>IFERROR(IF(A36="","",ROUND((W36+IF('Setup &amp; Lists'!$B$8="Yes",T36,0)+IF('Setup &amp; Lists'!$B$9="Yes",X36,0))*IF(U36="",'Setup &amp; Lists'!$B$6,U36),2)),"")</f>
        <v/>
      </c>
      <c r="Z36" s="53">
        <f>IFERROR(IF(A36="","",ROUND(W36+T36+X36+Y36,2)),"")</f>
        <v/>
      </c>
      <c r="AA36" s="51" t="n"/>
      <c r="AB36" s="53">
        <f>IFERROR(IF(A36="","",ROUND(IF(AA36&lt;&gt;"",AA36,Z36*'Setup &amp; Lists'!$B$10),2)),"")</f>
        <v/>
      </c>
      <c r="AC36" s="51" t="n"/>
      <c r="AD36" s="53">
        <f>IFERROR(IF(A36="","",MAX(0,ROUND(Z36-AC36,2))),"")</f>
        <v/>
      </c>
      <c r="AE36" s="32">
        <f>IFERROR(IF(A36="","",IF(AD36=0,"Paid",IF(AC36&gt;=AB36,"Deposit Met",IF(AC36&gt;0,"Partial Payment","Unpaid")))),"")</f>
        <v/>
      </c>
      <c r="AF36" s="54">
        <f>IFERROR(IF(OR(A36="",G36=""),"",G36-('Setup &amp; Lists'!$B$11/24)),"")</f>
        <v/>
      </c>
      <c r="AG36" s="25" t="n"/>
      <c r="AH36" s="25" t="n"/>
      <c r="AI36" s="50" t="n"/>
      <c r="AJ36" s="32">
        <f>IFERROR(IF(A36="","",IF(H36&lt;=G36,"Departure must be after arrival",IF(OR(J36="",J36&lt;1),"Rooms must be at least 1",IF(D36="","Guest name missing",IF(COUNTIF($A$2:$A$251,A36)&gt;1,"Duplicate reservation ID",IF(AND(P36="Confirmed",G36&gt;=TODAY(),G36&lt;=TODAY()+'Setup &amp; Lists'!$B$12,Q36=""),"Assign room for near-term arrival",IF(AND(G36&lt;TODAY(),P36="Confirmed"),"Past-due confirmed arrival",IF(AND(G36&gt;TODAY(),P36="Confirmed",AC36&lt;AB36),"Deposit shortfall",IF(AND(H36&lt;TODAY(),AD36&gt;0,P36&lt;&gt;"Cancelled"),"Balance remains after departure",IF(R36&lt;0,"Nightly rate is negative",IF(AC36&gt;Z36,"Deposit paid exceeds total value",""))))))))))),"")</f>
        <v/>
      </c>
    </row>
    <row r="37">
      <c r="A37" s="25" t="n"/>
      <c r="B37" s="25" t="n"/>
      <c r="C37" s="50" t="n"/>
      <c r="D37" s="25" t="n"/>
      <c r="E37" s="25" t="n"/>
      <c r="F37" s="25" t="n"/>
      <c r="G37" s="50" t="n"/>
      <c r="H37" s="50" t="n"/>
      <c r="I37" s="27">
        <f>IFERROR(IF(A37="","",MAX(0,H37-G37)),"")</f>
        <v/>
      </c>
      <c r="J37" s="28" t="n"/>
      <c r="K37" s="28" t="n"/>
      <c r="L37" s="28" t="n"/>
      <c r="M37" s="25" t="n"/>
      <c r="N37" s="25" t="n"/>
      <c r="O37" s="25" t="n"/>
      <c r="P37" s="25" t="n"/>
      <c r="Q37" s="25" t="n"/>
      <c r="R37" s="51" t="n"/>
      <c r="S37" s="52" t="n"/>
      <c r="T37" s="51" t="n"/>
      <c r="U37" s="52" t="n"/>
      <c r="V37" s="52" t="n"/>
      <c r="W37" s="53">
        <f>IFERROR(IF(A37="","",ROUND(I37*J37*R37*(1-S37),2)),"")</f>
        <v/>
      </c>
      <c r="X37" s="53">
        <f>IFERROR(IF(A37="","",ROUND(W37*IF(V37="",'Setup &amp; Lists'!$B$7,V37),2)),"")</f>
        <v/>
      </c>
      <c r="Y37" s="53">
        <f>IFERROR(IF(A37="","",ROUND((W37+IF('Setup &amp; Lists'!$B$8="Yes",T37,0)+IF('Setup &amp; Lists'!$B$9="Yes",X37,0))*IF(U37="",'Setup &amp; Lists'!$B$6,U37),2)),"")</f>
        <v/>
      </c>
      <c r="Z37" s="53">
        <f>IFERROR(IF(A37="","",ROUND(W37+T37+X37+Y37,2)),"")</f>
        <v/>
      </c>
      <c r="AA37" s="51" t="n"/>
      <c r="AB37" s="53">
        <f>IFERROR(IF(A37="","",ROUND(IF(AA37&lt;&gt;"",AA37,Z37*'Setup &amp; Lists'!$B$10),2)),"")</f>
        <v/>
      </c>
      <c r="AC37" s="51" t="n"/>
      <c r="AD37" s="53">
        <f>IFERROR(IF(A37="","",MAX(0,ROUND(Z37-AC37,2))),"")</f>
        <v/>
      </c>
      <c r="AE37" s="32">
        <f>IFERROR(IF(A37="","",IF(AD37=0,"Paid",IF(AC37&gt;=AB37,"Deposit Met",IF(AC37&gt;0,"Partial Payment","Unpaid")))),"")</f>
        <v/>
      </c>
      <c r="AF37" s="54">
        <f>IFERROR(IF(OR(A37="",G37=""),"",G37-('Setup &amp; Lists'!$B$11/24)),"")</f>
        <v/>
      </c>
      <c r="AG37" s="25" t="n"/>
      <c r="AH37" s="25" t="n"/>
      <c r="AI37" s="50" t="n"/>
      <c r="AJ37" s="32">
        <f>IFERROR(IF(A37="","",IF(H37&lt;=G37,"Departure must be after arrival",IF(OR(J37="",J37&lt;1),"Rooms must be at least 1",IF(D37="","Guest name missing",IF(COUNTIF($A$2:$A$251,A37)&gt;1,"Duplicate reservation ID",IF(AND(P37="Confirmed",G37&gt;=TODAY(),G37&lt;=TODAY()+'Setup &amp; Lists'!$B$12,Q37=""),"Assign room for near-term arrival",IF(AND(G37&lt;TODAY(),P37="Confirmed"),"Past-due confirmed arrival",IF(AND(G37&gt;TODAY(),P37="Confirmed",AC37&lt;AB37),"Deposit shortfall",IF(AND(H37&lt;TODAY(),AD37&gt;0,P37&lt;&gt;"Cancelled"),"Balance remains after departure",IF(R37&lt;0,"Nightly rate is negative",IF(AC37&gt;Z37,"Deposit paid exceeds total value",""))))))))))),"")</f>
        <v/>
      </c>
    </row>
    <row r="38">
      <c r="A38" s="25" t="n"/>
      <c r="B38" s="25" t="n"/>
      <c r="C38" s="50" t="n"/>
      <c r="D38" s="25" t="n"/>
      <c r="E38" s="25" t="n"/>
      <c r="F38" s="25" t="n"/>
      <c r="G38" s="50" t="n"/>
      <c r="H38" s="50" t="n"/>
      <c r="I38" s="27">
        <f>IFERROR(IF(A38="","",MAX(0,H38-G38)),"")</f>
        <v/>
      </c>
      <c r="J38" s="28" t="n"/>
      <c r="K38" s="28" t="n"/>
      <c r="L38" s="28" t="n"/>
      <c r="M38" s="25" t="n"/>
      <c r="N38" s="25" t="n"/>
      <c r="O38" s="25" t="n"/>
      <c r="P38" s="25" t="n"/>
      <c r="Q38" s="25" t="n"/>
      <c r="R38" s="51" t="n"/>
      <c r="S38" s="52" t="n"/>
      <c r="T38" s="51" t="n"/>
      <c r="U38" s="52" t="n"/>
      <c r="V38" s="52" t="n"/>
      <c r="W38" s="53">
        <f>IFERROR(IF(A38="","",ROUND(I38*J38*R38*(1-S38),2)),"")</f>
        <v/>
      </c>
      <c r="X38" s="53">
        <f>IFERROR(IF(A38="","",ROUND(W38*IF(V38="",'Setup &amp; Lists'!$B$7,V38),2)),"")</f>
        <v/>
      </c>
      <c r="Y38" s="53">
        <f>IFERROR(IF(A38="","",ROUND((W38+IF('Setup &amp; Lists'!$B$8="Yes",T38,0)+IF('Setup &amp; Lists'!$B$9="Yes",X38,0))*IF(U38="",'Setup &amp; Lists'!$B$6,U38),2)),"")</f>
        <v/>
      </c>
      <c r="Z38" s="53">
        <f>IFERROR(IF(A38="","",ROUND(W38+T38+X38+Y38,2)),"")</f>
        <v/>
      </c>
      <c r="AA38" s="51" t="n"/>
      <c r="AB38" s="53">
        <f>IFERROR(IF(A38="","",ROUND(IF(AA38&lt;&gt;"",AA38,Z38*'Setup &amp; Lists'!$B$10),2)),"")</f>
        <v/>
      </c>
      <c r="AC38" s="51" t="n"/>
      <c r="AD38" s="53">
        <f>IFERROR(IF(A38="","",MAX(0,ROUND(Z38-AC38,2))),"")</f>
        <v/>
      </c>
      <c r="AE38" s="32">
        <f>IFERROR(IF(A38="","",IF(AD38=0,"Paid",IF(AC38&gt;=AB38,"Deposit Met",IF(AC38&gt;0,"Partial Payment","Unpaid")))),"")</f>
        <v/>
      </c>
      <c r="AF38" s="54">
        <f>IFERROR(IF(OR(A38="",G38=""),"",G38-('Setup &amp; Lists'!$B$11/24)),"")</f>
        <v/>
      </c>
      <c r="AG38" s="25" t="n"/>
      <c r="AH38" s="25" t="n"/>
      <c r="AI38" s="50" t="n"/>
      <c r="AJ38" s="32">
        <f>IFERROR(IF(A38="","",IF(H38&lt;=G38,"Departure must be after arrival",IF(OR(J38="",J38&lt;1),"Rooms must be at least 1",IF(D38="","Guest name missing",IF(COUNTIF($A$2:$A$251,A38)&gt;1,"Duplicate reservation ID",IF(AND(P38="Confirmed",G38&gt;=TODAY(),G38&lt;=TODAY()+'Setup &amp; Lists'!$B$12,Q38=""),"Assign room for near-term arrival",IF(AND(G38&lt;TODAY(),P38="Confirmed"),"Past-due confirmed arrival",IF(AND(G38&gt;TODAY(),P38="Confirmed",AC38&lt;AB38),"Deposit shortfall",IF(AND(H38&lt;TODAY(),AD38&gt;0,P38&lt;&gt;"Cancelled"),"Balance remains after departure",IF(R38&lt;0,"Nightly rate is negative",IF(AC38&gt;Z38,"Deposit paid exceeds total value",""))))))))))),"")</f>
        <v/>
      </c>
    </row>
    <row r="39">
      <c r="A39" s="25" t="n"/>
      <c r="B39" s="25" t="n"/>
      <c r="C39" s="50" t="n"/>
      <c r="D39" s="25" t="n"/>
      <c r="E39" s="25" t="n"/>
      <c r="F39" s="25" t="n"/>
      <c r="G39" s="50" t="n"/>
      <c r="H39" s="50" t="n"/>
      <c r="I39" s="27">
        <f>IFERROR(IF(A39="","",MAX(0,H39-G39)),"")</f>
        <v/>
      </c>
      <c r="J39" s="28" t="n"/>
      <c r="K39" s="28" t="n"/>
      <c r="L39" s="28" t="n"/>
      <c r="M39" s="25" t="n"/>
      <c r="N39" s="25" t="n"/>
      <c r="O39" s="25" t="n"/>
      <c r="P39" s="25" t="n"/>
      <c r="Q39" s="25" t="n"/>
      <c r="R39" s="51" t="n"/>
      <c r="S39" s="52" t="n"/>
      <c r="T39" s="51" t="n"/>
      <c r="U39" s="52" t="n"/>
      <c r="V39" s="52" t="n"/>
      <c r="W39" s="53">
        <f>IFERROR(IF(A39="","",ROUND(I39*J39*R39*(1-S39),2)),"")</f>
        <v/>
      </c>
      <c r="X39" s="53">
        <f>IFERROR(IF(A39="","",ROUND(W39*IF(V39="",'Setup &amp; Lists'!$B$7,V39),2)),"")</f>
        <v/>
      </c>
      <c r="Y39" s="53">
        <f>IFERROR(IF(A39="","",ROUND((W39+IF('Setup &amp; Lists'!$B$8="Yes",T39,0)+IF('Setup &amp; Lists'!$B$9="Yes",X39,0))*IF(U39="",'Setup &amp; Lists'!$B$6,U39),2)),"")</f>
        <v/>
      </c>
      <c r="Z39" s="53">
        <f>IFERROR(IF(A39="","",ROUND(W39+T39+X39+Y39,2)),"")</f>
        <v/>
      </c>
      <c r="AA39" s="51" t="n"/>
      <c r="AB39" s="53">
        <f>IFERROR(IF(A39="","",ROUND(IF(AA39&lt;&gt;"",AA39,Z39*'Setup &amp; Lists'!$B$10),2)),"")</f>
        <v/>
      </c>
      <c r="AC39" s="51" t="n"/>
      <c r="AD39" s="53">
        <f>IFERROR(IF(A39="","",MAX(0,ROUND(Z39-AC39,2))),"")</f>
        <v/>
      </c>
      <c r="AE39" s="32">
        <f>IFERROR(IF(A39="","",IF(AD39=0,"Paid",IF(AC39&gt;=AB39,"Deposit Met",IF(AC39&gt;0,"Partial Payment","Unpaid")))),"")</f>
        <v/>
      </c>
      <c r="AF39" s="54">
        <f>IFERROR(IF(OR(A39="",G39=""),"",G39-('Setup &amp; Lists'!$B$11/24)),"")</f>
        <v/>
      </c>
      <c r="AG39" s="25" t="n"/>
      <c r="AH39" s="25" t="n"/>
      <c r="AI39" s="50" t="n"/>
      <c r="AJ39" s="32">
        <f>IFERROR(IF(A39="","",IF(H39&lt;=G39,"Departure must be after arrival",IF(OR(J39="",J39&lt;1),"Rooms must be at least 1",IF(D39="","Guest name missing",IF(COUNTIF($A$2:$A$251,A39)&gt;1,"Duplicate reservation ID",IF(AND(P39="Confirmed",G39&gt;=TODAY(),G39&lt;=TODAY()+'Setup &amp; Lists'!$B$12,Q39=""),"Assign room for near-term arrival",IF(AND(G39&lt;TODAY(),P39="Confirmed"),"Past-due confirmed arrival",IF(AND(G39&gt;TODAY(),P39="Confirmed",AC39&lt;AB39),"Deposit shortfall",IF(AND(H39&lt;TODAY(),AD39&gt;0,P39&lt;&gt;"Cancelled"),"Balance remains after departure",IF(R39&lt;0,"Nightly rate is negative",IF(AC39&gt;Z39,"Deposit paid exceeds total value",""))))))))))),"")</f>
        <v/>
      </c>
    </row>
    <row r="40">
      <c r="A40" s="25" t="n"/>
      <c r="B40" s="25" t="n"/>
      <c r="C40" s="50" t="n"/>
      <c r="D40" s="25" t="n"/>
      <c r="E40" s="25" t="n"/>
      <c r="F40" s="25" t="n"/>
      <c r="G40" s="50" t="n"/>
      <c r="H40" s="50" t="n"/>
      <c r="I40" s="27">
        <f>IFERROR(IF(A40="","",MAX(0,H40-G40)),"")</f>
        <v/>
      </c>
      <c r="J40" s="28" t="n"/>
      <c r="K40" s="28" t="n"/>
      <c r="L40" s="28" t="n"/>
      <c r="M40" s="25" t="n"/>
      <c r="N40" s="25" t="n"/>
      <c r="O40" s="25" t="n"/>
      <c r="P40" s="25" t="n"/>
      <c r="Q40" s="25" t="n"/>
      <c r="R40" s="51" t="n"/>
      <c r="S40" s="52" t="n"/>
      <c r="T40" s="51" t="n"/>
      <c r="U40" s="52" t="n"/>
      <c r="V40" s="52" t="n"/>
      <c r="W40" s="53">
        <f>IFERROR(IF(A40="","",ROUND(I40*J40*R40*(1-S40),2)),"")</f>
        <v/>
      </c>
      <c r="X40" s="53">
        <f>IFERROR(IF(A40="","",ROUND(W40*IF(V40="",'Setup &amp; Lists'!$B$7,V40),2)),"")</f>
        <v/>
      </c>
      <c r="Y40" s="53">
        <f>IFERROR(IF(A40="","",ROUND((W40+IF('Setup &amp; Lists'!$B$8="Yes",T40,0)+IF('Setup &amp; Lists'!$B$9="Yes",X40,0))*IF(U40="",'Setup &amp; Lists'!$B$6,U40),2)),"")</f>
        <v/>
      </c>
      <c r="Z40" s="53">
        <f>IFERROR(IF(A40="","",ROUND(W40+T40+X40+Y40,2)),"")</f>
        <v/>
      </c>
      <c r="AA40" s="51" t="n"/>
      <c r="AB40" s="53">
        <f>IFERROR(IF(A40="","",ROUND(IF(AA40&lt;&gt;"",AA40,Z40*'Setup &amp; Lists'!$B$10),2)),"")</f>
        <v/>
      </c>
      <c r="AC40" s="51" t="n"/>
      <c r="AD40" s="53">
        <f>IFERROR(IF(A40="","",MAX(0,ROUND(Z40-AC40,2))),"")</f>
        <v/>
      </c>
      <c r="AE40" s="32">
        <f>IFERROR(IF(A40="","",IF(AD40=0,"Paid",IF(AC40&gt;=AB40,"Deposit Met",IF(AC40&gt;0,"Partial Payment","Unpaid")))),"")</f>
        <v/>
      </c>
      <c r="AF40" s="54">
        <f>IFERROR(IF(OR(A40="",G40=""),"",G40-('Setup &amp; Lists'!$B$11/24)),"")</f>
        <v/>
      </c>
      <c r="AG40" s="25" t="n"/>
      <c r="AH40" s="25" t="n"/>
      <c r="AI40" s="50" t="n"/>
      <c r="AJ40" s="32">
        <f>IFERROR(IF(A40="","",IF(H40&lt;=G40,"Departure must be after arrival",IF(OR(J40="",J40&lt;1),"Rooms must be at least 1",IF(D40="","Guest name missing",IF(COUNTIF($A$2:$A$251,A40)&gt;1,"Duplicate reservation ID",IF(AND(P40="Confirmed",G40&gt;=TODAY(),G40&lt;=TODAY()+'Setup &amp; Lists'!$B$12,Q40=""),"Assign room for near-term arrival",IF(AND(G40&lt;TODAY(),P40="Confirmed"),"Past-due confirmed arrival",IF(AND(G40&gt;TODAY(),P40="Confirmed",AC40&lt;AB40),"Deposit shortfall",IF(AND(H40&lt;TODAY(),AD40&gt;0,P40&lt;&gt;"Cancelled"),"Balance remains after departure",IF(R40&lt;0,"Nightly rate is negative",IF(AC40&gt;Z40,"Deposit paid exceeds total value",""))))))))))),"")</f>
        <v/>
      </c>
    </row>
    <row r="41">
      <c r="A41" s="25" t="n"/>
      <c r="B41" s="25" t="n"/>
      <c r="C41" s="50" t="n"/>
      <c r="D41" s="25" t="n"/>
      <c r="E41" s="25" t="n"/>
      <c r="F41" s="25" t="n"/>
      <c r="G41" s="50" t="n"/>
      <c r="H41" s="50" t="n"/>
      <c r="I41" s="27">
        <f>IFERROR(IF(A41="","",MAX(0,H41-G41)),"")</f>
        <v/>
      </c>
      <c r="J41" s="28" t="n"/>
      <c r="K41" s="28" t="n"/>
      <c r="L41" s="28" t="n"/>
      <c r="M41" s="25" t="n"/>
      <c r="N41" s="25" t="n"/>
      <c r="O41" s="25" t="n"/>
      <c r="P41" s="25" t="n"/>
      <c r="Q41" s="25" t="n"/>
      <c r="R41" s="51" t="n"/>
      <c r="S41" s="52" t="n"/>
      <c r="T41" s="51" t="n"/>
      <c r="U41" s="52" t="n"/>
      <c r="V41" s="52" t="n"/>
      <c r="W41" s="53">
        <f>IFERROR(IF(A41="","",ROUND(I41*J41*R41*(1-S41),2)),"")</f>
        <v/>
      </c>
      <c r="X41" s="53">
        <f>IFERROR(IF(A41="","",ROUND(W41*IF(V41="",'Setup &amp; Lists'!$B$7,V41),2)),"")</f>
        <v/>
      </c>
      <c r="Y41" s="53">
        <f>IFERROR(IF(A41="","",ROUND((W41+IF('Setup &amp; Lists'!$B$8="Yes",T41,0)+IF('Setup &amp; Lists'!$B$9="Yes",X41,0))*IF(U41="",'Setup &amp; Lists'!$B$6,U41),2)),"")</f>
        <v/>
      </c>
      <c r="Z41" s="53">
        <f>IFERROR(IF(A41="","",ROUND(W41+T41+X41+Y41,2)),"")</f>
        <v/>
      </c>
      <c r="AA41" s="51" t="n"/>
      <c r="AB41" s="53">
        <f>IFERROR(IF(A41="","",ROUND(IF(AA41&lt;&gt;"",AA41,Z41*'Setup &amp; Lists'!$B$10),2)),"")</f>
        <v/>
      </c>
      <c r="AC41" s="51" t="n"/>
      <c r="AD41" s="53">
        <f>IFERROR(IF(A41="","",MAX(0,ROUND(Z41-AC41,2))),"")</f>
        <v/>
      </c>
      <c r="AE41" s="32">
        <f>IFERROR(IF(A41="","",IF(AD41=0,"Paid",IF(AC41&gt;=AB41,"Deposit Met",IF(AC41&gt;0,"Partial Payment","Unpaid")))),"")</f>
        <v/>
      </c>
      <c r="AF41" s="54">
        <f>IFERROR(IF(OR(A41="",G41=""),"",G41-('Setup &amp; Lists'!$B$11/24)),"")</f>
        <v/>
      </c>
      <c r="AG41" s="25" t="n"/>
      <c r="AH41" s="25" t="n"/>
      <c r="AI41" s="50" t="n"/>
      <c r="AJ41" s="32">
        <f>IFERROR(IF(A41="","",IF(H41&lt;=G41,"Departure must be after arrival",IF(OR(J41="",J41&lt;1),"Rooms must be at least 1",IF(D41="","Guest name missing",IF(COUNTIF($A$2:$A$251,A41)&gt;1,"Duplicate reservation ID",IF(AND(P41="Confirmed",G41&gt;=TODAY(),G41&lt;=TODAY()+'Setup &amp; Lists'!$B$12,Q41=""),"Assign room for near-term arrival",IF(AND(G41&lt;TODAY(),P41="Confirmed"),"Past-due confirmed arrival",IF(AND(G41&gt;TODAY(),P41="Confirmed",AC41&lt;AB41),"Deposit shortfall",IF(AND(H41&lt;TODAY(),AD41&gt;0,P41&lt;&gt;"Cancelled"),"Balance remains after departure",IF(R41&lt;0,"Nightly rate is negative",IF(AC41&gt;Z41,"Deposit paid exceeds total value",""))))))))))),"")</f>
        <v/>
      </c>
    </row>
    <row r="42">
      <c r="A42" s="25" t="n"/>
      <c r="B42" s="25" t="n"/>
      <c r="C42" s="50" t="n"/>
      <c r="D42" s="25" t="n"/>
      <c r="E42" s="25" t="n"/>
      <c r="F42" s="25" t="n"/>
      <c r="G42" s="50" t="n"/>
      <c r="H42" s="50" t="n"/>
      <c r="I42" s="27">
        <f>IFERROR(IF(A42="","",MAX(0,H42-G42)),"")</f>
        <v/>
      </c>
      <c r="J42" s="28" t="n"/>
      <c r="K42" s="28" t="n"/>
      <c r="L42" s="28" t="n"/>
      <c r="M42" s="25" t="n"/>
      <c r="N42" s="25" t="n"/>
      <c r="O42" s="25" t="n"/>
      <c r="P42" s="25" t="n"/>
      <c r="Q42" s="25" t="n"/>
      <c r="R42" s="51" t="n"/>
      <c r="S42" s="52" t="n"/>
      <c r="T42" s="51" t="n"/>
      <c r="U42" s="52" t="n"/>
      <c r="V42" s="52" t="n"/>
      <c r="W42" s="53">
        <f>IFERROR(IF(A42="","",ROUND(I42*J42*R42*(1-S42),2)),"")</f>
        <v/>
      </c>
      <c r="X42" s="53">
        <f>IFERROR(IF(A42="","",ROUND(W42*IF(V42="",'Setup &amp; Lists'!$B$7,V42),2)),"")</f>
        <v/>
      </c>
      <c r="Y42" s="53">
        <f>IFERROR(IF(A42="","",ROUND((W42+IF('Setup &amp; Lists'!$B$8="Yes",T42,0)+IF('Setup &amp; Lists'!$B$9="Yes",X42,0))*IF(U42="",'Setup &amp; Lists'!$B$6,U42),2)),"")</f>
        <v/>
      </c>
      <c r="Z42" s="53">
        <f>IFERROR(IF(A42="","",ROUND(W42+T42+X42+Y42,2)),"")</f>
        <v/>
      </c>
      <c r="AA42" s="51" t="n"/>
      <c r="AB42" s="53">
        <f>IFERROR(IF(A42="","",ROUND(IF(AA42&lt;&gt;"",AA42,Z42*'Setup &amp; Lists'!$B$10),2)),"")</f>
        <v/>
      </c>
      <c r="AC42" s="51" t="n"/>
      <c r="AD42" s="53">
        <f>IFERROR(IF(A42="","",MAX(0,ROUND(Z42-AC42,2))),"")</f>
        <v/>
      </c>
      <c r="AE42" s="32">
        <f>IFERROR(IF(A42="","",IF(AD42=0,"Paid",IF(AC42&gt;=AB42,"Deposit Met",IF(AC42&gt;0,"Partial Payment","Unpaid")))),"")</f>
        <v/>
      </c>
      <c r="AF42" s="54">
        <f>IFERROR(IF(OR(A42="",G42=""),"",G42-('Setup &amp; Lists'!$B$11/24)),"")</f>
        <v/>
      </c>
      <c r="AG42" s="25" t="n"/>
      <c r="AH42" s="25" t="n"/>
      <c r="AI42" s="50" t="n"/>
      <c r="AJ42" s="32">
        <f>IFERROR(IF(A42="","",IF(H42&lt;=G42,"Departure must be after arrival",IF(OR(J42="",J42&lt;1),"Rooms must be at least 1",IF(D42="","Guest name missing",IF(COUNTIF($A$2:$A$251,A42)&gt;1,"Duplicate reservation ID",IF(AND(P42="Confirmed",G42&gt;=TODAY(),G42&lt;=TODAY()+'Setup &amp; Lists'!$B$12,Q42=""),"Assign room for near-term arrival",IF(AND(G42&lt;TODAY(),P42="Confirmed"),"Past-due confirmed arrival",IF(AND(G42&gt;TODAY(),P42="Confirmed",AC42&lt;AB42),"Deposit shortfall",IF(AND(H42&lt;TODAY(),AD42&gt;0,P42&lt;&gt;"Cancelled"),"Balance remains after departure",IF(R42&lt;0,"Nightly rate is negative",IF(AC42&gt;Z42,"Deposit paid exceeds total value",""))))))))))),"")</f>
        <v/>
      </c>
    </row>
    <row r="43">
      <c r="A43" s="25" t="n"/>
      <c r="B43" s="25" t="n"/>
      <c r="C43" s="50" t="n"/>
      <c r="D43" s="25" t="n"/>
      <c r="E43" s="25" t="n"/>
      <c r="F43" s="25" t="n"/>
      <c r="G43" s="50" t="n"/>
      <c r="H43" s="50" t="n"/>
      <c r="I43" s="27">
        <f>IFERROR(IF(A43="","",MAX(0,H43-G43)),"")</f>
        <v/>
      </c>
      <c r="J43" s="28" t="n"/>
      <c r="K43" s="28" t="n"/>
      <c r="L43" s="28" t="n"/>
      <c r="M43" s="25" t="n"/>
      <c r="N43" s="25" t="n"/>
      <c r="O43" s="25" t="n"/>
      <c r="P43" s="25" t="n"/>
      <c r="Q43" s="25" t="n"/>
      <c r="R43" s="51" t="n"/>
      <c r="S43" s="52" t="n"/>
      <c r="T43" s="51" t="n"/>
      <c r="U43" s="52" t="n"/>
      <c r="V43" s="52" t="n"/>
      <c r="W43" s="53">
        <f>IFERROR(IF(A43="","",ROUND(I43*J43*R43*(1-S43),2)),"")</f>
        <v/>
      </c>
      <c r="X43" s="53">
        <f>IFERROR(IF(A43="","",ROUND(W43*IF(V43="",'Setup &amp; Lists'!$B$7,V43),2)),"")</f>
        <v/>
      </c>
      <c r="Y43" s="53">
        <f>IFERROR(IF(A43="","",ROUND((W43+IF('Setup &amp; Lists'!$B$8="Yes",T43,0)+IF('Setup &amp; Lists'!$B$9="Yes",X43,0))*IF(U43="",'Setup &amp; Lists'!$B$6,U43),2)),"")</f>
        <v/>
      </c>
      <c r="Z43" s="53">
        <f>IFERROR(IF(A43="","",ROUND(W43+T43+X43+Y43,2)),"")</f>
        <v/>
      </c>
      <c r="AA43" s="51" t="n"/>
      <c r="AB43" s="53">
        <f>IFERROR(IF(A43="","",ROUND(IF(AA43&lt;&gt;"",AA43,Z43*'Setup &amp; Lists'!$B$10),2)),"")</f>
        <v/>
      </c>
      <c r="AC43" s="51" t="n"/>
      <c r="AD43" s="53">
        <f>IFERROR(IF(A43="","",MAX(0,ROUND(Z43-AC43,2))),"")</f>
        <v/>
      </c>
      <c r="AE43" s="32">
        <f>IFERROR(IF(A43="","",IF(AD43=0,"Paid",IF(AC43&gt;=AB43,"Deposit Met",IF(AC43&gt;0,"Partial Payment","Unpaid")))),"")</f>
        <v/>
      </c>
      <c r="AF43" s="54">
        <f>IFERROR(IF(OR(A43="",G43=""),"",G43-('Setup &amp; Lists'!$B$11/24)),"")</f>
        <v/>
      </c>
      <c r="AG43" s="25" t="n"/>
      <c r="AH43" s="25" t="n"/>
      <c r="AI43" s="50" t="n"/>
      <c r="AJ43" s="32">
        <f>IFERROR(IF(A43="","",IF(H43&lt;=G43,"Departure must be after arrival",IF(OR(J43="",J43&lt;1),"Rooms must be at least 1",IF(D43="","Guest name missing",IF(COUNTIF($A$2:$A$251,A43)&gt;1,"Duplicate reservation ID",IF(AND(P43="Confirmed",G43&gt;=TODAY(),G43&lt;=TODAY()+'Setup &amp; Lists'!$B$12,Q43=""),"Assign room for near-term arrival",IF(AND(G43&lt;TODAY(),P43="Confirmed"),"Past-due confirmed arrival",IF(AND(G43&gt;TODAY(),P43="Confirmed",AC43&lt;AB43),"Deposit shortfall",IF(AND(H43&lt;TODAY(),AD43&gt;0,P43&lt;&gt;"Cancelled"),"Balance remains after departure",IF(R43&lt;0,"Nightly rate is negative",IF(AC43&gt;Z43,"Deposit paid exceeds total value",""))))))))))),"")</f>
        <v/>
      </c>
    </row>
    <row r="44">
      <c r="A44" s="25" t="n"/>
      <c r="B44" s="25" t="n"/>
      <c r="C44" s="50" t="n"/>
      <c r="D44" s="25" t="n"/>
      <c r="E44" s="25" t="n"/>
      <c r="F44" s="25" t="n"/>
      <c r="G44" s="50" t="n"/>
      <c r="H44" s="50" t="n"/>
      <c r="I44" s="27">
        <f>IFERROR(IF(A44="","",MAX(0,H44-G44)),"")</f>
        <v/>
      </c>
      <c r="J44" s="28" t="n"/>
      <c r="K44" s="28" t="n"/>
      <c r="L44" s="28" t="n"/>
      <c r="M44" s="25" t="n"/>
      <c r="N44" s="25" t="n"/>
      <c r="O44" s="25" t="n"/>
      <c r="P44" s="25" t="n"/>
      <c r="Q44" s="25" t="n"/>
      <c r="R44" s="51" t="n"/>
      <c r="S44" s="52" t="n"/>
      <c r="T44" s="51" t="n"/>
      <c r="U44" s="52" t="n"/>
      <c r="V44" s="52" t="n"/>
      <c r="W44" s="53">
        <f>IFERROR(IF(A44="","",ROUND(I44*J44*R44*(1-S44),2)),"")</f>
        <v/>
      </c>
      <c r="X44" s="53">
        <f>IFERROR(IF(A44="","",ROUND(W44*IF(V44="",'Setup &amp; Lists'!$B$7,V44),2)),"")</f>
        <v/>
      </c>
      <c r="Y44" s="53">
        <f>IFERROR(IF(A44="","",ROUND((W44+IF('Setup &amp; Lists'!$B$8="Yes",T44,0)+IF('Setup &amp; Lists'!$B$9="Yes",X44,0))*IF(U44="",'Setup &amp; Lists'!$B$6,U44),2)),"")</f>
        <v/>
      </c>
      <c r="Z44" s="53">
        <f>IFERROR(IF(A44="","",ROUND(W44+T44+X44+Y44,2)),"")</f>
        <v/>
      </c>
      <c r="AA44" s="51" t="n"/>
      <c r="AB44" s="53">
        <f>IFERROR(IF(A44="","",ROUND(IF(AA44&lt;&gt;"",AA44,Z44*'Setup &amp; Lists'!$B$10),2)),"")</f>
        <v/>
      </c>
      <c r="AC44" s="51" t="n"/>
      <c r="AD44" s="53">
        <f>IFERROR(IF(A44="","",MAX(0,ROUND(Z44-AC44,2))),"")</f>
        <v/>
      </c>
      <c r="AE44" s="32">
        <f>IFERROR(IF(A44="","",IF(AD44=0,"Paid",IF(AC44&gt;=AB44,"Deposit Met",IF(AC44&gt;0,"Partial Payment","Unpaid")))),"")</f>
        <v/>
      </c>
      <c r="AF44" s="54">
        <f>IFERROR(IF(OR(A44="",G44=""),"",G44-('Setup &amp; Lists'!$B$11/24)),"")</f>
        <v/>
      </c>
      <c r="AG44" s="25" t="n"/>
      <c r="AH44" s="25" t="n"/>
      <c r="AI44" s="50" t="n"/>
      <c r="AJ44" s="32">
        <f>IFERROR(IF(A44="","",IF(H44&lt;=G44,"Departure must be after arrival",IF(OR(J44="",J44&lt;1),"Rooms must be at least 1",IF(D44="","Guest name missing",IF(COUNTIF($A$2:$A$251,A44)&gt;1,"Duplicate reservation ID",IF(AND(P44="Confirmed",G44&gt;=TODAY(),G44&lt;=TODAY()+'Setup &amp; Lists'!$B$12,Q44=""),"Assign room for near-term arrival",IF(AND(G44&lt;TODAY(),P44="Confirmed"),"Past-due confirmed arrival",IF(AND(G44&gt;TODAY(),P44="Confirmed",AC44&lt;AB44),"Deposit shortfall",IF(AND(H44&lt;TODAY(),AD44&gt;0,P44&lt;&gt;"Cancelled"),"Balance remains after departure",IF(R44&lt;0,"Nightly rate is negative",IF(AC44&gt;Z44,"Deposit paid exceeds total value",""))))))))))),"")</f>
        <v/>
      </c>
    </row>
    <row r="45">
      <c r="A45" s="25" t="n"/>
      <c r="B45" s="25" t="n"/>
      <c r="C45" s="50" t="n"/>
      <c r="D45" s="25" t="n"/>
      <c r="E45" s="25" t="n"/>
      <c r="F45" s="25" t="n"/>
      <c r="G45" s="50" t="n"/>
      <c r="H45" s="50" t="n"/>
      <c r="I45" s="27">
        <f>IFERROR(IF(A45="","",MAX(0,H45-G45)),"")</f>
        <v/>
      </c>
      <c r="J45" s="28" t="n"/>
      <c r="K45" s="28" t="n"/>
      <c r="L45" s="28" t="n"/>
      <c r="M45" s="25" t="n"/>
      <c r="N45" s="25" t="n"/>
      <c r="O45" s="25" t="n"/>
      <c r="P45" s="25" t="n"/>
      <c r="Q45" s="25" t="n"/>
      <c r="R45" s="51" t="n"/>
      <c r="S45" s="52" t="n"/>
      <c r="T45" s="51" t="n"/>
      <c r="U45" s="52" t="n"/>
      <c r="V45" s="52" t="n"/>
      <c r="W45" s="53">
        <f>IFERROR(IF(A45="","",ROUND(I45*J45*R45*(1-S45),2)),"")</f>
        <v/>
      </c>
      <c r="X45" s="53">
        <f>IFERROR(IF(A45="","",ROUND(W45*IF(V45="",'Setup &amp; Lists'!$B$7,V45),2)),"")</f>
        <v/>
      </c>
      <c r="Y45" s="53">
        <f>IFERROR(IF(A45="","",ROUND((W45+IF('Setup &amp; Lists'!$B$8="Yes",T45,0)+IF('Setup &amp; Lists'!$B$9="Yes",X45,0))*IF(U45="",'Setup &amp; Lists'!$B$6,U45),2)),"")</f>
        <v/>
      </c>
      <c r="Z45" s="53">
        <f>IFERROR(IF(A45="","",ROUND(W45+T45+X45+Y45,2)),"")</f>
        <v/>
      </c>
      <c r="AA45" s="51" t="n"/>
      <c r="AB45" s="53">
        <f>IFERROR(IF(A45="","",ROUND(IF(AA45&lt;&gt;"",AA45,Z45*'Setup &amp; Lists'!$B$10),2)),"")</f>
        <v/>
      </c>
      <c r="AC45" s="51" t="n"/>
      <c r="AD45" s="53">
        <f>IFERROR(IF(A45="","",MAX(0,ROUND(Z45-AC45,2))),"")</f>
        <v/>
      </c>
      <c r="AE45" s="32">
        <f>IFERROR(IF(A45="","",IF(AD45=0,"Paid",IF(AC45&gt;=AB45,"Deposit Met",IF(AC45&gt;0,"Partial Payment","Unpaid")))),"")</f>
        <v/>
      </c>
      <c r="AF45" s="54">
        <f>IFERROR(IF(OR(A45="",G45=""),"",G45-('Setup &amp; Lists'!$B$11/24)),"")</f>
        <v/>
      </c>
      <c r="AG45" s="25" t="n"/>
      <c r="AH45" s="25" t="n"/>
      <c r="AI45" s="50" t="n"/>
      <c r="AJ45" s="32">
        <f>IFERROR(IF(A45="","",IF(H45&lt;=G45,"Departure must be after arrival",IF(OR(J45="",J45&lt;1),"Rooms must be at least 1",IF(D45="","Guest name missing",IF(COUNTIF($A$2:$A$251,A45)&gt;1,"Duplicate reservation ID",IF(AND(P45="Confirmed",G45&gt;=TODAY(),G45&lt;=TODAY()+'Setup &amp; Lists'!$B$12,Q45=""),"Assign room for near-term arrival",IF(AND(G45&lt;TODAY(),P45="Confirmed"),"Past-due confirmed arrival",IF(AND(G45&gt;TODAY(),P45="Confirmed",AC45&lt;AB45),"Deposit shortfall",IF(AND(H45&lt;TODAY(),AD45&gt;0,P45&lt;&gt;"Cancelled"),"Balance remains after departure",IF(R45&lt;0,"Nightly rate is negative",IF(AC45&gt;Z45,"Deposit paid exceeds total value",""))))))))))),"")</f>
        <v/>
      </c>
    </row>
    <row r="46">
      <c r="A46" s="25" t="n"/>
      <c r="B46" s="25" t="n"/>
      <c r="C46" s="50" t="n"/>
      <c r="D46" s="25" t="n"/>
      <c r="E46" s="25" t="n"/>
      <c r="F46" s="25" t="n"/>
      <c r="G46" s="50" t="n"/>
      <c r="H46" s="50" t="n"/>
      <c r="I46" s="27">
        <f>IFERROR(IF(A46="","",MAX(0,H46-G46)),"")</f>
        <v/>
      </c>
      <c r="J46" s="28" t="n"/>
      <c r="K46" s="28" t="n"/>
      <c r="L46" s="28" t="n"/>
      <c r="M46" s="25" t="n"/>
      <c r="N46" s="25" t="n"/>
      <c r="O46" s="25" t="n"/>
      <c r="P46" s="25" t="n"/>
      <c r="Q46" s="25" t="n"/>
      <c r="R46" s="51" t="n"/>
      <c r="S46" s="52" t="n"/>
      <c r="T46" s="51" t="n"/>
      <c r="U46" s="52" t="n"/>
      <c r="V46" s="52" t="n"/>
      <c r="W46" s="53">
        <f>IFERROR(IF(A46="","",ROUND(I46*J46*R46*(1-S46),2)),"")</f>
        <v/>
      </c>
      <c r="X46" s="53">
        <f>IFERROR(IF(A46="","",ROUND(W46*IF(V46="",'Setup &amp; Lists'!$B$7,V46),2)),"")</f>
        <v/>
      </c>
      <c r="Y46" s="53">
        <f>IFERROR(IF(A46="","",ROUND((W46+IF('Setup &amp; Lists'!$B$8="Yes",T46,0)+IF('Setup &amp; Lists'!$B$9="Yes",X46,0))*IF(U46="",'Setup &amp; Lists'!$B$6,U46),2)),"")</f>
        <v/>
      </c>
      <c r="Z46" s="53">
        <f>IFERROR(IF(A46="","",ROUND(W46+T46+X46+Y46,2)),"")</f>
        <v/>
      </c>
      <c r="AA46" s="51" t="n"/>
      <c r="AB46" s="53">
        <f>IFERROR(IF(A46="","",ROUND(IF(AA46&lt;&gt;"",AA46,Z46*'Setup &amp; Lists'!$B$10),2)),"")</f>
        <v/>
      </c>
      <c r="AC46" s="51" t="n"/>
      <c r="AD46" s="53">
        <f>IFERROR(IF(A46="","",MAX(0,ROUND(Z46-AC46,2))),"")</f>
        <v/>
      </c>
      <c r="AE46" s="32">
        <f>IFERROR(IF(A46="","",IF(AD46=0,"Paid",IF(AC46&gt;=AB46,"Deposit Met",IF(AC46&gt;0,"Partial Payment","Unpaid")))),"")</f>
        <v/>
      </c>
      <c r="AF46" s="54">
        <f>IFERROR(IF(OR(A46="",G46=""),"",G46-('Setup &amp; Lists'!$B$11/24)),"")</f>
        <v/>
      </c>
      <c r="AG46" s="25" t="n"/>
      <c r="AH46" s="25" t="n"/>
      <c r="AI46" s="50" t="n"/>
      <c r="AJ46" s="32">
        <f>IFERROR(IF(A46="","",IF(H46&lt;=G46,"Departure must be after arrival",IF(OR(J46="",J46&lt;1),"Rooms must be at least 1",IF(D46="","Guest name missing",IF(COUNTIF($A$2:$A$251,A46)&gt;1,"Duplicate reservation ID",IF(AND(P46="Confirmed",G46&gt;=TODAY(),G46&lt;=TODAY()+'Setup &amp; Lists'!$B$12,Q46=""),"Assign room for near-term arrival",IF(AND(G46&lt;TODAY(),P46="Confirmed"),"Past-due confirmed arrival",IF(AND(G46&gt;TODAY(),P46="Confirmed",AC46&lt;AB46),"Deposit shortfall",IF(AND(H46&lt;TODAY(),AD46&gt;0,P46&lt;&gt;"Cancelled"),"Balance remains after departure",IF(R46&lt;0,"Nightly rate is negative",IF(AC46&gt;Z46,"Deposit paid exceeds total value",""))))))))))),"")</f>
        <v/>
      </c>
    </row>
    <row r="47">
      <c r="A47" s="25" t="n"/>
      <c r="B47" s="25" t="n"/>
      <c r="C47" s="50" t="n"/>
      <c r="D47" s="25" t="n"/>
      <c r="E47" s="25" t="n"/>
      <c r="F47" s="25" t="n"/>
      <c r="G47" s="50" t="n"/>
      <c r="H47" s="50" t="n"/>
      <c r="I47" s="27">
        <f>IFERROR(IF(A47="","",MAX(0,H47-G47)),"")</f>
        <v/>
      </c>
      <c r="J47" s="28" t="n"/>
      <c r="K47" s="28" t="n"/>
      <c r="L47" s="28" t="n"/>
      <c r="M47" s="25" t="n"/>
      <c r="N47" s="25" t="n"/>
      <c r="O47" s="25" t="n"/>
      <c r="P47" s="25" t="n"/>
      <c r="Q47" s="25" t="n"/>
      <c r="R47" s="51" t="n"/>
      <c r="S47" s="52" t="n"/>
      <c r="T47" s="51" t="n"/>
      <c r="U47" s="52" t="n"/>
      <c r="V47" s="52" t="n"/>
      <c r="W47" s="53">
        <f>IFERROR(IF(A47="","",ROUND(I47*J47*R47*(1-S47),2)),"")</f>
        <v/>
      </c>
      <c r="X47" s="53">
        <f>IFERROR(IF(A47="","",ROUND(W47*IF(V47="",'Setup &amp; Lists'!$B$7,V47),2)),"")</f>
        <v/>
      </c>
      <c r="Y47" s="53">
        <f>IFERROR(IF(A47="","",ROUND((W47+IF('Setup &amp; Lists'!$B$8="Yes",T47,0)+IF('Setup &amp; Lists'!$B$9="Yes",X47,0))*IF(U47="",'Setup &amp; Lists'!$B$6,U47),2)),"")</f>
        <v/>
      </c>
      <c r="Z47" s="53">
        <f>IFERROR(IF(A47="","",ROUND(W47+T47+X47+Y47,2)),"")</f>
        <v/>
      </c>
      <c r="AA47" s="51" t="n"/>
      <c r="AB47" s="53">
        <f>IFERROR(IF(A47="","",ROUND(IF(AA47&lt;&gt;"",AA47,Z47*'Setup &amp; Lists'!$B$10),2)),"")</f>
        <v/>
      </c>
      <c r="AC47" s="51" t="n"/>
      <c r="AD47" s="53">
        <f>IFERROR(IF(A47="","",MAX(0,ROUND(Z47-AC47,2))),"")</f>
        <v/>
      </c>
      <c r="AE47" s="32">
        <f>IFERROR(IF(A47="","",IF(AD47=0,"Paid",IF(AC47&gt;=AB47,"Deposit Met",IF(AC47&gt;0,"Partial Payment","Unpaid")))),"")</f>
        <v/>
      </c>
      <c r="AF47" s="54">
        <f>IFERROR(IF(OR(A47="",G47=""),"",G47-('Setup &amp; Lists'!$B$11/24)),"")</f>
        <v/>
      </c>
      <c r="AG47" s="25" t="n"/>
      <c r="AH47" s="25" t="n"/>
      <c r="AI47" s="50" t="n"/>
      <c r="AJ47" s="32">
        <f>IFERROR(IF(A47="","",IF(H47&lt;=G47,"Departure must be after arrival",IF(OR(J47="",J47&lt;1),"Rooms must be at least 1",IF(D47="","Guest name missing",IF(COUNTIF($A$2:$A$251,A47)&gt;1,"Duplicate reservation ID",IF(AND(P47="Confirmed",G47&gt;=TODAY(),G47&lt;=TODAY()+'Setup &amp; Lists'!$B$12,Q47=""),"Assign room for near-term arrival",IF(AND(G47&lt;TODAY(),P47="Confirmed"),"Past-due confirmed arrival",IF(AND(G47&gt;TODAY(),P47="Confirmed",AC47&lt;AB47),"Deposit shortfall",IF(AND(H47&lt;TODAY(),AD47&gt;0,P47&lt;&gt;"Cancelled"),"Balance remains after departure",IF(R47&lt;0,"Nightly rate is negative",IF(AC47&gt;Z47,"Deposit paid exceeds total value",""))))))))))),"")</f>
        <v/>
      </c>
    </row>
    <row r="48">
      <c r="A48" s="25" t="n"/>
      <c r="B48" s="25" t="n"/>
      <c r="C48" s="50" t="n"/>
      <c r="D48" s="25" t="n"/>
      <c r="E48" s="25" t="n"/>
      <c r="F48" s="25" t="n"/>
      <c r="G48" s="50" t="n"/>
      <c r="H48" s="50" t="n"/>
      <c r="I48" s="27">
        <f>IFERROR(IF(A48="","",MAX(0,H48-G48)),"")</f>
        <v/>
      </c>
      <c r="J48" s="28" t="n"/>
      <c r="K48" s="28" t="n"/>
      <c r="L48" s="28" t="n"/>
      <c r="M48" s="25" t="n"/>
      <c r="N48" s="25" t="n"/>
      <c r="O48" s="25" t="n"/>
      <c r="P48" s="25" t="n"/>
      <c r="Q48" s="25" t="n"/>
      <c r="R48" s="51" t="n"/>
      <c r="S48" s="52" t="n"/>
      <c r="T48" s="51" t="n"/>
      <c r="U48" s="52" t="n"/>
      <c r="V48" s="52" t="n"/>
      <c r="W48" s="53">
        <f>IFERROR(IF(A48="","",ROUND(I48*J48*R48*(1-S48),2)),"")</f>
        <v/>
      </c>
      <c r="X48" s="53">
        <f>IFERROR(IF(A48="","",ROUND(W48*IF(V48="",'Setup &amp; Lists'!$B$7,V48),2)),"")</f>
        <v/>
      </c>
      <c r="Y48" s="53">
        <f>IFERROR(IF(A48="","",ROUND((W48+IF('Setup &amp; Lists'!$B$8="Yes",T48,0)+IF('Setup &amp; Lists'!$B$9="Yes",X48,0))*IF(U48="",'Setup &amp; Lists'!$B$6,U48),2)),"")</f>
        <v/>
      </c>
      <c r="Z48" s="53">
        <f>IFERROR(IF(A48="","",ROUND(W48+T48+X48+Y48,2)),"")</f>
        <v/>
      </c>
      <c r="AA48" s="51" t="n"/>
      <c r="AB48" s="53">
        <f>IFERROR(IF(A48="","",ROUND(IF(AA48&lt;&gt;"",AA48,Z48*'Setup &amp; Lists'!$B$10),2)),"")</f>
        <v/>
      </c>
      <c r="AC48" s="51" t="n"/>
      <c r="AD48" s="53">
        <f>IFERROR(IF(A48="","",MAX(0,ROUND(Z48-AC48,2))),"")</f>
        <v/>
      </c>
      <c r="AE48" s="32">
        <f>IFERROR(IF(A48="","",IF(AD48=0,"Paid",IF(AC48&gt;=AB48,"Deposit Met",IF(AC48&gt;0,"Partial Payment","Unpaid")))),"")</f>
        <v/>
      </c>
      <c r="AF48" s="54">
        <f>IFERROR(IF(OR(A48="",G48=""),"",G48-('Setup &amp; Lists'!$B$11/24)),"")</f>
        <v/>
      </c>
      <c r="AG48" s="25" t="n"/>
      <c r="AH48" s="25" t="n"/>
      <c r="AI48" s="50" t="n"/>
      <c r="AJ48" s="32">
        <f>IFERROR(IF(A48="","",IF(H48&lt;=G48,"Departure must be after arrival",IF(OR(J48="",J48&lt;1),"Rooms must be at least 1",IF(D48="","Guest name missing",IF(COUNTIF($A$2:$A$251,A48)&gt;1,"Duplicate reservation ID",IF(AND(P48="Confirmed",G48&gt;=TODAY(),G48&lt;=TODAY()+'Setup &amp; Lists'!$B$12,Q48=""),"Assign room for near-term arrival",IF(AND(G48&lt;TODAY(),P48="Confirmed"),"Past-due confirmed arrival",IF(AND(G48&gt;TODAY(),P48="Confirmed",AC48&lt;AB48),"Deposit shortfall",IF(AND(H48&lt;TODAY(),AD48&gt;0,P48&lt;&gt;"Cancelled"),"Balance remains after departure",IF(R48&lt;0,"Nightly rate is negative",IF(AC48&gt;Z48,"Deposit paid exceeds total value",""))))))))))),"")</f>
        <v/>
      </c>
    </row>
    <row r="49">
      <c r="A49" s="25" t="n"/>
      <c r="B49" s="25" t="n"/>
      <c r="C49" s="50" t="n"/>
      <c r="D49" s="25" t="n"/>
      <c r="E49" s="25" t="n"/>
      <c r="F49" s="25" t="n"/>
      <c r="G49" s="50" t="n"/>
      <c r="H49" s="50" t="n"/>
      <c r="I49" s="27">
        <f>IFERROR(IF(A49="","",MAX(0,H49-G49)),"")</f>
        <v/>
      </c>
      <c r="J49" s="28" t="n"/>
      <c r="K49" s="28" t="n"/>
      <c r="L49" s="28" t="n"/>
      <c r="M49" s="25" t="n"/>
      <c r="N49" s="25" t="n"/>
      <c r="O49" s="25" t="n"/>
      <c r="P49" s="25" t="n"/>
      <c r="Q49" s="25" t="n"/>
      <c r="R49" s="51" t="n"/>
      <c r="S49" s="52" t="n"/>
      <c r="T49" s="51" t="n"/>
      <c r="U49" s="52" t="n"/>
      <c r="V49" s="52" t="n"/>
      <c r="W49" s="53">
        <f>IFERROR(IF(A49="","",ROUND(I49*J49*R49*(1-S49),2)),"")</f>
        <v/>
      </c>
      <c r="X49" s="53">
        <f>IFERROR(IF(A49="","",ROUND(W49*IF(V49="",'Setup &amp; Lists'!$B$7,V49),2)),"")</f>
        <v/>
      </c>
      <c r="Y49" s="53">
        <f>IFERROR(IF(A49="","",ROUND((W49+IF('Setup &amp; Lists'!$B$8="Yes",T49,0)+IF('Setup &amp; Lists'!$B$9="Yes",X49,0))*IF(U49="",'Setup &amp; Lists'!$B$6,U49),2)),"")</f>
        <v/>
      </c>
      <c r="Z49" s="53">
        <f>IFERROR(IF(A49="","",ROUND(W49+T49+X49+Y49,2)),"")</f>
        <v/>
      </c>
      <c r="AA49" s="51" t="n"/>
      <c r="AB49" s="53">
        <f>IFERROR(IF(A49="","",ROUND(IF(AA49&lt;&gt;"",AA49,Z49*'Setup &amp; Lists'!$B$10),2)),"")</f>
        <v/>
      </c>
      <c r="AC49" s="51" t="n"/>
      <c r="AD49" s="53">
        <f>IFERROR(IF(A49="","",MAX(0,ROUND(Z49-AC49,2))),"")</f>
        <v/>
      </c>
      <c r="AE49" s="32">
        <f>IFERROR(IF(A49="","",IF(AD49=0,"Paid",IF(AC49&gt;=AB49,"Deposit Met",IF(AC49&gt;0,"Partial Payment","Unpaid")))),"")</f>
        <v/>
      </c>
      <c r="AF49" s="54">
        <f>IFERROR(IF(OR(A49="",G49=""),"",G49-('Setup &amp; Lists'!$B$11/24)),"")</f>
        <v/>
      </c>
      <c r="AG49" s="25" t="n"/>
      <c r="AH49" s="25" t="n"/>
      <c r="AI49" s="50" t="n"/>
      <c r="AJ49" s="32">
        <f>IFERROR(IF(A49="","",IF(H49&lt;=G49,"Departure must be after arrival",IF(OR(J49="",J49&lt;1),"Rooms must be at least 1",IF(D49="","Guest name missing",IF(COUNTIF($A$2:$A$251,A49)&gt;1,"Duplicate reservation ID",IF(AND(P49="Confirmed",G49&gt;=TODAY(),G49&lt;=TODAY()+'Setup &amp; Lists'!$B$12,Q49=""),"Assign room for near-term arrival",IF(AND(G49&lt;TODAY(),P49="Confirmed"),"Past-due confirmed arrival",IF(AND(G49&gt;TODAY(),P49="Confirmed",AC49&lt;AB49),"Deposit shortfall",IF(AND(H49&lt;TODAY(),AD49&gt;0,P49&lt;&gt;"Cancelled"),"Balance remains after departure",IF(R49&lt;0,"Nightly rate is negative",IF(AC49&gt;Z49,"Deposit paid exceeds total value",""))))))))))),"")</f>
        <v/>
      </c>
    </row>
    <row r="50">
      <c r="A50" s="25" t="n"/>
      <c r="B50" s="25" t="n"/>
      <c r="C50" s="50" t="n"/>
      <c r="D50" s="25" t="n"/>
      <c r="E50" s="25" t="n"/>
      <c r="F50" s="25" t="n"/>
      <c r="G50" s="50" t="n"/>
      <c r="H50" s="50" t="n"/>
      <c r="I50" s="27">
        <f>IFERROR(IF(A50="","",MAX(0,H50-G50)),"")</f>
        <v/>
      </c>
      <c r="J50" s="28" t="n"/>
      <c r="K50" s="28" t="n"/>
      <c r="L50" s="28" t="n"/>
      <c r="M50" s="25" t="n"/>
      <c r="N50" s="25" t="n"/>
      <c r="O50" s="25" t="n"/>
      <c r="P50" s="25" t="n"/>
      <c r="Q50" s="25" t="n"/>
      <c r="R50" s="51" t="n"/>
      <c r="S50" s="52" t="n"/>
      <c r="T50" s="51" t="n"/>
      <c r="U50" s="52" t="n"/>
      <c r="V50" s="52" t="n"/>
      <c r="W50" s="53">
        <f>IFERROR(IF(A50="","",ROUND(I50*J50*R50*(1-S50),2)),"")</f>
        <v/>
      </c>
      <c r="X50" s="53">
        <f>IFERROR(IF(A50="","",ROUND(W50*IF(V50="",'Setup &amp; Lists'!$B$7,V50),2)),"")</f>
        <v/>
      </c>
      <c r="Y50" s="53">
        <f>IFERROR(IF(A50="","",ROUND((W50+IF('Setup &amp; Lists'!$B$8="Yes",T50,0)+IF('Setup &amp; Lists'!$B$9="Yes",X50,0))*IF(U50="",'Setup &amp; Lists'!$B$6,U50),2)),"")</f>
        <v/>
      </c>
      <c r="Z50" s="53">
        <f>IFERROR(IF(A50="","",ROUND(W50+T50+X50+Y50,2)),"")</f>
        <v/>
      </c>
      <c r="AA50" s="51" t="n"/>
      <c r="AB50" s="53">
        <f>IFERROR(IF(A50="","",ROUND(IF(AA50&lt;&gt;"",AA50,Z50*'Setup &amp; Lists'!$B$10),2)),"")</f>
        <v/>
      </c>
      <c r="AC50" s="51" t="n"/>
      <c r="AD50" s="53">
        <f>IFERROR(IF(A50="","",MAX(0,ROUND(Z50-AC50,2))),"")</f>
        <v/>
      </c>
      <c r="AE50" s="32">
        <f>IFERROR(IF(A50="","",IF(AD50=0,"Paid",IF(AC50&gt;=AB50,"Deposit Met",IF(AC50&gt;0,"Partial Payment","Unpaid")))),"")</f>
        <v/>
      </c>
      <c r="AF50" s="54">
        <f>IFERROR(IF(OR(A50="",G50=""),"",G50-('Setup &amp; Lists'!$B$11/24)),"")</f>
        <v/>
      </c>
      <c r="AG50" s="25" t="n"/>
      <c r="AH50" s="25" t="n"/>
      <c r="AI50" s="50" t="n"/>
      <c r="AJ50" s="32">
        <f>IFERROR(IF(A50="","",IF(H50&lt;=G50,"Departure must be after arrival",IF(OR(J50="",J50&lt;1),"Rooms must be at least 1",IF(D50="","Guest name missing",IF(COUNTIF($A$2:$A$251,A50)&gt;1,"Duplicate reservation ID",IF(AND(P50="Confirmed",G50&gt;=TODAY(),G50&lt;=TODAY()+'Setup &amp; Lists'!$B$12,Q50=""),"Assign room for near-term arrival",IF(AND(G50&lt;TODAY(),P50="Confirmed"),"Past-due confirmed arrival",IF(AND(G50&gt;TODAY(),P50="Confirmed",AC50&lt;AB50),"Deposit shortfall",IF(AND(H50&lt;TODAY(),AD50&gt;0,P50&lt;&gt;"Cancelled"),"Balance remains after departure",IF(R50&lt;0,"Nightly rate is negative",IF(AC50&gt;Z50,"Deposit paid exceeds total value",""))))))))))),"")</f>
        <v/>
      </c>
    </row>
    <row r="51">
      <c r="A51" s="25" t="n"/>
      <c r="B51" s="25" t="n"/>
      <c r="C51" s="50" t="n"/>
      <c r="D51" s="25" t="n"/>
      <c r="E51" s="25" t="n"/>
      <c r="F51" s="25" t="n"/>
      <c r="G51" s="50" t="n"/>
      <c r="H51" s="50" t="n"/>
      <c r="I51" s="27">
        <f>IFERROR(IF(A51="","",MAX(0,H51-G51)),"")</f>
        <v/>
      </c>
      <c r="J51" s="28" t="n"/>
      <c r="K51" s="28" t="n"/>
      <c r="L51" s="28" t="n"/>
      <c r="M51" s="25" t="n"/>
      <c r="N51" s="25" t="n"/>
      <c r="O51" s="25" t="n"/>
      <c r="P51" s="25" t="n"/>
      <c r="Q51" s="25" t="n"/>
      <c r="R51" s="51" t="n"/>
      <c r="S51" s="52" t="n"/>
      <c r="T51" s="51" t="n"/>
      <c r="U51" s="52" t="n"/>
      <c r="V51" s="52" t="n"/>
      <c r="W51" s="53">
        <f>IFERROR(IF(A51="","",ROUND(I51*J51*R51*(1-S51),2)),"")</f>
        <v/>
      </c>
      <c r="X51" s="53">
        <f>IFERROR(IF(A51="","",ROUND(W51*IF(V51="",'Setup &amp; Lists'!$B$7,V51),2)),"")</f>
        <v/>
      </c>
      <c r="Y51" s="53">
        <f>IFERROR(IF(A51="","",ROUND((W51+IF('Setup &amp; Lists'!$B$8="Yes",T51,0)+IF('Setup &amp; Lists'!$B$9="Yes",X51,0))*IF(U51="",'Setup &amp; Lists'!$B$6,U51),2)),"")</f>
        <v/>
      </c>
      <c r="Z51" s="53">
        <f>IFERROR(IF(A51="","",ROUND(W51+T51+X51+Y51,2)),"")</f>
        <v/>
      </c>
      <c r="AA51" s="51" t="n"/>
      <c r="AB51" s="53">
        <f>IFERROR(IF(A51="","",ROUND(IF(AA51&lt;&gt;"",AA51,Z51*'Setup &amp; Lists'!$B$10),2)),"")</f>
        <v/>
      </c>
      <c r="AC51" s="51" t="n"/>
      <c r="AD51" s="53">
        <f>IFERROR(IF(A51="","",MAX(0,ROUND(Z51-AC51,2))),"")</f>
        <v/>
      </c>
      <c r="AE51" s="32">
        <f>IFERROR(IF(A51="","",IF(AD51=0,"Paid",IF(AC51&gt;=AB51,"Deposit Met",IF(AC51&gt;0,"Partial Payment","Unpaid")))),"")</f>
        <v/>
      </c>
      <c r="AF51" s="54">
        <f>IFERROR(IF(OR(A51="",G51=""),"",G51-('Setup &amp; Lists'!$B$11/24)),"")</f>
        <v/>
      </c>
      <c r="AG51" s="25" t="n"/>
      <c r="AH51" s="25" t="n"/>
      <c r="AI51" s="50" t="n"/>
      <c r="AJ51" s="32">
        <f>IFERROR(IF(A51="","",IF(H51&lt;=G51,"Departure must be after arrival",IF(OR(J51="",J51&lt;1),"Rooms must be at least 1",IF(D51="","Guest name missing",IF(COUNTIF($A$2:$A$251,A51)&gt;1,"Duplicate reservation ID",IF(AND(P51="Confirmed",G51&gt;=TODAY(),G51&lt;=TODAY()+'Setup &amp; Lists'!$B$12,Q51=""),"Assign room for near-term arrival",IF(AND(G51&lt;TODAY(),P51="Confirmed"),"Past-due confirmed arrival",IF(AND(G51&gt;TODAY(),P51="Confirmed",AC51&lt;AB51),"Deposit shortfall",IF(AND(H51&lt;TODAY(),AD51&gt;0,P51&lt;&gt;"Cancelled"),"Balance remains after departure",IF(R51&lt;0,"Nightly rate is negative",IF(AC51&gt;Z51,"Deposit paid exceeds total value",""))))))))))),"")</f>
        <v/>
      </c>
    </row>
    <row r="52">
      <c r="A52" s="25" t="n"/>
      <c r="B52" s="25" t="n"/>
      <c r="C52" s="50" t="n"/>
      <c r="D52" s="25" t="n"/>
      <c r="E52" s="25" t="n"/>
      <c r="F52" s="25" t="n"/>
      <c r="G52" s="50" t="n"/>
      <c r="H52" s="50" t="n"/>
      <c r="I52" s="27">
        <f>IFERROR(IF(A52="","",MAX(0,H52-G52)),"")</f>
        <v/>
      </c>
      <c r="J52" s="28" t="n"/>
      <c r="K52" s="28" t="n"/>
      <c r="L52" s="28" t="n"/>
      <c r="M52" s="25" t="n"/>
      <c r="N52" s="25" t="n"/>
      <c r="O52" s="25" t="n"/>
      <c r="P52" s="25" t="n"/>
      <c r="Q52" s="25" t="n"/>
      <c r="R52" s="51" t="n"/>
      <c r="S52" s="52" t="n"/>
      <c r="T52" s="51" t="n"/>
      <c r="U52" s="52" t="n"/>
      <c r="V52" s="52" t="n"/>
      <c r="W52" s="53">
        <f>IFERROR(IF(A52="","",ROUND(I52*J52*R52*(1-S52),2)),"")</f>
        <v/>
      </c>
      <c r="X52" s="53">
        <f>IFERROR(IF(A52="","",ROUND(W52*IF(V52="",'Setup &amp; Lists'!$B$7,V52),2)),"")</f>
        <v/>
      </c>
      <c r="Y52" s="53">
        <f>IFERROR(IF(A52="","",ROUND((W52+IF('Setup &amp; Lists'!$B$8="Yes",T52,0)+IF('Setup &amp; Lists'!$B$9="Yes",X52,0))*IF(U52="",'Setup &amp; Lists'!$B$6,U52),2)),"")</f>
        <v/>
      </c>
      <c r="Z52" s="53">
        <f>IFERROR(IF(A52="","",ROUND(W52+T52+X52+Y52,2)),"")</f>
        <v/>
      </c>
      <c r="AA52" s="51" t="n"/>
      <c r="AB52" s="53">
        <f>IFERROR(IF(A52="","",ROUND(IF(AA52&lt;&gt;"",AA52,Z52*'Setup &amp; Lists'!$B$10),2)),"")</f>
        <v/>
      </c>
      <c r="AC52" s="51" t="n"/>
      <c r="AD52" s="53">
        <f>IFERROR(IF(A52="","",MAX(0,ROUND(Z52-AC52,2))),"")</f>
        <v/>
      </c>
      <c r="AE52" s="32">
        <f>IFERROR(IF(A52="","",IF(AD52=0,"Paid",IF(AC52&gt;=AB52,"Deposit Met",IF(AC52&gt;0,"Partial Payment","Unpaid")))),"")</f>
        <v/>
      </c>
      <c r="AF52" s="54">
        <f>IFERROR(IF(OR(A52="",G52=""),"",G52-('Setup &amp; Lists'!$B$11/24)),"")</f>
        <v/>
      </c>
      <c r="AG52" s="25" t="n"/>
      <c r="AH52" s="25" t="n"/>
      <c r="AI52" s="50" t="n"/>
      <c r="AJ52" s="32">
        <f>IFERROR(IF(A52="","",IF(H52&lt;=G52,"Departure must be after arrival",IF(OR(J52="",J52&lt;1),"Rooms must be at least 1",IF(D52="","Guest name missing",IF(COUNTIF($A$2:$A$251,A52)&gt;1,"Duplicate reservation ID",IF(AND(P52="Confirmed",G52&gt;=TODAY(),G52&lt;=TODAY()+'Setup &amp; Lists'!$B$12,Q52=""),"Assign room for near-term arrival",IF(AND(G52&lt;TODAY(),P52="Confirmed"),"Past-due confirmed arrival",IF(AND(G52&gt;TODAY(),P52="Confirmed",AC52&lt;AB52),"Deposit shortfall",IF(AND(H52&lt;TODAY(),AD52&gt;0,P52&lt;&gt;"Cancelled"),"Balance remains after departure",IF(R52&lt;0,"Nightly rate is negative",IF(AC52&gt;Z52,"Deposit paid exceeds total value",""))))))))))),"")</f>
        <v/>
      </c>
    </row>
    <row r="53">
      <c r="A53" s="25" t="n"/>
      <c r="B53" s="25" t="n"/>
      <c r="C53" s="50" t="n"/>
      <c r="D53" s="25" t="n"/>
      <c r="E53" s="25" t="n"/>
      <c r="F53" s="25" t="n"/>
      <c r="G53" s="50" t="n"/>
      <c r="H53" s="50" t="n"/>
      <c r="I53" s="27">
        <f>IFERROR(IF(A53="","",MAX(0,H53-G53)),"")</f>
        <v/>
      </c>
      <c r="J53" s="28" t="n"/>
      <c r="K53" s="28" t="n"/>
      <c r="L53" s="28" t="n"/>
      <c r="M53" s="25" t="n"/>
      <c r="N53" s="25" t="n"/>
      <c r="O53" s="25" t="n"/>
      <c r="P53" s="25" t="n"/>
      <c r="Q53" s="25" t="n"/>
      <c r="R53" s="51" t="n"/>
      <c r="S53" s="52" t="n"/>
      <c r="T53" s="51" t="n"/>
      <c r="U53" s="52" t="n"/>
      <c r="V53" s="52" t="n"/>
      <c r="W53" s="53">
        <f>IFERROR(IF(A53="","",ROUND(I53*J53*R53*(1-S53),2)),"")</f>
        <v/>
      </c>
      <c r="X53" s="53">
        <f>IFERROR(IF(A53="","",ROUND(W53*IF(V53="",'Setup &amp; Lists'!$B$7,V53),2)),"")</f>
        <v/>
      </c>
      <c r="Y53" s="53">
        <f>IFERROR(IF(A53="","",ROUND((W53+IF('Setup &amp; Lists'!$B$8="Yes",T53,0)+IF('Setup &amp; Lists'!$B$9="Yes",X53,0))*IF(U53="",'Setup &amp; Lists'!$B$6,U53),2)),"")</f>
        <v/>
      </c>
      <c r="Z53" s="53">
        <f>IFERROR(IF(A53="","",ROUND(W53+T53+X53+Y53,2)),"")</f>
        <v/>
      </c>
      <c r="AA53" s="51" t="n"/>
      <c r="AB53" s="53">
        <f>IFERROR(IF(A53="","",ROUND(IF(AA53&lt;&gt;"",AA53,Z53*'Setup &amp; Lists'!$B$10),2)),"")</f>
        <v/>
      </c>
      <c r="AC53" s="51" t="n"/>
      <c r="AD53" s="53">
        <f>IFERROR(IF(A53="","",MAX(0,ROUND(Z53-AC53,2))),"")</f>
        <v/>
      </c>
      <c r="AE53" s="32">
        <f>IFERROR(IF(A53="","",IF(AD53=0,"Paid",IF(AC53&gt;=AB53,"Deposit Met",IF(AC53&gt;0,"Partial Payment","Unpaid")))),"")</f>
        <v/>
      </c>
      <c r="AF53" s="54">
        <f>IFERROR(IF(OR(A53="",G53=""),"",G53-('Setup &amp; Lists'!$B$11/24)),"")</f>
        <v/>
      </c>
      <c r="AG53" s="25" t="n"/>
      <c r="AH53" s="25" t="n"/>
      <c r="AI53" s="50" t="n"/>
      <c r="AJ53" s="32">
        <f>IFERROR(IF(A53="","",IF(H53&lt;=G53,"Departure must be after arrival",IF(OR(J53="",J53&lt;1),"Rooms must be at least 1",IF(D53="","Guest name missing",IF(COUNTIF($A$2:$A$251,A53)&gt;1,"Duplicate reservation ID",IF(AND(P53="Confirmed",G53&gt;=TODAY(),G53&lt;=TODAY()+'Setup &amp; Lists'!$B$12,Q53=""),"Assign room for near-term arrival",IF(AND(G53&lt;TODAY(),P53="Confirmed"),"Past-due confirmed arrival",IF(AND(G53&gt;TODAY(),P53="Confirmed",AC53&lt;AB53),"Deposit shortfall",IF(AND(H53&lt;TODAY(),AD53&gt;0,P53&lt;&gt;"Cancelled"),"Balance remains after departure",IF(R53&lt;0,"Nightly rate is negative",IF(AC53&gt;Z53,"Deposit paid exceeds total value",""))))))))))),"")</f>
        <v/>
      </c>
    </row>
    <row r="54">
      <c r="A54" s="25" t="n"/>
      <c r="B54" s="25" t="n"/>
      <c r="C54" s="50" t="n"/>
      <c r="D54" s="25" t="n"/>
      <c r="E54" s="25" t="n"/>
      <c r="F54" s="25" t="n"/>
      <c r="G54" s="50" t="n"/>
      <c r="H54" s="50" t="n"/>
      <c r="I54" s="27">
        <f>IFERROR(IF(A54="","",MAX(0,H54-G54)),"")</f>
        <v/>
      </c>
      <c r="J54" s="28" t="n"/>
      <c r="K54" s="28" t="n"/>
      <c r="L54" s="28" t="n"/>
      <c r="M54" s="25" t="n"/>
      <c r="N54" s="25" t="n"/>
      <c r="O54" s="25" t="n"/>
      <c r="P54" s="25" t="n"/>
      <c r="Q54" s="25" t="n"/>
      <c r="R54" s="51" t="n"/>
      <c r="S54" s="52" t="n"/>
      <c r="T54" s="51" t="n"/>
      <c r="U54" s="52" t="n"/>
      <c r="V54" s="52" t="n"/>
      <c r="W54" s="53">
        <f>IFERROR(IF(A54="","",ROUND(I54*J54*R54*(1-S54),2)),"")</f>
        <v/>
      </c>
      <c r="X54" s="53">
        <f>IFERROR(IF(A54="","",ROUND(W54*IF(V54="",'Setup &amp; Lists'!$B$7,V54),2)),"")</f>
        <v/>
      </c>
      <c r="Y54" s="53">
        <f>IFERROR(IF(A54="","",ROUND((W54+IF('Setup &amp; Lists'!$B$8="Yes",T54,0)+IF('Setup &amp; Lists'!$B$9="Yes",X54,0))*IF(U54="",'Setup &amp; Lists'!$B$6,U54),2)),"")</f>
        <v/>
      </c>
      <c r="Z54" s="53">
        <f>IFERROR(IF(A54="","",ROUND(W54+T54+X54+Y54,2)),"")</f>
        <v/>
      </c>
      <c r="AA54" s="51" t="n"/>
      <c r="AB54" s="53">
        <f>IFERROR(IF(A54="","",ROUND(IF(AA54&lt;&gt;"",AA54,Z54*'Setup &amp; Lists'!$B$10),2)),"")</f>
        <v/>
      </c>
      <c r="AC54" s="51" t="n"/>
      <c r="AD54" s="53">
        <f>IFERROR(IF(A54="","",MAX(0,ROUND(Z54-AC54,2))),"")</f>
        <v/>
      </c>
      <c r="AE54" s="32">
        <f>IFERROR(IF(A54="","",IF(AD54=0,"Paid",IF(AC54&gt;=AB54,"Deposit Met",IF(AC54&gt;0,"Partial Payment","Unpaid")))),"")</f>
        <v/>
      </c>
      <c r="AF54" s="54">
        <f>IFERROR(IF(OR(A54="",G54=""),"",G54-('Setup &amp; Lists'!$B$11/24)),"")</f>
        <v/>
      </c>
      <c r="AG54" s="25" t="n"/>
      <c r="AH54" s="25" t="n"/>
      <c r="AI54" s="50" t="n"/>
      <c r="AJ54" s="32">
        <f>IFERROR(IF(A54="","",IF(H54&lt;=G54,"Departure must be after arrival",IF(OR(J54="",J54&lt;1),"Rooms must be at least 1",IF(D54="","Guest name missing",IF(COUNTIF($A$2:$A$251,A54)&gt;1,"Duplicate reservation ID",IF(AND(P54="Confirmed",G54&gt;=TODAY(),G54&lt;=TODAY()+'Setup &amp; Lists'!$B$12,Q54=""),"Assign room for near-term arrival",IF(AND(G54&lt;TODAY(),P54="Confirmed"),"Past-due confirmed arrival",IF(AND(G54&gt;TODAY(),P54="Confirmed",AC54&lt;AB54),"Deposit shortfall",IF(AND(H54&lt;TODAY(),AD54&gt;0,P54&lt;&gt;"Cancelled"),"Balance remains after departure",IF(R54&lt;0,"Nightly rate is negative",IF(AC54&gt;Z54,"Deposit paid exceeds total value",""))))))))))),"")</f>
        <v/>
      </c>
    </row>
    <row r="55">
      <c r="A55" s="25" t="n"/>
      <c r="B55" s="25" t="n"/>
      <c r="C55" s="50" t="n"/>
      <c r="D55" s="25" t="n"/>
      <c r="E55" s="25" t="n"/>
      <c r="F55" s="25" t="n"/>
      <c r="G55" s="50" t="n"/>
      <c r="H55" s="50" t="n"/>
      <c r="I55" s="27">
        <f>IFERROR(IF(A55="","",MAX(0,H55-G55)),"")</f>
        <v/>
      </c>
      <c r="J55" s="28" t="n"/>
      <c r="K55" s="28" t="n"/>
      <c r="L55" s="28" t="n"/>
      <c r="M55" s="25" t="n"/>
      <c r="N55" s="25" t="n"/>
      <c r="O55" s="25" t="n"/>
      <c r="P55" s="25" t="n"/>
      <c r="Q55" s="25" t="n"/>
      <c r="R55" s="51" t="n"/>
      <c r="S55" s="52" t="n"/>
      <c r="T55" s="51" t="n"/>
      <c r="U55" s="52" t="n"/>
      <c r="V55" s="52" t="n"/>
      <c r="W55" s="53">
        <f>IFERROR(IF(A55="","",ROUND(I55*J55*R55*(1-S55),2)),"")</f>
        <v/>
      </c>
      <c r="X55" s="53">
        <f>IFERROR(IF(A55="","",ROUND(W55*IF(V55="",'Setup &amp; Lists'!$B$7,V55),2)),"")</f>
        <v/>
      </c>
      <c r="Y55" s="53">
        <f>IFERROR(IF(A55="","",ROUND((W55+IF('Setup &amp; Lists'!$B$8="Yes",T55,0)+IF('Setup &amp; Lists'!$B$9="Yes",X55,0))*IF(U55="",'Setup &amp; Lists'!$B$6,U55),2)),"")</f>
        <v/>
      </c>
      <c r="Z55" s="53">
        <f>IFERROR(IF(A55="","",ROUND(W55+T55+X55+Y55,2)),"")</f>
        <v/>
      </c>
      <c r="AA55" s="51" t="n"/>
      <c r="AB55" s="53">
        <f>IFERROR(IF(A55="","",ROUND(IF(AA55&lt;&gt;"",AA55,Z55*'Setup &amp; Lists'!$B$10),2)),"")</f>
        <v/>
      </c>
      <c r="AC55" s="51" t="n"/>
      <c r="AD55" s="53">
        <f>IFERROR(IF(A55="","",MAX(0,ROUND(Z55-AC55,2))),"")</f>
        <v/>
      </c>
      <c r="AE55" s="32">
        <f>IFERROR(IF(A55="","",IF(AD55=0,"Paid",IF(AC55&gt;=AB55,"Deposit Met",IF(AC55&gt;0,"Partial Payment","Unpaid")))),"")</f>
        <v/>
      </c>
      <c r="AF55" s="54">
        <f>IFERROR(IF(OR(A55="",G55=""),"",G55-('Setup &amp; Lists'!$B$11/24)),"")</f>
        <v/>
      </c>
      <c r="AG55" s="25" t="n"/>
      <c r="AH55" s="25" t="n"/>
      <c r="AI55" s="50" t="n"/>
      <c r="AJ55" s="32">
        <f>IFERROR(IF(A55="","",IF(H55&lt;=G55,"Departure must be after arrival",IF(OR(J55="",J55&lt;1),"Rooms must be at least 1",IF(D55="","Guest name missing",IF(COUNTIF($A$2:$A$251,A55)&gt;1,"Duplicate reservation ID",IF(AND(P55="Confirmed",G55&gt;=TODAY(),G55&lt;=TODAY()+'Setup &amp; Lists'!$B$12,Q55=""),"Assign room for near-term arrival",IF(AND(G55&lt;TODAY(),P55="Confirmed"),"Past-due confirmed arrival",IF(AND(G55&gt;TODAY(),P55="Confirmed",AC55&lt;AB55),"Deposit shortfall",IF(AND(H55&lt;TODAY(),AD55&gt;0,P55&lt;&gt;"Cancelled"),"Balance remains after departure",IF(R55&lt;0,"Nightly rate is negative",IF(AC55&gt;Z55,"Deposit paid exceeds total value",""))))))))))),"")</f>
        <v/>
      </c>
    </row>
    <row r="56">
      <c r="A56" s="25" t="n"/>
      <c r="B56" s="25" t="n"/>
      <c r="C56" s="50" t="n"/>
      <c r="D56" s="25" t="n"/>
      <c r="E56" s="25" t="n"/>
      <c r="F56" s="25" t="n"/>
      <c r="G56" s="50" t="n"/>
      <c r="H56" s="50" t="n"/>
      <c r="I56" s="27">
        <f>IFERROR(IF(A56="","",MAX(0,H56-G56)),"")</f>
        <v/>
      </c>
      <c r="J56" s="28" t="n"/>
      <c r="K56" s="28" t="n"/>
      <c r="L56" s="28" t="n"/>
      <c r="M56" s="25" t="n"/>
      <c r="N56" s="25" t="n"/>
      <c r="O56" s="25" t="n"/>
      <c r="P56" s="25" t="n"/>
      <c r="Q56" s="25" t="n"/>
      <c r="R56" s="51" t="n"/>
      <c r="S56" s="52" t="n"/>
      <c r="T56" s="51" t="n"/>
      <c r="U56" s="52" t="n"/>
      <c r="V56" s="52" t="n"/>
      <c r="W56" s="53">
        <f>IFERROR(IF(A56="","",ROUND(I56*J56*R56*(1-S56),2)),"")</f>
        <v/>
      </c>
      <c r="X56" s="53">
        <f>IFERROR(IF(A56="","",ROUND(W56*IF(V56="",'Setup &amp; Lists'!$B$7,V56),2)),"")</f>
        <v/>
      </c>
      <c r="Y56" s="53">
        <f>IFERROR(IF(A56="","",ROUND((W56+IF('Setup &amp; Lists'!$B$8="Yes",T56,0)+IF('Setup &amp; Lists'!$B$9="Yes",X56,0))*IF(U56="",'Setup &amp; Lists'!$B$6,U56),2)),"")</f>
        <v/>
      </c>
      <c r="Z56" s="53">
        <f>IFERROR(IF(A56="","",ROUND(W56+T56+X56+Y56,2)),"")</f>
        <v/>
      </c>
      <c r="AA56" s="51" t="n"/>
      <c r="AB56" s="53">
        <f>IFERROR(IF(A56="","",ROUND(IF(AA56&lt;&gt;"",AA56,Z56*'Setup &amp; Lists'!$B$10),2)),"")</f>
        <v/>
      </c>
      <c r="AC56" s="51" t="n"/>
      <c r="AD56" s="53">
        <f>IFERROR(IF(A56="","",MAX(0,ROUND(Z56-AC56,2))),"")</f>
        <v/>
      </c>
      <c r="AE56" s="32">
        <f>IFERROR(IF(A56="","",IF(AD56=0,"Paid",IF(AC56&gt;=AB56,"Deposit Met",IF(AC56&gt;0,"Partial Payment","Unpaid")))),"")</f>
        <v/>
      </c>
      <c r="AF56" s="54">
        <f>IFERROR(IF(OR(A56="",G56=""),"",G56-('Setup &amp; Lists'!$B$11/24)),"")</f>
        <v/>
      </c>
      <c r="AG56" s="25" t="n"/>
      <c r="AH56" s="25" t="n"/>
      <c r="AI56" s="50" t="n"/>
      <c r="AJ56" s="32">
        <f>IFERROR(IF(A56="","",IF(H56&lt;=G56,"Departure must be after arrival",IF(OR(J56="",J56&lt;1),"Rooms must be at least 1",IF(D56="","Guest name missing",IF(COUNTIF($A$2:$A$251,A56)&gt;1,"Duplicate reservation ID",IF(AND(P56="Confirmed",G56&gt;=TODAY(),G56&lt;=TODAY()+'Setup &amp; Lists'!$B$12,Q56=""),"Assign room for near-term arrival",IF(AND(G56&lt;TODAY(),P56="Confirmed"),"Past-due confirmed arrival",IF(AND(G56&gt;TODAY(),P56="Confirmed",AC56&lt;AB56),"Deposit shortfall",IF(AND(H56&lt;TODAY(),AD56&gt;0,P56&lt;&gt;"Cancelled"),"Balance remains after departure",IF(R56&lt;0,"Nightly rate is negative",IF(AC56&gt;Z56,"Deposit paid exceeds total value",""))))))))))),"")</f>
        <v/>
      </c>
    </row>
    <row r="57">
      <c r="A57" s="25" t="n"/>
      <c r="B57" s="25" t="n"/>
      <c r="C57" s="50" t="n"/>
      <c r="D57" s="25" t="n"/>
      <c r="E57" s="25" t="n"/>
      <c r="F57" s="25" t="n"/>
      <c r="G57" s="50" t="n"/>
      <c r="H57" s="50" t="n"/>
      <c r="I57" s="27">
        <f>IFERROR(IF(A57="","",MAX(0,H57-G57)),"")</f>
        <v/>
      </c>
      <c r="J57" s="28" t="n"/>
      <c r="K57" s="28" t="n"/>
      <c r="L57" s="28" t="n"/>
      <c r="M57" s="25" t="n"/>
      <c r="N57" s="25" t="n"/>
      <c r="O57" s="25" t="n"/>
      <c r="P57" s="25" t="n"/>
      <c r="Q57" s="25" t="n"/>
      <c r="R57" s="51" t="n"/>
      <c r="S57" s="52" t="n"/>
      <c r="T57" s="51" t="n"/>
      <c r="U57" s="52" t="n"/>
      <c r="V57" s="52" t="n"/>
      <c r="W57" s="53">
        <f>IFERROR(IF(A57="","",ROUND(I57*J57*R57*(1-S57),2)),"")</f>
        <v/>
      </c>
      <c r="X57" s="53">
        <f>IFERROR(IF(A57="","",ROUND(W57*IF(V57="",'Setup &amp; Lists'!$B$7,V57),2)),"")</f>
        <v/>
      </c>
      <c r="Y57" s="53">
        <f>IFERROR(IF(A57="","",ROUND((W57+IF('Setup &amp; Lists'!$B$8="Yes",T57,0)+IF('Setup &amp; Lists'!$B$9="Yes",X57,0))*IF(U57="",'Setup &amp; Lists'!$B$6,U57),2)),"")</f>
        <v/>
      </c>
      <c r="Z57" s="53">
        <f>IFERROR(IF(A57="","",ROUND(W57+T57+X57+Y57,2)),"")</f>
        <v/>
      </c>
      <c r="AA57" s="51" t="n"/>
      <c r="AB57" s="53">
        <f>IFERROR(IF(A57="","",ROUND(IF(AA57&lt;&gt;"",AA57,Z57*'Setup &amp; Lists'!$B$10),2)),"")</f>
        <v/>
      </c>
      <c r="AC57" s="51" t="n"/>
      <c r="AD57" s="53">
        <f>IFERROR(IF(A57="","",MAX(0,ROUND(Z57-AC57,2))),"")</f>
        <v/>
      </c>
      <c r="AE57" s="32">
        <f>IFERROR(IF(A57="","",IF(AD57=0,"Paid",IF(AC57&gt;=AB57,"Deposit Met",IF(AC57&gt;0,"Partial Payment","Unpaid")))),"")</f>
        <v/>
      </c>
      <c r="AF57" s="54">
        <f>IFERROR(IF(OR(A57="",G57=""),"",G57-('Setup &amp; Lists'!$B$11/24)),"")</f>
        <v/>
      </c>
      <c r="AG57" s="25" t="n"/>
      <c r="AH57" s="25" t="n"/>
      <c r="AI57" s="50" t="n"/>
      <c r="AJ57" s="32">
        <f>IFERROR(IF(A57="","",IF(H57&lt;=G57,"Departure must be after arrival",IF(OR(J57="",J57&lt;1),"Rooms must be at least 1",IF(D57="","Guest name missing",IF(COUNTIF($A$2:$A$251,A57)&gt;1,"Duplicate reservation ID",IF(AND(P57="Confirmed",G57&gt;=TODAY(),G57&lt;=TODAY()+'Setup &amp; Lists'!$B$12,Q57=""),"Assign room for near-term arrival",IF(AND(G57&lt;TODAY(),P57="Confirmed"),"Past-due confirmed arrival",IF(AND(G57&gt;TODAY(),P57="Confirmed",AC57&lt;AB57),"Deposit shortfall",IF(AND(H57&lt;TODAY(),AD57&gt;0,P57&lt;&gt;"Cancelled"),"Balance remains after departure",IF(R57&lt;0,"Nightly rate is negative",IF(AC57&gt;Z57,"Deposit paid exceeds total value",""))))))))))),"")</f>
        <v/>
      </c>
    </row>
    <row r="58">
      <c r="A58" s="25" t="n"/>
      <c r="B58" s="25" t="n"/>
      <c r="C58" s="50" t="n"/>
      <c r="D58" s="25" t="n"/>
      <c r="E58" s="25" t="n"/>
      <c r="F58" s="25" t="n"/>
      <c r="G58" s="50" t="n"/>
      <c r="H58" s="50" t="n"/>
      <c r="I58" s="27">
        <f>IFERROR(IF(A58="","",MAX(0,H58-G58)),"")</f>
        <v/>
      </c>
      <c r="J58" s="28" t="n"/>
      <c r="K58" s="28" t="n"/>
      <c r="L58" s="28" t="n"/>
      <c r="M58" s="25" t="n"/>
      <c r="N58" s="25" t="n"/>
      <c r="O58" s="25" t="n"/>
      <c r="P58" s="25" t="n"/>
      <c r="Q58" s="25" t="n"/>
      <c r="R58" s="51" t="n"/>
      <c r="S58" s="52" t="n"/>
      <c r="T58" s="51" t="n"/>
      <c r="U58" s="52" t="n"/>
      <c r="V58" s="52" t="n"/>
      <c r="W58" s="53">
        <f>IFERROR(IF(A58="","",ROUND(I58*J58*R58*(1-S58),2)),"")</f>
        <v/>
      </c>
      <c r="X58" s="53">
        <f>IFERROR(IF(A58="","",ROUND(W58*IF(V58="",'Setup &amp; Lists'!$B$7,V58),2)),"")</f>
        <v/>
      </c>
      <c r="Y58" s="53">
        <f>IFERROR(IF(A58="","",ROUND((W58+IF('Setup &amp; Lists'!$B$8="Yes",T58,0)+IF('Setup &amp; Lists'!$B$9="Yes",X58,0))*IF(U58="",'Setup &amp; Lists'!$B$6,U58),2)),"")</f>
        <v/>
      </c>
      <c r="Z58" s="53">
        <f>IFERROR(IF(A58="","",ROUND(W58+T58+X58+Y58,2)),"")</f>
        <v/>
      </c>
      <c r="AA58" s="51" t="n"/>
      <c r="AB58" s="53">
        <f>IFERROR(IF(A58="","",ROUND(IF(AA58&lt;&gt;"",AA58,Z58*'Setup &amp; Lists'!$B$10),2)),"")</f>
        <v/>
      </c>
      <c r="AC58" s="51" t="n"/>
      <c r="AD58" s="53">
        <f>IFERROR(IF(A58="","",MAX(0,ROUND(Z58-AC58,2))),"")</f>
        <v/>
      </c>
      <c r="AE58" s="32">
        <f>IFERROR(IF(A58="","",IF(AD58=0,"Paid",IF(AC58&gt;=AB58,"Deposit Met",IF(AC58&gt;0,"Partial Payment","Unpaid")))),"")</f>
        <v/>
      </c>
      <c r="AF58" s="54">
        <f>IFERROR(IF(OR(A58="",G58=""),"",G58-('Setup &amp; Lists'!$B$11/24)),"")</f>
        <v/>
      </c>
      <c r="AG58" s="25" t="n"/>
      <c r="AH58" s="25" t="n"/>
      <c r="AI58" s="50" t="n"/>
      <c r="AJ58" s="32">
        <f>IFERROR(IF(A58="","",IF(H58&lt;=G58,"Departure must be after arrival",IF(OR(J58="",J58&lt;1),"Rooms must be at least 1",IF(D58="","Guest name missing",IF(COUNTIF($A$2:$A$251,A58)&gt;1,"Duplicate reservation ID",IF(AND(P58="Confirmed",G58&gt;=TODAY(),G58&lt;=TODAY()+'Setup &amp; Lists'!$B$12,Q58=""),"Assign room for near-term arrival",IF(AND(G58&lt;TODAY(),P58="Confirmed"),"Past-due confirmed arrival",IF(AND(G58&gt;TODAY(),P58="Confirmed",AC58&lt;AB58),"Deposit shortfall",IF(AND(H58&lt;TODAY(),AD58&gt;0,P58&lt;&gt;"Cancelled"),"Balance remains after departure",IF(R58&lt;0,"Nightly rate is negative",IF(AC58&gt;Z58,"Deposit paid exceeds total value",""))))))))))),"")</f>
        <v/>
      </c>
    </row>
    <row r="59">
      <c r="A59" s="25" t="n"/>
      <c r="B59" s="25" t="n"/>
      <c r="C59" s="50" t="n"/>
      <c r="D59" s="25" t="n"/>
      <c r="E59" s="25" t="n"/>
      <c r="F59" s="25" t="n"/>
      <c r="G59" s="50" t="n"/>
      <c r="H59" s="50" t="n"/>
      <c r="I59" s="27">
        <f>IFERROR(IF(A59="","",MAX(0,H59-G59)),"")</f>
        <v/>
      </c>
      <c r="J59" s="28" t="n"/>
      <c r="K59" s="28" t="n"/>
      <c r="L59" s="28" t="n"/>
      <c r="M59" s="25" t="n"/>
      <c r="N59" s="25" t="n"/>
      <c r="O59" s="25" t="n"/>
      <c r="P59" s="25" t="n"/>
      <c r="Q59" s="25" t="n"/>
      <c r="R59" s="51" t="n"/>
      <c r="S59" s="52" t="n"/>
      <c r="T59" s="51" t="n"/>
      <c r="U59" s="52" t="n"/>
      <c r="V59" s="52" t="n"/>
      <c r="W59" s="53">
        <f>IFERROR(IF(A59="","",ROUND(I59*J59*R59*(1-S59),2)),"")</f>
        <v/>
      </c>
      <c r="X59" s="53">
        <f>IFERROR(IF(A59="","",ROUND(W59*IF(V59="",'Setup &amp; Lists'!$B$7,V59),2)),"")</f>
        <v/>
      </c>
      <c r="Y59" s="53">
        <f>IFERROR(IF(A59="","",ROUND((W59+IF('Setup &amp; Lists'!$B$8="Yes",T59,0)+IF('Setup &amp; Lists'!$B$9="Yes",X59,0))*IF(U59="",'Setup &amp; Lists'!$B$6,U59),2)),"")</f>
        <v/>
      </c>
      <c r="Z59" s="53">
        <f>IFERROR(IF(A59="","",ROUND(W59+T59+X59+Y59,2)),"")</f>
        <v/>
      </c>
      <c r="AA59" s="51" t="n"/>
      <c r="AB59" s="53">
        <f>IFERROR(IF(A59="","",ROUND(IF(AA59&lt;&gt;"",AA59,Z59*'Setup &amp; Lists'!$B$10),2)),"")</f>
        <v/>
      </c>
      <c r="AC59" s="51" t="n"/>
      <c r="AD59" s="53">
        <f>IFERROR(IF(A59="","",MAX(0,ROUND(Z59-AC59,2))),"")</f>
        <v/>
      </c>
      <c r="AE59" s="32">
        <f>IFERROR(IF(A59="","",IF(AD59=0,"Paid",IF(AC59&gt;=AB59,"Deposit Met",IF(AC59&gt;0,"Partial Payment","Unpaid")))),"")</f>
        <v/>
      </c>
      <c r="AF59" s="54">
        <f>IFERROR(IF(OR(A59="",G59=""),"",G59-('Setup &amp; Lists'!$B$11/24)),"")</f>
        <v/>
      </c>
      <c r="AG59" s="25" t="n"/>
      <c r="AH59" s="25" t="n"/>
      <c r="AI59" s="50" t="n"/>
      <c r="AJ59" s="32">
        <f>IFERROR(IF(A59="","",IF(H59&lt;=G59,"Departure must be after arrival",IF(OR(J59="",J59&lt;1),"Rooms must be at least 1",IF(D59="","Guest name missing",IF(COUNTIF($A$2:$A$251,A59)&gt;1,"Duplicate reservation ID",IF(AND(P59="Confirmed",G59&gt;=TODAY(),G59&lt;=TODAY()+'Setup &amp; Lists'!$B$12,Q59=""),"Assign room for near-term arrival",IF(AND(G59&lt;TODAY(),P59="Confirmed"),"Past-due confirmed arrival",IF(AND(G59&gt;TODAY(),P59="Confirmed",AC59&lt;AB59),"Deposit shortfall",IF(AND(H59&lt;TODAY(),AD59&gt;0,P59&lt;&gt;"Cancelled"),"Balance remains after departure",IF(R59&lt;0,"Nightly rate is negative",IF(AC59&gt;Z59,"Deposit paid exceeds total value",""))))))))))),"")</f>
        <v/>
      </c>
    </row>
    <row r="60">
      <c r="A60" s="25" t="n"/>
      <c r="B60" s="25" t="n"/>
      <c r="C60" s="50" t="n"/>
      <c r="D60" s="25" t="n"/>
      <c r="E60" s="25" t="n"/>
      <c r="F60" s="25" t="n"/>
      <c r="G60" s="50" t="n"/>
      <c r="H60" s="50" t="n"/>
      <c r="I60" s="27">
        <f>IFERROR(IF(A60="","",MAX(0,H60-G60)),"")</f>
        <v/>
      </c>
      <c r="J60" s="28" t="n"/>
      <c r="K60" s="28" t="n"/>
      <c r="L60" s="28" t="n"/>
      <c r="M60" s="25" t="n"/>
      <c r="N60" s="25" t="n"/>
      <c r="O60" s="25" t="n"/>
      <c r="P60" s="25" t="n"/>
      <c r="Q60" s="25" t="n"/>
      <c r="R60" s="51" t="n"/>
      <c r="S60" s="52" t="n"/>
      <c r="T60" s="51" t="n"/>
      <c r="U60" s="52" t="n"/>
      <c r="V60" s="52" t="n"/>
      <c r="W60" s="53">
        <f>IFERROR(IF(A60="","",ROUND(I60*J60*R60*(1-S60),2)),"")</f>
        <v/>
      </c>
      <c r="X60" s="53">
        <f>IFERROR(IF(A60="","",ROUND(W60*IF(V60="",'Setup &amp; Lists'!$B$7,V60),2)),"")</f>
        <v/>
      </c>
      <c r="Y60" s="53">
        <f>IFERROR(IF(A60="","",ROUND((W60+IF('Setup &amp; Lists'!$B$8="Yes",T60,0)+IF('Setup &amp; Lists'!$B$9="Yes",X60,0))*IF(U60="",'Setup &amp; Lists'!$B$6,U60),2)),"")</f>
        <v/>
      </c>
      <c r="Z60" s="53">
        <f>IFERROR(IF(A60="","",ROUND(W60+T60+X60+Y60,2)),"")</f>
        <v/>
      </c>
      <c r="AA60" s="51" t="n"/>
      <c r="AB60" s="53">
        <f>IFERROR(IF(A60="","",ROUND(IF(AA60&lt;&gt;"",AA60,Z60*'Setup &amp; Lists'!$B$10),2)),"")</f>
        <v/>
      </c>
      <c r="AC60" s="51" t="n"/>
      <c r="AD60" s="53">
        <f>IFERROR(IF(A60="","",MAX(0,ROUND(Z60-AC60,2))),"")</f>
        <v/>
      </c>
      <c r="AE60" s="32">
        <f>IFERROR(IF(A60="","",IF(AD60=0,"Paid",IF(AC60&gt;=AB60,"Deposit Met",IF(AC60&gt;0,"Partial Payment","Unpaid")))),"")</f>
        <v/>
      </c>
      <c r="AF60" s="54">
        <f>IFERROR(IF(OR(A60="",G60=""),"",G60-('Setup &amp; Lists'!$B$11/24)),"")</f>
        <v/>
      </c>
      <c r="AG60" s="25" t="n"/>
      <c r="AH60" s="25" t="n"/>
      <c r="AI60" s="50" t="n"/>
      <c r="AJ60" s="32">
        <f>IFERROR(IF(A60="","",IF(H60&lt;=G60,"Departure must be after arrival",IF(OR(J60="",J60&lt;1),"Rooms must be at least 1",IF(D60="","Guest name missing",IF(COUNTIF($A$2:$A$251,A60)&gt;1,"Duplicate reservation ID",IF(AND(P60="Confirmed",G60&gt;=TODAY(),G60&lt;=TODAY()+'Setup &amp; Lists'!$B$12,Q60=""),"Assign room for near-term arrival",IF(AND(G60&lt;TODAY(),P60="Confirmed"),"Past-due confirmed arrival",IF(AND(G60&gt;TODAY(),P60="Confirmed",AC60&lt;AB60),"Deposit shortfall",IF(AND(H60&lt;TODAY(),AD60&gt;0,P60&lt;&gt;"Cancelled"),"Balance remains after departure",IF(R60&lt;0,"Nightly rate is negative",IF(AC60&gt;Z60,"Deposit paid exceeds total value",""))))))))))),"")</f>
        <v/>
      </c>
    </row>
    <row r="61">
      <c r="A61" s="25" t="n"/>
      <c r="B61" s="25" t="n"/>
      <c r="C61" s="50" t="n"/>
      <c r="D61" s="25" t="n"/>
      <c r="E61" s="25" t="n"/>
      <c r="F61" s="25" t="n"/>
      <c r="G61" s="50" t="n"/>
      <c r="H61" s="50" t="n"/>
      <c r="I61" s="27">
        <f>IFERROR(IF(A61="","",MAX(0,H61-G61)),"")</f>
        <v/>
      </c>
      <c r="J61" s="28" t="n"/>
      <c r="K61" s="28" t="n"/>
      <c r="L61" s="28" t="n"/>
      <c r="M61" s="25" t="n"/>
      <c r="N61" s="25" t="n"/>
      <c r="O61" s="25" t="n"/>
      <c r="P61" s="25" t="n"/>
      <c r="Q61" s="25" t="n"/>
      <c r="R61" s="51" t="n"/>
      <c r="S61" s="52" t="n"/>
      <c r="T61" s="51" t="n"/>
      <c r="U61" s="52" t="n"/>
      <c r="V61" s="52" t="n"/>
      <c r="W61" s="53">
        <f>IFERROR(IF(A61="","",ROUND(I61*J61*R61*(1-S61),2)),"")</f>
        <v/>
      </c>
      <c r="X61" s="53">
        <f>IFERROR(IF(A61="","",ROUND(W61*IF(V61="",'Setup &amp; Lists'!$B$7,V61),2)),"")</f>
        <v/>
      </c>
      <c r="Y61" s="53">
        <f>IFERROR(IF(A61="","",ROUND((W61+IF('Setup &amp; Lists'!$B$8="Yes",T61,0)+IF('Setup &amp; Lists'!$B$9="Yes",X61,0))*IF(U61="",'Setup &amp; Lists'!$B$6,U61),2)),"")</f>
        <v/>
      </c>
      <c r="Z61" s="53">
        <f>IFERROR(IF(A61="","",ROUND(W61+T61+X61+Y61,2)),"")</f>
        <v/>
      </c>
      <c r="AA61" s="51" t="n"/>
      <c r="AB61" s="53">
        <f>IFERROR(IF(A61="","",ROUND(IF(AA61&lt;&gt;"",AA61,Z61*'Setup &amp; Lists'!$B$10),2)),"")</f>
        <v/>
      </c>
      <c r="AC61" s="51" t="n"/>
      <c r="AD61" s="53">
        <f>IFERROR(IF(A61="","",MAX(0,ROUND(Z61-AC61,2))),"")</f>
        <v/>
      </c>
      <c r="AE61" s="32">
        <f>IFERROR(IF(A61="","",IF(AD61=0,"Paid",IF(AC61&gt;=AB61,"Deposit Met",IF(AC61&gt;0,"Partial Payment","Unpaid")))),"")</f>
        <v/>
      </c>
      <c r="AF61" s="54">
        <f>IFERROR(IF(OR(A61="",G61=""),"",G61-('Setup &amp; Lists'!$B$11/24)),"")</f>
        <v/>
      </c>
      <c r="AG61" s="25" t="n"/>
      <c r="AH61" s="25" t="n"/>
      <c r="AI61" s="50" t="n"/>
      <c r="AJ61" s="32">
        <f>IFERROR(IF(A61="","",IF(H61&lt;=G61,"Departure must be after arrival",IF(OR(J61="",J61&lt;1),"Rooms must be at least 1",IF(D61="","Guest name missing",IF(COUNTIF($A$2:$A$251,A61)&gt;1,"Duplicate reservation ID",IF(AND(P61="Confirmed",G61&gt;=TODAY(),G61&lt;=TODAY()+'Setup &amp; Lists'!$B$12,Q61=""),"Assign room for near-term arrival",IF(AND(G61&lt;TODAY(),P61="Confirmed"),"Past-due confirmed arrival",IF(AND(G61&gt;TODAY(),P61="Confirmed",AC61&lt;AB61),"Deposit shortfall",IF(AND(H61&lt;TODAY(),AD61&gt;0,P61&lt;&gt;"Cancelled"),"Balance remains after departure",IF(R61&lt;0,"Nightly rate is negative",IF(AC61&gt;Z61,"Deposit paid exceeds total value",""))))))))))),"")</f>
        <v/>
      </c>
    </row>
    <row r="62">
      <c r="A62" s="25" t="n"/>
      <c r="B62" s="25" t="n"/>
      <c r="C62" s="50" t="n"/>
      <c r="D62" s="25" t="n"/>
      <c r="E62" s="25" t="n"/>
      <c r="F62" s="25" t="n"/>
      <c r="G62" s="50" t="n"/>
      <c r="H62" s="50" t="n"/>
      <c r="I62" s="27">
        <f>IFERROR(IF(A62="","",MAX(0,H62-G62)),"")</f>
        <v/>
      </c>
      <c r="J62" s="28" t="n"/>
      <c r="K62" s="28" t="n"/>
      <c r="L62" s="28" t="n"/>
      <c r="M62" s="25" t="n"/>
      <c r="N62" s="25" t="n"/>
      <c r="O62" s="25" t="n"/>
      <c r="P62" s="25" t="n"/>
      <c r="Q62" s="25" t="n"/>
      <c r="R62" s="51" t="n"/>
      <c r="S62" s="52" t="n"/>
      <c r="T62" s="51" t="n"/>
      <c r="U62" s="52" t="n"/>
      <c r="V62" s="52" t="n"/>
      <c r="W62" s="53">
        <f>IFERROR(IF(A62="","",ROUND(I62*J62*R62*(1-S62),2)),"")</f>
        <v/>
      </c>
      <c r="X62" s="53">
        <f>IFERROR(IF(A62="","",ROUND(W62*IF(V62="",'Setup &amp; Lists'!$B$7,V62),2)),"")</f>
        <v/>
      </c>
      <c r="Y62" s="53">
        <f>IFERROR(IF(A62="","",ROUND((W62+IF('Setup &amp; Lists'!$B$8="Yes",T62,0)+IF('Setup &amp; Lists'!$B$9="Yes",X62,0))*IF(U62="",'Setup &amp; Lists'!$B$6,U62),2)),"")</f>
        <v/>
      </c>
      <c r="Z62" s="53">
        <f>IFERROR(IF(A62="","",ROUND(W62+T62+X62+Y62,2)),"")</f>
        <v/>
      </c>
      <c r="AA62" s="51" t="n"/>
      <c r="AB62" s="53">
        <f>IFERROR(IF(A62="","",ROUND(IF(AA62&lt;&gt;"",AA62,Z62*'Setup &amp; Lists'!$B$10),2)),"")</f>
        <v/>
      </c>
      <c r="AC62" s="51" t="n"/>
      <c r="AD62" s="53">
        <f>IFERROR(IF(A62="","",MAX(0,ROUND(Z62-AC62,2))),"")</f>
        <v/>
      </c>
      <c r="AE62" s="32">
        <f>IFERROR(IF(A62="","",IF(AD62=0,"Paid",IF(AC62&gt;=AB62,"Deposit Met",IF(AC62&gt;0,"Partial Payment","Unpaid")))),"")</f>
        <v/>
      </c>
      <c r="AF62" s="54">
        <f>IFERROR(IF(OR(A62="",G62=""),"",G62-('Setup &amp; Lists'!$B$11/24)),"")</f>
        <v/>
      </c>
      <c r="AG62" s="25" t="n"/>
      <c r="AH62" s="25" t="n"/>
      <c r="AI62" s="50" t="n"/>
      <c r="AJ62" s="32">
        <f>IFERROR(IF(A62="","",IF(H62&lt;=G62,"Departure must be after arrival",IF(OR(J62="",J62&lt;1),"Rooms must be at least 1",IF(D62="","Guest name missing",IF(COUNTIF($A$2:$A$251,A62)&gt;1,"Duplicate reservation ID",IF(AND(P62="Confirmed",G62&gt;=TODAY(),G62&lt;=TODAY()+'Setup &amp; Lists'!$B$12,Q62=""),"Assign room for near-term arrival",IF(AND(G62&lt;TODAY(),P62="Confirmed"),"Past-due confirmed arrival",IF(AND(G62&gt;TODAY(),P62="Confirmed",AC62&lt;AB62),"Deposit shortfall",IF(AND(H62&lt;TODAY(),AD62&gt;0,P62&lt;&gt;"Cancelled"),"Balance remains after departure",IF(R62&lt;0,"Nightly rate is negative",IF(AC62&gt;Z62,"Deposit paid exceeds total value",""))))))))))),"")</f>
        <v/>
      </c>
    </row>
    <row r="63">
      <c r="A63" s="25" t="n"/>
      <c r="B63" s="25" t="n"/>
      <c r="C63" s="50" t="n"/>
      <c r="D63" s="25" t="n"/>
      <c r="E63" s="25" t="n"/>
      <c r="F63" s="25" t="n"/>
      <c r="G63" s="50" t="n"/>
      <c r="H63" s="50" t="n"/>
      <c r="I63" s="27">
        <f>IFERROR(IF(A63="","",MAX(0,H63-G63)),"")</f>
        <v/>
      </c>
      <c r="J63" s="28" t="n"/>
      <c r="K63" s="28" t="n"/>
      <c r="L63" s="28" t="n"/>
      <c r="M63" s="25" t="n"/>
      <c r="N63" s="25" t="n"/>
      <c r="O63" s="25" t="n"/>
      <c r="P63" s="25" t="n"/>
      <c r="Q63" s="25" t="n"/>
      <c r="R63" s="51" t="n"/>
      <c r="S63" s="52" t="n"/>
      <c r="T63" s="51" t="n"/>
      <c r="U63" s="52" t="n"/>
      <c r="V63" s="52" t="n"/>
      <c r="W63" s="53">
        <f>IFERROR(IF(A63="","",ROUND(I63*J63*R63*(1-S63),2)),"")</f>
        <v/>
      </c>
      <c r="X63" s="53">
        <f>IFERROR(IF(A63="","",ROUND(W63*IF(V63="",'Setup &amp; Lists'!$B$7,V63),2)),"")</f>
        <v/>
      </c>
      <c r="Y63" s="53">
        <f>IFERROR(IF(A63="","",ROUND((W63+IF('Setup &amp; Lists'!$B$8="Yes",T63,0)+IF('Setup &amp; Lists'!$B$9="Yes",X63,0))*IF(U63="",'Setup &amp; Lists'!$B$6,U63),2)),"")</f>
        <v/>
      </c>
      <c r="Z63" s="53">
        <f>IFERROR(IF(A63="","",ROUND(W63+T63+X63+Y63,2)),"")</f>
        <v/>
      </c>
      <c r="AA63" s="51" t="n"/>
      <c r="AB63" s="53">
        <f>IFERROR(IF(A63="","",ROUND(IF(AA63&lt;&gt;"",AA63,Z63*'Setup &amp; Lists'!$B$10),2)),"")</f>
        <v/>
      </c>
      <c r="AC63" s="51" t="n"/>
      <c r="AD63" s="53">
        <f>IFERROR(IF(A63="","",MAX(0,ROUND(Z63-AC63,2))),"")</f>
        <v/>
      </c>
      <c r="AE63" s="32">
        <f>IFERROR(IF(A63="","",IF(AD63=0,"Paid",IF(AC63&gt;=AB63,"Deposit Met",IF(AC63&gt;0,"Partial Payment","Unpaid")))),"")</f>
        <v/>
      </c>
      <c r="AF63" s="54">
        <f>IFERROR(IF(OR(A63="",G63=""),"",G63-('Setup &amp; Lists'!$B$11/24)),"")</f>
        <v/>
      </c>
      <c r="AG63" s="25" t="n"/>
      <c r="AH63" s="25" t="n"/>
      <c r="AI63" s="50" t="n"/>
      <c r="AJ63" s="32">
        <f>IFERROR(IF(A63="","",IF(H63&lt;=G63,"Departure must be after arrival",IF(OR(J63="",J63&lt;1),"Rooms must be at least 1",IF(D63="","Guest name missing",IF(COUNTIF($A$2:$A$251,A63)&gt;1,"Duplicate reservation ID",IF(AND(P63="Confirmed",G63&gt;=TODAY(),G63&lt;=TODAY()+'Setup &amp; Lists'!$B$12,Q63=""),"Assign room for near-term arrival",IF(AND(G63&lt;TODAY(),P63="Confirmed"),"Past-due confirmed arrival",IF(AND(G63&gt;TODAY(),P63="Confirmed",AC63&lt;AB63),"Deposit shortfall",IF(AND(H63&lt;TODAY(),AD63&gt;0,P63&lt;&gt;"Cancelled"),"Balance remains after departure",IF(R63&lt;0,"Nightly rate is negative",IF(AC63&gt;Z63,"Deposit paid exceeds total value",""))))))))))),"")</f>
        <v/>
      </c>
    </row>
    <row r="64">
      <c r="A64" s="25" t="n"/>
      <c r="B64" s="25" t="n"/>
      <c r="C64" s="50" t="n"/>
      <c r="D64" s="25" t="n"/>
      <c r="E64" s="25" t="n"/>
      <c r="F64" s="25" t="n"/>
      <c r="G64" s="50" t="n"/>
      <c r="H64" s="50" t="n"/>
      <c r="I64" s="27">
        <f>IFERROR(IF(A64="","",MAX(0,H64-G64)),"")</f>
        <v/>
      </c>
      <c r="J64" s="28" t="n"/>
      <c r="K64" s="28" t="n"/>
      <c r="L64" s="28" t="n"/>
      <c r="M64" s="25" t="n"/>
      <c r="N64" s="25" t="n"/>
      <c r="O64" s="25" t="n"/>
      <c r="P64" s="25" t="n"/>
      <c r="Q64" s="25" t="n"/>
      <c r="R64" s="51" t="n"/>
      <c r="S64" s="52" t="n"/>
      <c r="T64" s="51" t="n"/>
      <c r="U64" s="52" t="n"/>
      <c r="V64" s="52" t="n"/>
      <c r="W64" s="53">
        <f>IFERROR(IF(A64="","",ROUND(I64*J64*R64*(1-S64),2)),"")</f>
        <v/>
      </c>
      <c r="X64" s="53">
        <f>IFERROR(IF(A64="","",ROUND(W64*IF(V64="",'Setup &amp; Lists'!$B$7,V64),2)),"")</f>
        <v/>
      </c>
      <c r="Y64" s="53">
        <f>IFERROR(IF(A64="","",ROUND((W64+IF('Setup &amp; Lists'!$B$8="Yes",T64,0)+IF('Setup &amp; Lists'!$B$9="Yes",X64,0))*IF(U64="",'Setup &amp; Lists'!$B$6,U64),2)),"")</f>
        <v/>
      </c>
      <c r="Z64" s="53">
        <f>IFERROR(IF(A64="","",ROUND(W64+T64+X64+Y64,2)),"")</f>
        <v/>
      </c>
      <c r="AA64" s="51" t="n"/>
      <c r="AB64" s="53">
        <f>IFERROR(IF(A64="","",ROUND(IF(AA64&lt;&gt;"",AA64,Z64*'Setup &amp; Lists'!$B$10),2)),"")</f>
        <v/>
      </c>
      <c r="AC64" s="51" t="n"/>
      <c r="AD64" s="53">
        <f>IFERROR(IF(A64="","",MAX(0,ROUND(Z64-AC64,2))),"")</f>
        <v/>
      </c>
      <c r="AE64" s="32">
        <f>IFERROR(IF(A64="","",IF(AD64=0,"Paid",IF(AC64&gt;=AB64,"Deposit Met",IF(AC64&gt;0,"Partial Payment","Unpaid")))),"")</f>
        <v/>
      </c>
      <c r="AF64" s="54">
        <f>IFERROR(IF(OR(A64="",G64=""),"",G64-('Setup &amp; Lists'!$B$11/24)),"")</f>
        <v/>
      </c>
      <c r="AG64" s="25" t="n"/>
      <c r="AH64" s="25" t="n"/>
      <c r="AI64" s="50" t="n"/>
      <c r="AJ64" s="32">
        <f>IFERROR(IF(A64="","",IF(H64&lt;=G64,"Departure must be after arrival",IF(OR(J64="",J64&lt;1),"Rooms must be at least 1",IF(D64="","Guest name missing",IF(COUNTIF($A$2:$A$251,A64)&gt;1,"Duplicate reservation ID",IF(AND(P64="Confirmed",G64&gt;=TODAY(),G64&lt;=TODAY()+'Setup &amp; Lists'!$B$12,Q64=""),"Assign room for near-term arrival",IF(AND(G64&lt;TODAY(),P64="Confirmed"),"Past-due confirmed arrival",IF(AND(G64&gt;TODAY(),P64="Confirmed",AC64&lt;AB64),"Deposit shortfall",IF(AND(H64&lt;TODAY(),AD64&gt;0,P64&lt;&gt;"Cancelled"),"Balance remains after departure",IF(R64&lt;0,"Nightly rate is negative",IF(AC64&gt;Z64,"Deposit paid exceeds total value",""))))))))))),"")</f>
        <v/>
      </c>
    </row>
    <row r="65">
      <c r="A65" s="25" t="n"/>
      <c r="B65" s="25" t="n"/>
      <c r="C65" s="50" t="n"/>
      <c r="D65" s="25" t="n"/>
      <c r="E65" s="25" t="n"/>
      <c r="F65" s="25" t="n"/>
      <c r="G65" s="50" t="n"/>
      <c r="H65" s="50" t="n"/>
      <c r="I65" s="27">
        <f>IFERROR(IF(A65="","",MAX(0,H65-G65)),"")</f>
        <v/>
      </c>
      <c r="J65" s="28" t="n"/>
      <c r="K65" s="28" t="n"/>
      <c r="L65" s="28" t="n"/>
      <c r="M65" s="25" t="n"/>
      <c r="N65" s="25" t="n"/>
      <c r="O65" s="25" t="n"/>
      <c r="P65" s="25" t="n"/>
      <c r="Q65" s="25" t="n"/>
      <c r="R65" s="51" t="n"/>
      <c r="S65" s="52" t="n"/>
      <c r="T65" s="51" t="n"/>
      <c r="U65" s="52" t="n"/>
      <c r="V65" s="52" t="n"/>
      <c r="W65" s="53">
        <f>IFERROR(IF(A65="","",ROUND(I65*J65*R65*(1-S65),2)),"")</f>
        <v/>
      </c>
      <c r="X65" s="53">
        <f>IFERROR(IF(A65="","",ROUND(W65*IF(V65="",'Setup &amp; Lists'!$B$7,V65),2)),"")</f>
        <v/>
      </c>
      <c r="Y65" s="53">
        <f>IFERROR(IF(A65="","",ROUND((W65+IF('Setup &amp; Lists'!$B$8="Yes",T65,0)+IF('Setup &amp; Lists'!$B$9="Yes",X65,0))*IF(U65="",'Setup &amp; Lists'!$B$6,U65),2)),"")</f>
        <v/>
      </c>
      <c r="Z65" s="53">
        <f>IFERROR(IF(A65="","",ROUND(W65+T65+X65+Y65,2)),"")</f>
        <v/>
      </c>
      <c r="AA65" s="51" t="n"/>
      <c r="AB65" s="53">
        <f>IFERROR(IF(A65="","",ROUND(IF(AA65&lt;&gt;"",AA65,Z65*'Setup &amp; Lists'!$B$10),2)),"")</f>
        <v/>
      </c>
      <c r="AC65" s="51" t="n"/>
      <c r="AD65" s="53">
        <f>IFERROR(IF(A65="","",MAX(0,ROUND(Z65-AC65,2))),"")</f>
        <v/>
      </c>
      <c r="AE65" s="32">
        <f>IFERROR(IF(A65="","",IF(AD65=0,"Paid",IF(AC65&gt;=AB65,"Deposit Met",IF(AC65&gt;0,"Partial Payment","Unpaid")))),"")</f>
        <v/>
      </c>
      <c r="AF65" s="54">
        <f>IFERROR(IF(OR(A65="",G65=""),"",G65-('Setup &amp; Lists'!$B$11/24)),"")</f>
        <v/>
      </c>
      <c r="AG65" s="25" t="n"/>
      <c r="AH65" s="25" t="n"/>
      <c r="AI65" s="50" t="n"/>
      <c r="AJ65" s="32">
        <f>IFERROR(IF(A65="","",IF(H65&lt;=G65,"Departure must be after arrival",IF(OR(J65="",J65&lt;1),"Rooms must be at least 1",IF(D65="","Guest name missing",IF(COUNTIF($A$2:$A$251,A65)&gt;1,"Duplicate reservation ID",IF(AND(P65="Confirmed",G65&gt;=TODAY(),G65&lt;=TODAY()+'Setup &amp; Lists'!$B$12,Q65=""),"Assign room for near-term arrival",IF(AND(G65&lt;TODAY(),P65="Confirmed"),"Past-due confirmed arrival",IF(AND(G65&gt;TODAY(),P65="Confirmed",AC65&lt;AB65),"Deposit shortfall",IF(AND(H65&lt;TODAY(),AD65&gt;0,P65&lt;&gt;"Cancelled"),"Balance remains after departure",IF(R65&lt;0,"Nightly rate is negative",IF(AC65&gt;Z65,"Deposit paid exceeds total value",""))))))))))),"")</f>
        <v/>
      </c>
    </row>
    <row r="66">
      <c r="A66" s="25" t="n"/>
      <c r="B66" s="25" t="n"/>
      <c r="C66" s="50" t="n"/>
      <c r="D66" s="25" t="n"/>
      <c r="E66" s="25" t="n"/>
      <c r="F66" s="25" t="n"/>
      <c r="G66" s="50" t="n"/>
      <c r="H66" s="50" t="n"/>
      <c r="I66" s="27">
        <f>IFERROR(IF(A66="","",MAX(0,H66-G66)),"")</f>
        <v/>
      </c>
      <c r="J66" s="28" t="n"/>
      <c r="K66" s="28" t="n"/>
      <c r="L66" s="28" t="n"/>
      <c r="M66" s="25" t="n"/>
      <c r="N66" s="25" t="n"/>
      <c r="O66" s="25" t="n"/>
      <c r="P66" s="25" t="n"/>
      <c r="Q66" s="25" t="n"/>
      <c r="R66" s="51" t="n"/>
      <c r="S66" s="52" t="n"/>
      <c r="T66" s="51" t="n"/>
      <c r="U66" s="52" t="n"/>
      <c r="V66" s="52" t="n"/>
      <c r="W66" s="53">
        <f>IFERROR(IF(A66="","",ROUND(I66*J66*R66*(1-S66),2)),"")</f>
        <v/>
      </c>
      <c r="X66" s="53">
        <f>IFERROR(IF(A66="","",ROUND(W66*IF(V66="",'Setup &amp; Lists'!$B$7,V66),2)),"")</f>
        <v/>
      </c>
      <c r="Y66" s="53">
        <f>IFERROR(IF(A66="","",ROUND((W66+IF('Setup &amp; Lists'!$B$8="Yes",T66,0)+IF('Setup &amp; Lists'!$B$9="Yes",X66,0))*IF(U66="",'Setup &amp; Lists'!$B$6,U66),2)),"")</f>
        <v/>
      </c>
      <c r="Z66" s="53">
        <f>IFERROR(IF(A66="","",ROUND(W66+T66+X66+Y66,2)),"")</f>
        <v/>
      </c>
      <c r="AA66" s="51" t="n"/>
      <c r="AB66" s="53">
        <f>IFERROR(IF(A66="","",ROUND(IF(AA66&lt;&gt;"",AA66,Z66*'Setup &amp; Lists'!$B$10),2)),"")</f>
        <v/>
      </c>
      <c r="AC66" s="51" t="n"/>
      <c r="AD66" s="53">
        <f>IFERROR(IF(A66="","",MAX(0,ROUND(Z66-AC66,2))),"")</f>
        <v/>
      </c>
      <c r="AE66" s="32">
        <f>IFERROR(IF(A66="","",IF(AD66=0,"Paid",IF(AC66&gt;=AB66,"Deposit Met",IF(AC66&gt;0,"Partial Payment","Unpaid")))),"")</f>
        <v/>
      </c>
      <c r="AF66" s="54">
        <f>IFERROR(IF(OR(A66="",G66=""),"",G66-('Setup &amp; Lists'!$B$11/24)),"")</f>
        <v/>
      </c>
      <c r="AG66" s="25" t="n"/>
      <c r="AH66" s="25" t="n"/>
      <c r="AI66" s="50" t="n"/>
      <c r="AJ66" s="32">
        <f>IFERROR(IF(A66="","",IF(H66&lt;=G66,"Departure must be after arrival",IF(OR(J66="",J66&lt;1),"Rooms must be at least 1",IF(D66="","Guest name missing",IF(COUNTIF($A$2:$A$251,A66)&gt;1,"Duplicate reservation ID",IF(AND(P66="Confirmed",G66&gt;=TODAY(),G66&lt;=TODAY()+'Setup &amp; Lists'!$B$12,Q66=""),"Assign room for near-term arrival",IF(AND(G66&lt;TODAY(),P66="Confirmed"),"Past-due confirmed arrival",IF(AND(G66&gt;TODAY(),P66="Confirmed",AC66&lt;AB66),"Deposit shortfall",IF(AND(H66&lt;TODAY(),AD66&gt;0,P66&lt;&gt;"Cancelled"),"Balance remains after departure",IF(R66&lt;0,"Nightly rate is negative",IF(AC66&gt;Z66,"Deposit paid exceeds total value",""))))))))))),"")</f>
        <v/>
      </c>
    </row>
    <row r="67">
      <c r="A67" s="25" t="n"/>
      <c r="B67" s="25" t="n"/>
      <c r="C67" s="50" t="n"/>
      <c r="D67" s="25" t="n"/>
      <c r="E67" s="25" t="n"/>
      <c r="F67" s="25" t="n"/>
      <c r="G67" s="50" t="n"/>
      <c r="H67" s="50" t="n"/>
      <c r="I67" s="27">
        <f>IFERROR(IF(A67="","",MAX(0,H67-G67)),"")</f>
        <v/>
      </c>
      <c r="J67" s="28" t="n"/>
      <c r="K67" s="28" t="n"/>
      <c r="L67" s="28" t="n"/>
      <c r="M67" s="25" t="n"/>
      <c r="N67" s="25" t="n"/>
      <c r="O67" s="25" t="n"/>
      <c r="P67" s="25" t="n"/>
      <c r="Q67" s="25" t="n"/>
      <c r="R67" s="51" t="n"/>
      <c r="S67" s="52" t="n"/>
      <c r="T67" s="51" t="n"/>
      <c r="U67" s="52" t="n"/>
      <c r="V67" s="52" t="n"/>
      <c r="W67" s="53">
        <f>IFERROR(IF(A67="","",ROUND(I67*J67*R67*(1-S67),2)),"")</f>
        <v/>
      </c>
      <c r="X67" s="53">
        <f>IFERROR(IF(A67="","",ROUND(W67*IF(V67="",'Setup &amp; Lists'!$B$7,V67),2)),"")</f>
        <v/>
      </c>
      <c r="Y67" s="53">
        <f>IFERROR(IF(A67="","",ROUND((W67+IF('Setup &amp; Lists'!$B$8="Yes",T67,0)+IF('Setup &amp; Lists'!$B$9="Yes",X67,0))*IF(U67="",'Setup &amp; Lists'!$B$6,U67),2)),"")</f>
        <v/>
      </c>
      <c r="Z67" s="53">
        <f>IFERROR(IF(A67="","",ROUND(W67+T67+X67+Y67,2)),"")</f>
        <v/>
      </c>
      <c r="AA67" s="51" t="n"/>
      <c r="AB67" s="53">
        <f>IFERROR(IF(A67="","",ROUND(IF(AA67&lt;&gt;"",AA67,Z67*'Setup &amp; Lists'!$B$10),2)),"")</f>
        <v/>
      </c>
      <c r="AC67" s="51" t="n"/>
      <c r="AD67" s="53">
        <f>IFERROR(IF(A67="","",MAX(0,ROUND(Z67-AC67,2))),"")</f>
        <v/>
      </c>
      <c r="AE67" s="32">
        <f>IFERROR(IF(A67="","",IF(AD67=0,"Paid",IF(AC67&gt;=AB67,"Deposit Met",IF(AC67&gt;0,"Partial Payment","Unpaid")))),"")</f>
        <v/>
      </c>
      <c r="AF67" s="54">
        <f>IFERROR(IF(OR(A67="",G67=""),"",G67-('Setup &amp; Lists'!$B$11/24)),"")</f>
        <v/>
      </c>
      <c r="AG67" s="25" t="n"/>
      <c r="AH67" s="25" t="n"/>
      <c r="AI67" s="50" t="n"/>
      <c r="AJ67" s="32">
        <f>IFERROR(IF(A67="","",IF(H67&lt;=G67,"Departure must be after arrival",IF(OR(J67="",J67&lt;1),"Rooms must be at least 1",IF(D67="","Guest name missing",IF(COUNTIF($A$2:$A$251,A67)&gt;1,"Duplicate reservation ID",IF(AND(P67="Confirmed",G67&gt;=TODAY(),G67&lt;=TODAY()+'Setup &amp; Lists'!$B$12,Q67=""),"Assign room for near-term arrival",IF(AND(G67&lt;TODAY(),P67="Confirmed"),"Past-due confirmed arrival",IF(AND(G67&gt;TODAY(),P67="Confirmed",AC67&lt;AB67),"Deposit shortfall",IF(AND(H67&lt;TODAY(),AD67&gt;0,P67&lt;&gt;"Cancelled"),"Balance remains after departure",IF(R67&lt;0,"Nightly rate is negative",IF(AC67&gt;Z67,"Deposit paid exceeds total value",""))))))))))),"")</f>
        <v/>
      </c>
    </row>
    <row r="68">
      <c r="A68" s="25" t="n"/>
      <c r="B68" s="25" t="n"/>
      <c r="C68" s="50" t="n"/>
      <c r="D68" s="25" t="n"/>
      <c r="E68" s="25" t="n"/>
      <c r="F68" s="25" t="n"/>
      <c r="G68" s="50" t="n"/>
      <c r="H68" s="50" t="n"/>
      <c r="I68" s="27">
        <f>IFERROR(IF(A68="","",MAX(0,H68-G68)),"")</f>
        <v/>
      </c>
      <c r="J68" s="28" t="n"/>
      <c r="K68" s="28" t="n"/>
      <c r="L68" s="28" t="n"/>
      <c r="M68" s="25" t="n"/>
      <c r="N68" s="25" t="n"/>
      <c r="O68" s="25" t="n"/>
      <c r="P68" s="25" t="n"/>
      <c r="Q68" s="25" t="n"/>
      <c r="R68" s="51" t="n"/>
      <c r="S68" s="52" t="n"/>
      <c r="T68" s="51" t="n"/>
      <c r="U68" s="52" t="n"/>
      <c r="V68" s="52" t="n"/>
      <c r="W68" s="53">
        <f>IFERROR(IF(A68="","",ROUND(I68*J68*R68*(1-S68),2)),"")</f>
        <v/>
      </c>
      <c r="X68" s="53">
        <f>IFERROR(IF(A68="","",ROUND(W68*IF(V68="",'Setup &amp; Lists'!$B$7,V68),2)),"")</f>
        <v/>
      </c>
      <c r="Y68" s="53">
        <f>IFERROR(IF(A68="","",ROUND((W68+IF('Setup &amp; Lists'!$B$8="Yes",T68,0)+IF('Setup &amp; Lists'!$B$9="Yes",X68,0))*IF(U68="",'Setup &amp; Lists'!$B$6,U68),2)),"")</f>
        <v/>
      </c>
      <c r="Z68" s="53">
        <f>IFERROR(IF(A68="","",ROUND(W68+T68+X68+Y68,2)),"")</f>
        <v/>
      </c>
      <c r="AA68" s="51" t="n"/>
      <c r="AB68" s="53">
        <f>IFERROR(IF(A68="","",ROUND(IF(AA68&lt;&gt;"",AA68,Z68*'Setup &amp; Lists'!$B$10),2)),"")</f>
        <v/>
      </c>
      <c r="AC68" s="51" t="n"/>
      <c r="AD68" s="53">
        <f>IFERROR(IF(A68="","",MAX(0,ROUND(Z68-AC68,2))),"")</f>
        <v/>
      </c>
      <c r="AE68" s="32">
        <f>IFERROR(IF(A68="","",IF(AD68=0,"Paid",IF(AC68&gt;=AB68,"Deposit Met",IF(AC68&gt;0,"Partial Payment","Unpaid")))),"")</f>
        <v/>
      </c>
      <c r="AF68" s="54">
        <f>IFERROR(IF(OR(A68="",G68=""),"",G68-('Setup &amp; Lists'!$B$11/24)),"")</f>
        <v/>
      </c>
      <c r="AG68" s="25" t="n"/>
      <c r="AH68" s="25" t="n"/>
      <c r="AI68" s="50" t="n"/>
      <c r="AJ68" s="32">
        <f>IFERROR(IF(A68="","",IF(H68&lt;=G68,"Departure must be after arrival",IF(OR(J68="",J68&lt;1),"Rooms must be at least 1",IF(D68="","Guest name missing",IF(COUNTIF($A$2:$A$251,A68)&gt;1,"Duplicate reservation ID",IF(AND(P68="Confirmed",G68&gt;=TODAY(),G68&lt;=TODAY()+'Setup &amp; Lists'!$B$12,Q68=""),"Assign room for near-term arrival",IF(AND(G68&lt;TODAY(),P68="Confirmed"),"Past-due confirmed arrival",IF(AND(G68&gt;TODAY(),P68="Confirmed",AC68&lt;AB68),"Deposit shortfall",IF(AND(H68&lt;TODAY(),AD68&gt;0,P68&lt;&gt;"Cancelled"),"Balance remains after departure",IF(R68&lt;0,"Nightly rate is negative",IF(AC68&gt;Z68,"Deposit paid exceeds total value",""))))))))))),"")</f>
        <v/>
      </c>
    </row>
    <row r="69">
      <c r="A69" s="25" t="n"/>
      <c r="B69" s="25" t="n"/>
      <c r="C69" s="50" t="n"/>
      <c r="D69" s="25" t="n"/>
      <c r="E69" s="25" t="n"/>
      <c r="F69" s="25" t="n"/>
      <c r="G69" s="50" t="n"/>
      <c r="H69" s="50" t="n"/>
      <c r="I69" s="27">
        <f>IFERROR(IF(A69="","",MAX(0,H69-G69)),"")</f>
        <v/>
      </c>
      <c r="J69" s="28" t="n"/>
      <c r="K69" s="28" t="n"/>
      <c r="L69" s="28" t="n"/>
      <c r="M69" s="25" t="n"/>
      <c r="N69" s="25" t="n"/>
      <c r="O69" s="25" t="n"/>
      <c r="P69" s="25" t="n"/>
      <c r="Q69" s="25" t="n"/>
      <c r="R69" s="51" t="n"/>
      <c r="S69" s="52" t="n"/>
      <c r="T69" s="51" t="n"/>
      <c r="U69" s="52" t="n"/>
      <c r="V69" s="52" t="n"/>
      <c r="W69" s="53">
        <f>IFERROR(IF(A69="","",ROUND(I69*J69*R69*(1-S69),2)),"")</f>
        <v/>
      </c>
      <c r="X69" s="53">
        <f>IFERROR(IF(A69="","",ROUND(W69*IF(V69="",'Setup &amp; Lists'!$B$7,V69),2)),"")</f>
        <v/>
      </c>
      <c r="Y69" s="53">
        <f>IFERROR(IF(A69="","",ROUND((W69+IF('Setup &amp; Lists'!$B$8="Yes",T69,0)+IF('Setup &amp; Lists'!$B$9="Yes",X69,0))*IF(U69="",'Setup &amp; Lists'!$B$6,U69),2)),"")</f>
        <v/>
      </c>
      <c r="Z69" s="53">
        <f>IFERROR(IF(A69="","",ROUND(W69+T69+X69+Y69,2)),"")</f>
        <v/>
      </c>
      <c r="AA69" s="51" t="n"/>
      <c r="AB69" s="53">
        <f>IFERROR(IF(A69="","",ROUND(IF(AA69&lt;&gt;"",AA69,Z69*'Setup &amp; Lists'!$B$10),2)),"")</f>
        <v/>
      </c>
      <c r="AC69" s="51" t="n"/>
      <c r="AD69" s="53">
        <f>IFERROR(IF(A69="","",MAX(0,ROUND(Z69-AC69,2))),"")</f>
        <v/>
      </c>
      <c r="AE69" s="32">
        <f>IFERROR(IF(A69="","",IF(AD69=0,"Paid",IF(AC69&gt;=AB69,"Deposit Met",IF(AC69&gt;0,"Partial Payment","Unpaid")))),"")</f>
        <v/>
      </c>
      <c r="AF69" s="54">
        <f>IFERROR(IF(OR(A69="",G69=""),"",G69-('Setup &amp; Lists'!$B$11/24)),"")</f>
        <v/>
      </c>
      <c r="AG69" s="25" t="n"/>
      <c r="AH69" s="25" t="n"/>
      <c r="AI69" s="50" t="n"/>
      <c r="AJ69" s="32">
        <f>IFERROR(IF(A69="","",IF(H69&lt;=G69,"Departure must be after arrival",IF(OR(J69="",J69&lt;1),"Rooms must be at least 1",IF(D69="","Guest name missing",IF(COUNTIF($A$2:$A$251,A69)&gt;1,"Duplicate reservation ID",IF(AND(P69="Confirmed",G69&gt;=TODAY(),G69&lt;=TODAY()+'Setup &amp; Lists'!$B$12,Q69=""),"Assign room for near-term arrival",IF(AND(G69&lt;TODAY(),P69="Confirmed"),"Past-due confirmed arrival",IF(AND(G69&gt;TODAY(),P69="Confirmed",AC69&lt;AB69),"Deposit shortfall",IF(AND(H69&lt;TODAY(),AD69&gt;0,P69&lt;&gt;"Cancelled"),"Balance remains after departure",IF(R69&lt;0,"Nightly rate is negative",IF(AC69&gt;Z69,"Deposit paid exceeds total value",""))))))))))),"")</f>
        <v/>
      </c>
    </row>
    <row r="70">
      <c r="A70" s="25" t="n"/>
      <c r="B70" s="25" t="n"/>
      <c r="C70" s="50" t="n"/>
      <c r="D70" s="25" t="n"/>
      <c r="E70" s="25" t="n"/>
      <c r="F70" s="25" t="n"/>
      <c r="G70" s="50" t="n"/>
      <c r="H70" s="50" t="n"/>
      <c r="I70" s="27">
        <f>IFERROR(IF(A70="","",MAX(0,H70-G70)),"")</f>
        <v/>
      </c>
      <c r="J70" s="28" t="n"/>
      <c r="K70" s="28" t="n"/>
      <c r="L70" s="28" t="n"/>
      <c r="M70" s="25" t="n"/>
      <c r="N70" s="25" t="n"/>
      <c r="O70" s="25" t="n"/>
      <c r="P70" s="25" t="n"/>
      <c r="Q70" s="25" t="n"/>
      <c r="R70" s="51" t="n"/>
      <c r="S70" s="52" t="n"/>
      <c r="T70" s="51" t="n"/>
      <c r="U70" s="52" t="n"/>
      <c r="V70" s="52" t="n"/>
      <c r="W70" s="53">
        <f>IFERROR(IF(A70="","",ROUND(I70*J70*R70*(1-S70),2)),"")</f>
        <v/>
      </c>
      <c r="X70" s="53">
        <f>IFERROR(IF(A70="","",ROUND(W70*IF(V70="",'Setup &amp; Lists'!$B$7,V70),2)),"")</f>
        <v/>
      </c>
      <c r="Y70" s="53">
        <f>IFERROR(IF(A70="","",ROUND((W70+IF('Setup &amp; Lists'!$B$8="Yes",T70,0)+IF('Setup &amp; Lists'!$B$9="Yes",X70,0))*IF(U70="",'Setup &amp; Lists'!$B$6,U70),2)),"")</f>
        <v/>
      </c>
      <c r="Z70" s="53">
        <f>IFERROR(IF(A70="","",ROUND(W70+T70+X70+Y70,2)),"")</f>
        <v/>
      </c>
      <c r="AA70" s="51" t="n"/>
      <c r="AB70" s="53">
        <f>IFERROR(IF(A70="","",ROUND(IF(AA70&lt;&gt;"",AA70,Z70*'Setup &amp; Lists'!$B$10),2)),"")</f>
        <v/>
      </c>
      <c r="AC70" s="51" t="n"/>
      <c r="AD70" s="53">
        <f>IFERROR(IF(A70="","",MAX(0,ROUND(Z70-AC70,2))),"")</f>
        <v/>
      </c>
      <c r="AE70" s="32">
        <f>IFERROR(IF(A70="","",IF(AD70=0,"Paid",IF(AC70&gt;=AB70,"Deposit Met",IF(AC70&gt;0,"Partial Payment","Unpaid")))),"")</f>
        <v/>
      </c>
      <c r="AF70" s="54">
        <f>IFERROR(IF(OR(A70="",G70=""),"",G70-('Setup &amp; Lists'!$B$11/24)),"")</f>
        <v/>
      </c>
      <c r="AG70" s="25" t="n"/>
      <c r="AH70" s="25" t="n"/>
      <c r="AI70" s="50" t="n"/>
      <c r="AJ70" s="32">
        <f>IFERROR(IF(A70="","",IF(H70&lt;=G70,"Departure must be after arrival",IF(OR(J70="",J70&lt;1),"Rooms must be at least 1",IF(D70="","Guest name missing",IF(COUNTIF($A$2:$A$251,A70)&gt;1,"Duplicate reservation ID",IF(AND(P70="Confirmed",G70&gt;=TODAY(),G70&lt;=TODAY()+'Setup &amp; Lists'!$B$12,Q70=""),"Assign room for near-term arrival",IF(AND(G70&lt;TODAY(),P70="Confirmed"),"Past-due confirmed arrival",IF(AND(G70&gt;TODAY(),P70="Confirmed",AC70&lt;AB70),"Deposit shortfall",IF(AND(H70&lt;TODAY(),AD70&gt;0,P70&lt;&gt;"Cancelled"),"Balance remains after departure",IF(R70&lt;0,"Nightly rate is negative",IF(AC70&gt;Z70,"Deposit paid exceeds total value",""))))))))))),"")</f>
        <v/>
      </c>
    </row>
    <row r="71">
      <c r="A71" s="25" t="n"/>
      <c r="B71" s="25" t="n"/>
      <c r="C71" s="50" t="n"/>
      <c r="D71" s="25" t="n"/>
      <c r="E71" s="25" t="n"/>
      <c r="F71" s="25" t="n"/>
      <c r="G71" s="50" t="n"/>
      <c r="H71" s="50" t="n"/>
      <c r="I71" s="27">
        <f>IFERROR(IF(A71="","",MAX(0,H71-G71)),"")</f>
        <v/>
      </c>
      <c r="J71" s="28" t="n"/>
      <c r="K71" s="28" t="n"/>
      <c r="L71" s="28" t="n"/>
      <c r="M71" s="25" t="n"/>
      <c r="N71" s="25" t="n"/>
      <c r="O71" s="25" t="n"/>
      <c r="P71" s="25" t="n"/>
      <c r="Q71" s="25" t="n"/>
      <c r="R71" s="51" t="n"/>
      <c r="S71" s="52" t="n"/>
      <c r="T71" s="51" t="n"/>
      <c r="U71" s="52" t="n"/>
      <c r="V71" s="52" t="n"/>
      <c r="W71" s="53">
        <f>IFERROR(IF(A71="","",ROUND(I71*J71*R71*(1-S71),2)),"")</f>
        <v/>
      </c>
      <c r="X71" s="53">
        <f>IFERROR(IF(A71="","",ROUND(W71*IF(V71="",'Setup &amp; Lists'!$B$7,V71),2)),"")</f>
        <v/>
      </c>
      <c r="Y71" s="53">
        <f>IFERROR(IF(A71="","",ROUND((W71+IF('Setup &amp; Lists'!$B$8="Yes",T71,0)+IF('Setup &amp; Lists'!$B$9="Yes",X71,0))*IF(U71="",'Setup &amp; Lists'!$B$6,U71),2)),"")</f>
        <v/>
      </c>
      <c r="Z71" s="53">
        <f>IFERROR(IF(A71="","",ROUND(W71+T71+X71+Y71,2)),"")</f>
        <v/>
      </c>
      <c r="AA71" s="51" t="n"/>
      <c r="AB71" s="53">
        <f>IFERROR(IF(A71="","",ROUND(IF(AA71&lt;&gt;"",AA71,Z71*'Setup &amp; Lists'!$B$10),2)),"")</f>
        <v/>
      </c>
      <c r="AC71" s="51" t="n"/>
      <c r="AD71" s="53">
        <f>IFERROR(IF(A71="","",MAX(0,ROUND(Z71-AC71,2))),"")</f>
        <v/>
      </c>
      <c r="AE71" s="32">
        <f>IFERROR(IF(A71="","",IF(AD71=0,"Paid",IF(AC71&gt;=AB71,"Deposit Met",IF(AC71&gt;0,"Partial Payment","Unpaid")))),"")</f>
        <v/>
      </c>
      <c r="AF71" s="54">
        <f>IFERROR(IF(OR(A71="",G71=""),"",G71-('Setup &amp; Lists'!$B$11/24)),"")</f>
        <v/>
      </c>
      <c r="AG71" s="25" t="n"/>
      <c r="AH71" s="25" t="n"/>
      <c r="AI71" s="50" t="n"/>
      <c r="AJ71" s="32">
        <f>IFERROR(IF(A71="","",IF(H71&lt;=G71,"Departure must be after arrival",IF(OR(J71="",J71&lt;1),"Rooms must be at least 1",IF(D71="","Guest name missing",IF(COUNTIF($A$2:$A$251,A71)&gt;1,"Duplicate reservation ID",IF(AND(P71="Confirmed",G71&gt;=TODAY(),G71&lt;=TODAY()+'Setup &amp; Lists'!$B$12,Q71=""),"Assign room for near-term arrival",IF(AND(G71&lt;TODAY(),P71="Confirmed"),"Past-due confirmed arrival",IF(AND(G71&gt;TODAY(),P71="Confirmed",AC71&lt;AB71),"Deposit shortfall",IF(AND(H71&lt;TODAY(),AD71&gt;0,P71&lt;&gt;"Cancelled"),"Balance remains after departure",IF(R71&lt;0,"Nightly rate is negative",IF(AC71&gt;Z71,"Deposit paid exceeds total value",""))))))))))),"")</f>
        <v/>
      </c>
    </row>
    <row r="72">
      <c r="A72" s="25" t="n"/>
      <c r="B72" s="25" t="n"/>
      <c r="C72" s="50" t="n"/>
      <c r="D72" s="25" t="n"/>
      <c r="E72" s="25" t="n"/>
      <c r="F72" s="25" t="n"/>
      <c r="G72" s="50" t="n"/>
      <c r="H72" s="50" t="n"/>
      <c r="I72" s="27">
        <f>IFERROR(IF(A72="","",MAX(0,H72-G72)),"")</f>
        <v/>
      </c>
      <c r="J72" s="28" t="n"/>
      <c r="K72" s="28" t="n"/>
      <c r="L72" s="28" t="n"/>
      <c r="M72" s="25" t="n"/>
      <c r="N72" s="25" t="n"/>
      <c r="O72" s="25" t="n"/>
      <c r="P72" s="25" t="n"/>
      <c r="Q72" s="25" t="n"/>
      <c r="R72" s="51" t="n"/>
      <c r="S72" s="52" t="n"/>
      <c r="T72" s="51" t="n"/>
      <c r="U72" s="52" t="n"/>
      <c r="V72" s="52" t="n"/>
      <c r="W72" s="53">
        <f>IFERROR(IF(A72="","",ROUND(I72*J72*R72*(1-S72),2)),"")</f>
        <v/>
      </c>
      <c r="X72" s="53">
        <f>IFERROR(IF(A72="","",ROUND(W72*IF(V72="",'Setup &amp; Lists'!$B$7,V72),2)),"")</f>
        <v/>
      </c>
      <c r="Y72" s="53">
        <f>IFERROR(IF(A72="","",ROUND((W72+IF('Setup &amp; Lists'!$B$8="Yes",T72,0)+IF('Setup &amp; Lists'!$B$9="Yes",X72,0))*IF(U72="",'Setup &amp; Lists'!$B$6,U72),2)),"")</f>
        <v/>
      </c>
      <c r="Z72" s="53">
        <f>IFERROR(IF(A72="","",ROUND(W72+T72+X72+Y72,2)),"")</f>
        <v/>
      </c>
      <c r="AA72" s="51" t="n"/>
      <c r="AB72" s="53">
        <f>IFERROR(IF(A72="","",ROUND(IF(AA72&lt;&gt;"",AA72,Z72*'Setup &amp; Lists'!$B$10),2)),"")</f>
        <v/>
      </c>
      <c r="AC72" s="51" t="n"/>
      <c r="AD72" s="53">
        <f>IFERROR(IF(A72="","",MAX(0,ROUND(Z72-AC72,2))),"")</f>
        <v/>
      </c>
      <c r="AE72" s="32">
        <f>IFERROR(IF(A72="","",IF(AD72=0,"Paid",IF(AC72&gt;=AB72,"Deposit Met",IF(AC72&gt;0,"Partial Payment","Unpaid")))),"")</f>
        <v/>
      </c>
      <c r="AF72" s="54">
        <f>IFERROR(IF(OR(A72="",G72=""),"",G72-('Setup &amp; Lists'!$B$11/24)),"")</f>
        <v/>
      </c>
      <c r="AG72" s="25" t="n"/>
      <c r="AH72" s="25" t="n"/>
      <c r="AI72" s="50" t="n"/>
      <c r="AJ72" s="32">
        <f>IFERROR(IF(A72="","",IF(H72&lt;=G72,"Departure must be after arrival",IF(OR(J72="",J72&lt;1),"Rooms must be at least 1",IF(D72="","Guest name missing",IF(COUNTIF($A$2:$A$251,A72)&gt;1,"Duplicate reservation ID",IF(AND(P72="Confirmed",G72&gt;=TODAY(),G72&lt;=TODAY()+'Setup &amp; Lists'!$B$12,Q72=""),"Assign room for near-term arrival",IF(AND(G72&lt;TODAY(),P72="Confirmed"),"Past-due confirmed arrival",IF(AND(G72&gt;TODAY(),P72="Confirmed",AC72&lt;AB72),"Deposit shortfall",IF(AND(H72&lt;TODAY(),AD72&gt;0,P72&lt;&gt;"Cancelled"),"Balance remains after departure",IF(R72&lt;0,"Nightly rate is negative",IF(AC72&gt;Z72,"Deposit paid exceeds total value",""))))))))))),"")</f>
        <v/>
      </c>
    </row>
    <row r="73">
      <c r="A73" s="25" t="n"/>
      <c r="B73" s="25" t="n"/>
      <c r="C73" s="50" t="n"/>
      <c r="D73" s="25" t="n"/>
      <c r="E73" s="25" t="n"/>
      <c r="F73" s="25" t="n"/>
      <c r="G73" s="50" t="n"/>
      <c r="H73" s="50" t="n"/>
      <c r="I73" s="27">
        <f>IFERROR(IF(A73="","",MAX(0,H73-G73)),"")</f>
        <v/>
      </c>
      <c r="J73" s="28" t="n"/>
      <c r="K73" s="28" t="n"/>
      <c r="L73" s="28" t="n"/>
      <c r="M73" s="25" t="n"/>
      <c r="N73" s="25" t="n"/>
      <c r="O73" s="25" t="n"/>
      <c r="P73" s="25" t="n"/>
      <c r="Q73" s="25" t="n"/>
      <c r="R73" s="51" t="n"/>
      <c r="S73" s="52" t="n"/>
      <c r="T73" s="51" t="n"/>
      <c r="U73" s="52" t="n"/>
      <c r="V73" s="52" t="n"/>
      <c r="W73" s="53">
        <f>IFERROR(IF(A73="","",ROUND(I73*J73*R73*(1-S73),2)),"")</f>
        <v/>
      </c>
      <c r="X73" s="53">
        <f>IFERROR(IF(A73="","",ROUND(W73*IF(V73="",'Setup &amp; Lists'!$B$7,V73),2)),"")</f>
        <v/>
      </c>
      <c r="Y73" s="53">
        <f>IFERROR(IF(A73="","",ROUND((W73+IF('Setup &amp; Lists'!$B$8="Yes",T73,0)+IF('Setup &amp; Lists'!$B$9="Yes",X73,0))*IF(U73="",'Setup &amp; Lists'!$B$6,U73),2)),"")</f>
        <v/>
      </c>
      <c r="Z73" s="53">
        <f>IFERROR(IF(A73="","",ROUND(W73+T73+X73+Y73,2)),"")</f>
        <v/>
      </c>
      <c r="AA73" s="51" t="n"/>
      <c r="AB73" s="53">
        <f>IFERROR(IF(A73="","",ROUND(IF(AA73&lt;&gt;"",AA73,Z73*'Setup &amp; Lists'!$B$10),2)),"")</f>
        <v/>
      </c>
      <c r="AC73" s="51" t="n"/>
      <c r="AD73" s="53">
        <f>IFERROR(IF(A73="","",MAX(0,ROUND(Z73-AC73,2))),"")</f>
        <v/>
      </c>
      <c r="AE73" s="32">
        <f>IFERROR(IF(A73="","",IF(AD73=0,"Paid",IF(AC73&gt;=AB73,"Deposit Met",IF(AC73&gt;0,"Partial Payment","Unpaid")))),"")</f>
        <v/>
      </c>
      <c r="AF73" s="54">
        <f>IFERROR(IF(OR(A73="",G73=""),"",G73-('Setup &amp; Lists'!$B$11/24)),"")</f>
        <v/>
      </c>
      <c r="AG73" s="25" t="n"/>
      <c r="AH73" s="25" t="n"/>
      <c r="AI73" s="50" t="n"/>
      <c r="AJ73" s="32">
        <f>IFERROR(IF(A73="","",IF(H73&lt;=G73,"Departure must be after arrival",IF(OR(J73="",J73&lt;1),"Rooms must be at least 1",IF(D73="","Guest name missing",IF(COUNTIF($A$2:$A$251,A73)&gt;1,"Duplicate reservation ID",IF(AND(P73="Confirmed",G73&gt;=TODAY(),G73&lt;=TODAY()+'Setup &amp; Lists'!$B$12,Q73=""),"Assign room for near-term arrival",IF(AND(G73&lt;TODAY(),P73="Confirmed"),"Past-due confirmed arrival",IF(AND(G73&gt;TODAY(),P73="Confirmed",AC73&lt;AB73),"Deposit shortfall",IF(AND(H73&lt;TODAY(),AD73&gt;0,P73&lt;&gt;"Cancelled"),"Balance remains after departure",IF(R73&lt;0,"Nightly rate is negative",IF(AC73&gt;Z73,"Deposit paid exceeds total value",""))))))))))),"")</f>
        <v/>
      </c>
    </row>
    <row r="74">
      <c r="A74" s="25" t="n"/>
      <c r="B74" s="25" t="n"/>
      <c r="C74" s="50" t="n"/>
      <c r="D74" s="25" t="n"/>
      <c r="E74" s="25" t="n"/>
      <c r="F74" s="25" t="n"/>
      <c r="G74" s="50" t="n"/>
      <c r="H74" s="50" t="n"/>
      <c r="I74" s="27">
        <f>IFERROR(IF(A74="","",MAX(0,H74-G74)),"")</f>
        <v/>
      </c>
      <c r="J74" s="28" t="n"/>
      <c r="K74" s="28" t="n"/>
      <c r="L74" s="28" t="n"/>
      <c r="M74" s="25" t="n"/>
      <c r="N74" s="25" t="n"/>
      <c r="O74" s="25" t="n"/>
      <c r="P74" s="25" t="n"/>
      <c r="Q74" s="25" t="n"/>
      <c r="R74" s="51" t="n"/>
      <c r="S74" s="52" t="n"/>
      <c r="T74" s="51" t="n"/>
      <c r="U74" s="52" t="n"/>
      <c r="V74" s="52" t="n"/>
      <c r="W74" s="53">
        <f>IFERROR(IF(A74="","",ROUND(I74*J74*R74*(1-S74),2)),"")</f>
        <v/>
      </c>
      <c r="X74" s="53">
        <f>IFERROR(IF(A74="","",ROUND(W74*IF(V74="",'Setup &amp; Lists'!$B$7,V74),2)),"")</f>
        <v/>
      </c>
      <c r="Y74" s="53">
        <f>IFERROR(IF(A74="","",ROUND((W74+IF('Setup &amp; Lists'!$B$8="Yes",T74,0)+IF('Setup &amp; Lists'!$B$9="Yes",X74,0))*IF(U74="",'Setup &amp; Lists'!$B$6,U74),2)),"")</f>
        <v/>
      </c>
      <c r="Z74" s="53">
        <f>IFERROR(IF(A74="","",ROUND(W74+T74+X74+Y74,2)),"")</f>
        <v/>
      </c>
      <c r="AA74" s="51" t="n"/>
      <c r="AB74" s="53">
        <f>IFERROR(IF(A74="","",ROUND(IF(AA74&lt;&gt;"",AA74,Z74*'Setup &amp; Lists'!$B$10),2)),"")</f>
        <v/>
      </c>
      <c r="AC74" s="51" t="n"/>
      <c r="AD74" s="53">
        <f>IFERROR(IF(A74="","",MAX(0,ROUND(Z74-AC74,2))),"")</f>
        <v/>
      </c>
      <c r="AE74" s="32">
        <f>IFERROR(IF(A74="","",IF(AD74=0,"Paid",IF(AC74&gt;=AB74,"Deposit Met",IF(AC74&gt;0,"Partial Payment","Unpaid")))),"")</f>
        <v/>
      </c>
      <c r="AF74" s="54">
        <f>IFERROR(IF(OR(A74="",G74=""),"",G74-('Setup &amp; Lists'!$B$11/24)),"")</f>
        <v/>
      </c>
      <c r="AG74" s="25" t="n"/>
      <c r="AH74" s="25" t="n"/>
      <c r="AI74" s="50" t="n"/>
      <c r="AJ74" s="32">
        <f>IFERROR(IF(A74="","",IF(H74&lt;=G74,"Departure must be after arrival",IF(OR(J74="",J74&lt;1),"Rooms must be at least 1",IF(D74="","Guest name missing",IF(COUNTIF($A$2:$A$251,A74)&gt;1,"Duplicate reservation ID",IF(AND(P74="Confirmed",G74&gt;=TODAY(),G74&lt;=TODAY()+'Setup &amp; Lists'!$B$12,Q74=""),"Assign room for near-term arrival",IF(AND(G74&lt;TODAY(),P74="Confirmed"),"Past-due confirmed arrival",IF(AND(G74&gt;TODAY(),P74="Confirmed",AC74&lt;AB74),"Deposit shortfall",IF(AND(H74&lt;TODAY(),AD74&gt;0,P74&lt;&gt;"Cancelled"),"Balance remains after departure",IF(R74&lt;0,"Nightly rate is negative",IF(AC74&gt;Z74,"Deposit paid exceeds total value",""))))))))))),"")</f>
        <v/>
      </c>
    </row>
    <row r="75">
      <c r="A75" s="25" t="n"/>
      <c r="B75" s="25" t="n"/>
      <c r="C75" s="50" t="n"/>
      <c r="D75" s="25" t="n"/>
      <c r="E75" s="25" t="n"/>
      <c r="F75" s="25" t="n"/>
      <c r="G75" s="50" t="n"/>
      <c r="H75" s="50" t="n"/>
      <c r="I75" s="27">
        <f>IFERROR(IF(A75="","",MAX(0,H75-G75)),"")</f>
        <v/>
      </c>
      <c r="J75" s="28" t="n"/>
      <c r="K75" s="28" t="n"/>
      <c r="L75" s="28" t="n"/>
      <c r="M75" s="25" t="n"/>
      <c r="N75" s="25" t="n"/>
      <c r="O75" s="25" t="n"/>
      <c r="P75" s="25" t="n"/>
      <c r="Q75" s="25" t="n"/>
      <c r="R75" s="51" t="n"/>
      <c r="S75" s="52" t="n"/>
      <c r="T75" s="51" t="n"/>
      <c r="U75" s="52" t="n"/>
      <c r="V75" s="52" t="n"/>
      <c r="W75" s="53">
        <f>IFERROR(IF(A75="","",ROUND(I75*J75*R75*(1-S75),2)),"")</f>
        <v/>
      </c>
      <c r="X75" s="53">
        <f>IFERROR(IF(A75="","",ROUND(W75*IF(V75="",'Setup &amp; Lists'!$B$7,V75),2)),"")</f>
        <v/>
      </c>
      <c r="Y75" s="53">
        <f>IFERROR(IF(A75="","",ROUND((W75+IF('Setup &amp; Lists'!$B$8="Yes",T75,0)+IF('Setup &amp; Lists'!$B$9="Yes",X75,0))*IF(U75="",'Setup &amp; Lists'!$B$6,U75),2)),"")</f>
        <v/>
      </c>
      <c r="Z75" s="53">
        <f>IFERROR(IF(A75="","",ROUND(W75+T75+X75+Y75,2)),"")</f>
        <v/>
      </c>
      <c r="AA75" s="51" t="n"/>
      <c r="AB75" s="53">
        <f>IFERROR(IF(A75="","",ROUND(IF(AA75&lt;&gt;"",AA75,Z75*'Setup &amp; Lists'!$B$10),2)),"")</f>
        <v/>
      </c>
      <c r="AC75" s="51" t="n"/>
      <c r="AD75" s="53">
        <f>IFERROR(IF(A75="","",MAX(0,ROUND(Z75-AC75,2))),"")</f>
        <v/>
      </c>
      <c r="AE75" s="32">
        <f>IFERROR(IF(A75="","",IF(AD75=0,"Paid",IF(AC75&gt;=AB75,"Deposit Met",IF(AC75&gt;0,"Partial Payment","Unpaid")))),"")</f>
        <v/>
      </c>
      <c r="AF75" s="54">
        <f>IFERROR(IF(OR(A75="",G75=""),"",G75-('Setup &amp; Lists'!$B$11/24)),"")</f>
        <v/>
      </c>
      <c r="AG75" s="25" t="n"/>
      <c r="AH75" s="25" t="n"/>
      <c r="AI75" s="50" t="n"/>
      <c r="AJ75" s="32">
        <f>IFERROR(IF(A75="","",IF(H75&lt;=G75,"Departure must be after arrival",IF(OR(J75="",J75&lt;1),"Rooms must be at least 1",IF(D75="","Guest name missing",IF(COUNTIF($A$2:$A$251,A75)&gt;1,"Duplicate reservation ID",IF(AND(P75="Confirmed",G75&gt;=TODAY(),G75&lt;=TODAY()+'Setup &amp; Lists'!$B$12,Q75=""),"Assign room for near-term arrival",IF(AND(G75&lt;TODAY(),P75="Confirmed"),"Past-due confirmed arrival",IF(AND(G75&gt;TODAY(),P75="Confirmed",AC75&lt;AB75),"Deposit shortfall",IF(AND(H75&lt;TODAY(),AD75&gt;0,P75&lt;&gt;"Cancelled"),"Balance remains after departure",IF(R75&lt;0,"Nightly rate is negative",IF(AC75&gt;Z75,"Deposit paid exceeds total value",""))))))))))),"")</f>
        <v/>
      </c>
    </row>
    <row r="76">
      <c r="A76" s="25" t="n"/>
      <c r="B76" s="25" t="n"/>
      <c r="C76" s="50" t="n"/>
      <c r="D76" s="25" t="n"/>
      <c r="E76" s="25" t="n"/>
      <c r="F76" s="25" t="n"/>
      <c r="G76" s="50" t="n"/>
      <c r="H76" s="50" t="n"/>
      <c r="I76" s="27">
        <f>IFERROR(IF(A76="","",MAX(0,H76-G76)),"")</f>
        <v/>
      </c>
      <c r="J76" s="28" t="n"/>
      <c r="K76" s="28" t="n"/>
      <c r="L76" s="28" t="n"/>
      <c r="M76" s="25" t="n"/>
      <c r="N76" s="25" t="n"/>
      <c r="O76" s="25" t="n"/>
      <c r="P76" s="25" t="n"/>
      <c r="Q76" s="25" t="n"/>
      <c r="R76" s="51" t="n"/>
      <c r="S76" s="52" t="n"/>
      <c r="T76" s="51" t="n"/>
      <c r="U76" s="52" t="n"/>
      <c r="V76" s="52" t="n"/>
      <c r="W76" s="53">
        <f>IFERROR(IF(A76="","",ROUND(I76*J76*R76*(1-S76),2)),"")</f>
        <v/>
      </c>
      <c r="X76" s="53">
        <f>IFERROR(IF(A76="","",ROUND(W76*IF(V76="",'Setup &amp; Lists'!$B$7,V76),2)),"")</f>
        <v/>
      </c>
      <c r="Y76" s="53">
        <f>IFERROR(IF(A76="","",ROUND((W76+IF('Setup &amp; Lists'!$B$8="Yes",T76,0)+IF('Setup &amp; Lists'!$B$9="Yes",X76,0))*IF(U76="",'Setup &amp; Lists'!$B$6,U76),2)),"")</f>
        <v/>
      </c>
      <c r="Z76" s="53">
        <f>IFERROR(IF(A76="","",ROUND(W76+T76+X76+Y76,2)),"")</f>
        <v/>
      </c>
      <c r="AA76" s="51" t="n"/>
      <c r="AB76" s="53">
        <f>IFERROR(IF(A76="","",ROUND(IF(AA76&lt;&gt;"",AA76,Z76*'Setup &amp; Lists'!$B$10),2)),"")</f>
        <v/>
      </c>
      <c r="AC76" s="51" t="n"/>
      <c r="AD76" s="53">
        <f>IFERROR(IF(A76="","",MAX(0,ROUND(Z76-AC76,2))),"")</f>
        <v/>
      </c>
      <c r="AE76" s="32">
        <f>IFERROR(IF(A76="","",IF(AD76=0,"Paid",IF(AC76&gt;=AB76,"Deposit Met",IF(AC76&gt;0,"Partial Payment","Unpaid")))),"")</f>
        <v/>
      </c>
      <c r="AF76" s="54">
        <f>IFERROR(IF(OR(A76="",G76=""),"",G76-('Setup &amp; Lists'!$B$11/24)),"")</f>
        <v/>
      </c>
      <c r="AG76" s="25" t="n"/>
      <c r="AH76" s="25" t="n"/>
      <c r="AI76" s="50" t="n"/>
      <c r="AJ76" s="32">
        <f>IFERROR(IF(A76="","",IF(H76&lt;=G76,"Departure must be after arrival",IF(OR(J76="",J76&lt;1),"Rooms must be at least 1",IF(D76="","Guest name missing",IF(COUNTIF($A$2:$A$251,A76)&gt;1,"Duplicate reservation ID",IF(AND(P76="Confirmed",G76&gt;=TODAY(),G76&lt;=TODAY()+'Setup &amp; Lists'!$B$12,Q76=""),"Assign room for near-term arrival",IF(AND(G76&lt;TODAY(),P76="Confirmed"),"Past-due confirmed arrival",IF(AND(G76&gt;TODAY(),P76="Confirmed",AC76&lt;AB76),"Deposit shortfall",IF(AND(H76&lt;TODAY(),AD76&gt;0,P76&lt;&gt;"Cancelled"),"Balance remains after departure",IF(R76&lt;0,"Nightly rate is negative",IF(AC76&gt;Z76,"Deposit paid exceeds total value",""))))))))))),"")</f>
        <v/>
      </c>
    </row>
    <row r="77">
      <c r="A77" s="25" t="n"/>
      <c r="B77" s="25" t="n"/>
      <c r="C77" s="50" t="n"/>
      <c r="D77" s="25" t="n"/>
      <c r="E77" s="25" t="n"/>
      <c r="F77" s="25" t="n"/>
      <c r="G77" s="50" t="n"/>
      <c r="H77" s="50" t="n"/>
      <c r="I77" s="27">
        <f>IFERROR(IF(A77="","",MAX(0,H77-G77)),"")</f>
        <v/>
      </c>
      <c r="J77" s="28" t="n"/>
      <c r="K77" s="28" t="n"/>
      <c r="L77" s="28" t="n"/>
      <c r="M77" s="25" t="n"/>
      <c r="N77" s="25" t="n"/>
      <c r="O77" s="25" t="n"/>
      <c r="P77" s="25" t="n"/>
      <c r="Q77" s="25" t="n"/>
      <c r="R77" s="51" t="n"/>
      <c r="S77" s="52" t="n"/>
      <c r="T77" s="51" t="n"/>
      <c r="U77" s="52" t="n"/>
      <c r="V77" s="52" t="n"/>
      <c r="W77" s="53">
        <f>IFERROR(IF(A77="","",ROUND(I77*J77*R77*(1-S77),2)),"")</f>
        <v/>
      </c>
      <c r="X77" s="53">
        <f>IFERROR(IF(A77="","",ROUND(W77*IF(V77="",'Setup &amp; Lists'!$B$7,V77),2)),"")</f>
        <v/>
      </c>
      <c r="Y77" s="53">
        <f>IFERROR(IF(A77="","",ROUND((W77+IF('Setup &amp; Lists'!$B$8="Yes",T77,0)+IF('Setup &amp; Lists'!$B$9="Yes",X77,0))*IF(U77="",'Setup &amp; Lists'!$B$6,U77),2)),"")</f>
        <v/>
      </c>
      <c r="Z77" s="53">
        <f>IFERROR(IF(A77="","",ROUND(W77+T77+X77+Y77,2)),"")</f>
        <v/>
      </c>
      <c r="AA77" s="51" t="n"/>
      <c r="AB77" s="53">
        <f>IFERROR(IF(A77="","",ROUND(IF(AA77&lt;&gt;"",AA77,Z77*'Setup &amp; Lists'!$B$10),2)),"")</f>
        <v/>
      </c>
      <c r="AC77" s="51" t="n"/>
      <c r="AD77" s="53">
        <f>IFERROR(IF(A77="","",MAX(0,ROUND(Z77-AC77,2))),"")</f>
        <v/>
      </c>
      <c r="AE77" s="32">
        <f>IFERROR(IF(A77="","",IF(AD77=0,"Paid",IF(AC77&gt;=AB77,"Deposit Met",IF(AC77&gt;0,"Partial Payment","Unpaid")))),"")</f>
        <v/>
      </c>
      <c r="AF77" s="54">
        <f>IFERROR(IF(OR(A77="",G77=""),"",G77-('Setup &amp; Lists'!$B$11/24)),"")</f>
        <v/>
      </c>
      <c r="AG77" s="25" t="n"/>
      <c r="AH77" s="25" t="n"/>
      <c r="AI77" s="50" t="n"/>
      <c r="AJ77" s="32">
        <f>IFERROR(IF(A77="","",IF(H77&lt;=G77,"Departure must be after arrival",IF(OR(J77="",J77&lt;1),"Rooms must be at least 1",IF(D77="","Guest name missing",IF(COUNTIF($A$2:$A$251,A77)&gt;1,"Duplicate reservation ID",IF(AND(P77="Confirmed",G77&gt;=TODAY(),G77&lt;=TODAY()+'Setup &amp; Lists'!$B$12,Q77=""),"Assign room for near-term arrival",IF(AND(G77&lt;TODAY(),P77="Confirmed"),"Past-due confirmed arrival",IF(AND(G77&gt;TODAY(),P77="Confirmed",AC77&lt;AB77),"Deposit shortfall",IF(AND(H77&lt;TODAY(),AD77&gt;0,P77&lt;&gt;"Cancelled"),"Balance remains after departure",IF(R77&lt;0,"Nightly rate is negative",IF(AC77&gt;Z77,"Deposit paid exceeds total value",""))))))))))),"")</f>
        <v/>
      </c>
    </row>
    <row r="78">
      <c r="A78" s="25" t="n"/>
      <c r="B78" s="25" t="n"/>
      <c r="C78" s="50" t="n"/>
      <c r="D78" s="25" t="n"/>
      <c r="E78" s="25" t="n"/>
      <c r="F78" s="25" t="n"/>
      <c r="G78" s="50" t="n"/>
      <c r="H78" s="50" t="n"/>
      <c r="I78" s="27">
        <f>IFERROR(IF(A78="","",MAX(0,H78-G78)),"")</f>
        <v/>
      </c>
      <c r="J78" s="28" t="n"/>
      <c r="K78" s="28" t="n"/>
      <c r="L78" s="28" t="n"/>
      <c r="M78" s="25" t="n"/>
      <c r="N78" s="25" t="n"/>
      <c r="O78" s="25" t="n"/>
      <c r="P78" s="25" t="n"/>
      <c r="Q78" s="25" t="n"/>
      <c r="R78" s="51" t="n"/>
      <c r="S78" s="52" t="n"/>
      <c r="T78" s="51" t="n"/>
      <c r="U78" s="52" t="n"/>
      <c r="V78" s="52" t="n"/>
      <c r="W78" s="53">
        <f>IFERROR(IF(A78="","",ROUND(I78*J78*R78*(1-S78),2)),"")</f>
        <v/>
      </c>
      <c r="X78" s="53">
        <f>IFERROR(IF(A78="","",ROUND(W78*IF(V78="",'Setup &amp; Lists'!$B$7,V78),2)),"")</f>
        <v/>
      </c>
      <c r="Y78" s="53">
        <f>IFERROR(IF(A78="","",ROUND((W78+IF('Setup &amp; Lists'!$B$8="Yes",T78,0)+IF('Setup &amp; Lists'!$B$9="Yes",X78,0))*IF(U78="",'Setup &amp; Lists'!$B$6,U78),2)),"")</f>
        <v/>
      </c>
      <c r="Z78" s="53">
        <f>IFERROR(IF(A78="","",ROUND(W78+T78+X78+Y78,2)),"")</f>
        <v/>
      </c>
      <c r="AA78" s="51" t="n"/>
      <c r="AB78" s="53">
        <f>IFERROR(IF(A78="","",ROUND(IF(AA78&lt;&gt;"",AA78,Z78*'Setup &amp; Lists'!$B$10),2)),"")</f>
        <v/>
      </c>
      <c r="AC78" s="51" t="n"/>
      <c r="AD78" s="53">
        <f>IFERROR(IF(A78="","",MAX(0,ROUND(Z78-AC78,2))),"")</f>
        <v/>
      </c>
      <c r="AE78" s="32">
        <f>IFERROR(IF(A78="","",IF(AD78=0,"Paid",IF(AC78&gt;=AB78,"Deposit Met",IF(AC78&gt;0,"Partial Payment","Unpaid")))),"")</f>
        <v/>
      </c>
      <c r="AF78" s="54">
        <f>IFERROR(IF(OR(A78="",G78=""),"",G78-('Setup &amp; Lists'!$B$11/24)),"")</f>
        <v/>
      </c>
      <c r="AG78" s="25" t="n"/>
      <c r="AH78" s="25" t="n"/>
      <c r="AI78" s="50" t="n"/>
      <c r="AJ78" s="32">
        <f>IFERROR(IF(A78="","",IF(H78&lt;=G78,"Departure must be after arrival",IF(OR(J78="",J78&lt;1),"Rooms must be at least 1",IF(D78="","Guest name missing",IF(COUNTIF($A$2:$A$251,A78)&gt;1,"Duplicate reservation ID",IF(AND(P78="Confirmed",G78&gt;=TODAY(),G78&lt;=TODAY()+'Setup &amp; Lists'!$B$12,Q78=""),"Assign room for near-term arrival",IF(AND(G78&lt;TODAY(),P78="Confirmed"),"Past-due confirmed arrival",IF(AND(G78&gt;TODAY(),P78="Confirmed",AC78&lt;AB78),"Deposit shortfall",IF(AND(H78&lt;TODAY(),AD78&gt;0,P78&lt;&gt;"Cancelled"),"Balance remains after departure",IF(R78&lt;0,"Nightly rate is negative",IF(AC78&gt;Z78,"Deposit paid exceeds total value",""))))))))))),"")</f>
        <v/>
      </c>
    </row>
    <row r="79">
      <c r="A79" s="25" t="n"/>
      <c r="B79" s="25" t="n"/>
      <c r="C79" s="50" t="n"/>
      <c r="D79" s="25" t="n"/>
      <c r="E79" s="25" t="n"/>
      <c r="F79" s="25" t="n"/>
      <c r="G79" s="50" t="n"/>
      <c r="H79" s="50" t="n"/>
      <c r="I79" s="27">
        <f>IFERROR(IF(A79="","",MAX(0,H79-G79)),"")</f>
        <v/>
      </c>
      <c r="J79" s="28" t="n"/>
      <c r="K79" s="28" t="n"/>
      <c r="L79" s="28" t="n"/>
      <c r="M79" s="25" t="n"/>
      <c r="N79" s="25" t="n"/>
      <c r="O79" s="25" t="n"/>
      <c r="P79" s="25" t="n"/>
      <c r="Q79" s="25" t="n"/>
      <c r="R79" s="51" t="n"/>
      <c r="S79" s="52" t="n"/>
      <c r="T79" s="51" t="n"/>
      <c r="U79" s="52" t="n"/>
      <c r="V79" s="52" t="n"/>
      <c r="W79" s="53">
        <f>IFERROR(IF(A79="","",ROUND(I79*J79*R79*(1-S79),2)),"")</f>
        <v/>
      </c>
      <c r="X79" s="53">
        <f>IFERROR(IF(A79="","",ROUND(W79*IF(V79="",'Setup &amp; Lists'!$B$7,V79),2)),"")</f>
        <v/>
      </c>
      <c r="Y79" s="53">
        <f>IFERROR(IF(A79="","",ROUND((W79+IF('Setup &amp; Lists'!$B$8="Yes",T79,0)+IF('Setup &amp; Lists'!$B$9="Yes",X79,0))*IF(U79="",'Setup &amp; Lists'!$B$6,U79),2)),"")</f>
        <v/>
      </c>
      <c r="Z79" s="53">
        <f>IFERROR(IF(A79="","",ROUND(W79+T79+X79+Y79,2)),"")</f>
        <v/>
      </c>
      <c r="AA79" s="51" t="n"/>
      <c r="AB79" s="53">
        <f>IFERROR(IF(A79="","",ROUND(IF(AA79&lt;&gt;"",AA79,Z79*'Setup &amp; Lists'!$B$10),2)),"")</f>
        <v/>
      </c>
      <c r="AC79" s="51" t="n"/>
      <c r="AD79" s="53">
        <f>IFERROR(IF(A79="","",MAX(0,ROUND(Z79-AC79,2))),"")</f>
        <v/>
      </c>
      <c r="AE79" s="32">
        <f>IFERROR(IF(A79="","",IF(AD79=0,"Paid",IF(AC79&gt;=AB79,"Deposit Met",IF(AC79&gt;0,"Partial Payment","Unpaid")))),"")</f>
        <v/>
      </c>
      <c r="AF79" s="54">
        <f>IFERROR(IF(OR(A79="",G79=""),"",G79-('Setup &amp; Lists'!$B$11/24)),"")</f>
        <v/>
      </c>
      <c r="AG79" s="25" t="n"/>
      <c r="AH79" s="25" t="n"/>
      <c r="AI79" s="50" t="n"/>
      <c r="AJ79" s="32">
        <f>IFERROR(IF(A79="","",IF(H79&lt;=G79,"Departure must be after arrival",IF(OR(J79="",J79&lt;1),"Rooms must be at least 1",IF(D79="","Guest name missing",IF(COUNTIF($A$2:$A$251,A79)&gt;1,"Duplicate reservation ID",IF(AND(P79="Confirmed",G79&gt;=TODAY(),G79&lt;=TODAY()+'Setup &amp; Lists'!$B$12,Q79=""),"Assign room for near-term arrival",IF(AND(G79&lt;TODAY(),P79="Confirmed"),"Past-due confirmed arrival",IF(AND(G79&gt;TODAY(),P79="Confirmed",AC79&lt;AB79),"Deposit shortfall",IF(AND(H79&lt;TODAY(),AD79&gt;0,P79&lt;&gt;"Cancelled"),"Balance remains after departure",IF(R79&lt;0,"Nightly rate is negative",IF(AC79&gt;Z79,"Deposit paid exceeds total value",""))))))))))),"")</f>
        <v/>
      </c>
    </row>
    <row r="80">
      <c r="A80" s="25" t="n"/>
      <c r="B80" s="25" t="n"/>
      <c r="C80" s="50" t="n"/>
      <c r="D80" s="25" t="n"/>
      <c r="E80" s="25" t="n"/>
      <c r="F80" s="25" t="n"/>
      <c r="G80" s="50" t="n"/>
      <c r="H80" s="50" t="n"/>
      <c r="I80" s="27">
        <f>IFERROR(IF(A80="","",MAX(0,H80-G80)),"")</f>
        <v/>
      </c>
      <c r="J80" s="28" t="n"/>
      <c r="K80" s="28" t="n"/>
      <c r="L80" s="28" t="n"/>
      <c r="M80" s="25" t="n"/>
      <c r="N80" s="25" t="n"/>
      <c r="O80" s="25" t="n"/>
      <c r="P80" s="25" t="n"/>
      <c r="Q80" s="25" t="n"/>
      <c r="R80" s="51" t="n"/>
      <c r="S80" s="52" t="n"/>
      <c r="T80" s="51" t="n"/>
      <c r="U80" s="52" t="n"/>
      <c r="V80" s="52" t="n"/>
      <c r="W80" s="53">
        <f>IFERROR(IF(A80="","",ROUND(I80*J80*R80*(1-S80),2)),"")</f>
        <v/>
      </c>
      <c r="X80" s="53">
        <f>IFERROR(IF(A80="","",ROUND(W80*IF(V80="",'Setup &amp; Lists'!$B$7,V80),2)),"")</f>
        <v/>
      </c>
      <c r="Y80" s="53">
        <f>IFERROR(IF(A80="","",ROUND((W80+IF('Setup &amp; Lists'!$B$8="Yes",T80,0)+IF('Setup &amp; Lists'!$B$9="Yes",X80,0))*IF(U80="",'Setup &amp; Lists'!$B$6,U80),2)),"")</f>
        <v/>
      </c>
      <c r="Z80" s="53">
        <f>IFERROR(IF(A80="","",ROUND(W80+T80+X80+Y80,2)),"")</f>
        <v/>
      </c>
      <c r="AA80" s="51" t="n"/>
      <c r="AB80" s="53">
        <f>IFERROR(IF(A80="","",ROUND(IF(AA80&lt;&gt;"",AA80,Z80*'Setup &amp; Lists'!$B$10),2)),"")</f>
        <v/>
      </c>
      <c r="AC80" s="51" t="n"/>
      <c r="AD80" s="53">
        <f>IFERROR(IF(A80="","",MAX(0,ROUND(Z80-AC80,2))),"")</f>
        <v/>
      </c>
      <c r="AE80" s="32">
        <f>IFERROR(IF(A80="","",IF(AD80=0,"Paid",IF(AC80&gt;=AB80,"Deposit Met",IF(AC80&gt;0,"Partial Payment","Unpaid")))),"")</f>
        <v/>
      </c>
      <c r="AF80" s="54">
        <f>IFERROR(IF(OR(A80="",G80=""),"",G80-('Setup &amp; Lists'!$B$11/24)),"")</f>
        <v/>
      </c>
      <c r="AG80" s="25" t="n"/>
      <c r="AH80" s="25" t="n"/>
      <c r="AI80" s="50" t="n"/>
      <c r="AJ80" s="32">
        <f>IFERROR(IF(A80="","",IF(H80&lt;=G80,"Departure must be after arrival",IF(OR(J80="",J80&lt;1),"Rooms must be at least 1",IF(D80="","Guest name missing",IF(COUNTIF($A$2:$A$251,A80)&gt;1,"Duplicate reservation ID",IF(AND(P80="Confirmed",G80&gt;=TODAY(),G80&lt;=TODAY()+'Setup &amp; Lists'!$B$12,Q80=""),"Assign room for near-term arrival",IF(AND(G80&lt;TODAY(),P80="Confirmed"),"Past-due confirmed arrival",IF(AND(G80&gt;TODAY(),P80="Confirmed",AC80&lt;AB80),"Deposit shortfall",IF(AND(H80&lt;TODAY(),AD80&gt;0,P80&lt;&gt;"Cancelled"),"Balance remains after departure",IF(R80&lt;0,"Nightly rate is negative",IF(AC80&gt;Z80,"Deposit paid exceeds total value",""))))))))))),"")</f>
        <v/>
      </c>
    </row>
    <row r="81">
      <c r="A81" s="25" t="n"/>
      <c r="B81" s="25" t="n"/>
      <c r="C81" s="50" t="n"/>
      <c r="D81" s="25" t="n"/>
      <c r="E81" s="25" t="n"/>
      <c r="F81" s="25" t="n"/>
      <c r="G81" s="50" t="n"/>
      <c r="H81" s="50" t="n"/>
      <c r="I81" s="27">
        <f>IFERROR(IF(A81="","",MAX(0,H81-G81)),"")</f>
        <v/>
      </c>
      <c r="J81" s="28" t="n"/>
      <c r="K81" s="28" t="n"/>
      <c r="L81" s="28" t="n"/>
      <c r="M81" s="25" t="n"/>
      <c r="N81" s="25" t="n"/>
      <c r="O81" s="25" t="n"/>
      <c r="P81" s="25" t="n"/>
      <c r="Q81" s="25" t="n"/>
      <c r="R81" s="51" t="n"/>
      <c r="S81" s="52" t="n"/>
      <c r="T81" s="51" t="n"/>
      <c r="U81" s="52" t="n"/>
      <c r="V81" s="52" t="n"/>
      <c r="W81" s="53">
        <f>IFERROR(IF(A81="","",ROUND(I81*J81*R81*(1-S81),2)),"")</f>
        <v/>
      </c>
      <c r="X81" s="53">
        <f>IFERROR(IF(A81="","",ROUND(W81*IF(V81="",'Setup &amp; Lists'!$B$7,V81),2)),"")</f>
        <v/>
      </c>
      <c r="Y81" s="53">
        <f>IFERROR(IF(A81="","",ROUND((W81+IF('Setup &amp; Lists'!$B$8="Yes",T81,0)+IF('Setup &amp; Lists'!$B$9="Yes",X81,0))*IF(U81="",'Setup &amp; Lists'!$B$6,U81),2)),"")</f>
        <v/>
      </c>
      <c r="Z81" s="53">
        <f>IFERROR(IF(A81="","",ROUND(W81+T81+X81+Y81,2)),"")</f>
        <v/>
      </c>
      <c r="AA81" s="51" t="n"/>
      <c r="AB81" s="53">
        <f>IFERROR(IF(A81="","",ROUND(IF(AA81&lt;&gt;"",AA81,Z81*'Setup &amp; Lists'!$B$10),2)),"")</f>
        <v/>
      </c>
      <c r="AC81" s="51" t="n"/>
      <c r="AD81" s="53">
        <f>IFERROR(IF(A81="","",MAX(0,ROUND(Z81-AC81,2))),"")</f>
        <v/>
      </c>
      <c r="AE81" s="32">
        <f>IFERROR(IF(A81="","",IF(AD81=0,"Paid",IF(AC81&gt;=AB81,"Deposit Met",IF(AC81&gt;0,"Partial Payment","Unpaid")))),"")</f>
        <v/>
      </c>
      <c r="AF81" s="54">
        <f>IFERROR(IF(OR(A81="",G81=""),"",G81-('Setup &amp; Lists'!$B$11/24)),"")</f>
        <v/>
      </c>
      <c r="AG81" s="25" t="n"/>
      <c r="AH81" s="25" t="n"/>
      <c r="AI81" s="50" t="n"/>
      <c r="AJ81" s="32">
        <f>IFERROR(IF(A81="","",IF(H81&lt;=G81,"Departure must be after arrival",IF(OR(J81="",J81&lt;1),"Rooms must be at least 1",IF(D81="","Guest name missing",IF(COUNTIF($A$2:$A$251,A81)&gt;1,"Duplicate reservation ID",IF(AND(P81="Confirmed",G81&gt;=TODAY(),G81&lt;=TODAY()+'Setup &amp; Lists'!$B$12,Q81=""),"Assign room for near-term arrival",IF(AND(G81&lt;TODAY(),P81="Confirmed"),"Past-due confirmed arrival",IF(AND(G81&gt;TODAY(),P81="Confirmed",AC81&lt;AB81),"Deposit shortfall",IF(AND(H81&lt;TODAY(),AD81&gt;0,P81&lt;&gt;"Cancelled"),"Balance remains after departure",IF(R81&lt;0,"Nightly rate is negative",IF(AC81&gt;Z81,"Deposit paid exceeds total value",""))))))))))),"")</f>
        <v/>
      </c>
    </row>
    <row r="82">
      <c r="A82" s="25" t="n"/>
      <c r="B82" s="25" t="n"/>
      <c r="C82" s="50" t="n"/>
      <c r="D82" s="25" t="n"/>
      <c r="E82" s="25" t="n"/>
      <c r="F82" s="25" t="n"/>
      <c r="G82" s="50" t="n"/>
      <c r="H82" s="50" t="n"/>
      <c r="I82" s="27">
        <f>IFERROR(IF(A82="","",MAX(0,H82-G82)),"")</f>
        <v/>
      </c>
      <c r="J82" s="28" t="n"/>
      <c r="K82" s="28" t="n"/>
      <c r="L82" s="28" t="n"/>
      <c r="M82" s="25" t="n"/>
      <c r="N82" s="25" t="n"/>
      <c r="O82" s="25" t="n"/>
      <c r="P82" s="25" t="n"/>
      <c r="Q82" s="25" t="n"/>
      <c r="R82" s="51" t="n"/>
      <c r="S82" s="52" t="n"/>
      <c r="T82" s="51" t="n"/>
      <c r="U82" s="52" t="n"/>
      <c r="V82" s="52" t="n"/>
      <c r="W82" s="53">
        <f>IFERROR(IF(A82="","",ROUND(I82*J82*R82*(1-S82),2)),"")</f>
        <v/>
      </c>
      <c r="X82" s="53">
        <f>IFERROR(IF(A82="","",ROUND(W82*IF(V82="",'Setup &amp; Lists'!$B$7,V82),2)),"")</f>
        <v/>
      </c>
      <c r="Y82" s="53">
        <f>IFERROR(IF(A82="","",ROUND((W82+IF('Setup &amp; Lists'!$B$8="Yes",T82,0)+IF('Setup &amp; Lists'!$B$9="Yes",X82,0))*IF(U82="",'Setup &amp; Lists'!$B$6,U82),2)),"")</f>
        <v/>
      </c>
      <c r="Z82" s="53">
        <f>IFERROR(IF(A82="","",ROUND(W82+T82+X82+Y82,2)),"")</f>
        <v/>
      </c>
      <c r="AA82" s="51" t="n"/>
      <c r="AB82" s="53">
        <f>IFERROR(IF(A82="","",ROUND(IF(AA82&lt;&gt;"",AA82,Z82*'Setup &amp; Lists'!$B$10),2)),"")</f>
        <v/>
      </c>
      <c r="AC82" s="51" t="n"/>
      <c r="AD82" s="53">
        <f>IFERROR(IF(A82="","",MAX(0,ROUND(Z82-AC82,2))),"")</f>
        <v/>
      </c>
      <c r="AE82" s="32">
        <f>IFERROR(IF(A82="","",IF(AD82=0,"Paid",IF(AC82&gt;=AB82,"Deposit Met",IF(AC82&gt;0,"Partial Payment","Unpaid")))),"")</f>
        <v/>
      </c>
      <c r="AF82" s="54">
        <f>IFERROR(IF(OR(A82="",G82=""),"",G82-('Setup &amp; Lists'!$B$11/24)),"")</f>
        <v/>
      </c>
      <c r="AG82" s="25" t="n"/>
      <c r="AH82" s="25" t="n"/>
      <c r="AI82" s="50" t="n"/>
      <c r="AJ82" s="32">
        <f>IFERROR(IF(A82="","",IF(H82&lt;=G82,"Departure must be after arrival",IF(OR(J82="",J82&lt;1),"Rooms must be at least 1",IF(D82="","Guest name missing",IF(COUNTIF($A$2:$A$251,A82)&gt;1,"Duplicate reservation ID",IF(AND(P82="Confirmed",G82&gt;=TODAY(),G82&lt;=TODAY()+'Setup &amp; Lists'!$B$12,Q82=""),"Assign room for near-term arrival",IF(AND(G82&lt;TODAY(),P82="Confirmed"),"Past-due confirmed arrival",IF(AND(G82&gt;TODAY(),P82="Confirmed",AC82&lt;AB82),"Deposit shortfall",IF(AND(H82&lt;TODAY(),AD82&gt;0,P82&lt;&gt;"Cancelled"),"Balance remains after departure",IF(R82&lt;0,"Nightly rate is negative",IF(AC82&gt;Z82,"Deposit paid exceeds total value",""))))))))))),"")</f>
        <v/>
      </c>
    </row>
    <row r="83">
      <c r="A83" s="25" t="n"/>
      <c r="B83" s="25" t="n"/>
      <c r="C83" s="50" t="n"/>
      <c r="D83" s="25" t="n"/>
      <c r="E83" s="25" t="n"/>
      <c r="F83" s="25" t="n"/>
      <c r="G83" s="50" t="n"/>
      <c r="H83" s="50" t="n"/>
      <c r="I83" s="27">
        <f>IFERROR(IF(A83="","",MAX(0,H83-G83)),"")</f>
        <v/>
      </c>
      <c r="J83" s="28" t="n"/>
      <c r="K83" s="28" t="n"/>
      <c r="L83" s="28" t="n"/>
      <c r="M83" s="25" t="n"/>
      <c r="N83" s="25" t="n"/>
      <c r="O83" s="25" t="n"/>
      <c r="P83" s="25" t="n"/>
      <c r="Q83" s="25" t="n"/>
      <c r="R83" s="51" t="n"/>
      <c r="S83" s="52" t="n"/>
      <c r="T83" s="51" t="n"/>
      <c r="U83" s="52" t="n"/>
      <c r="V83" s="52" t="n"/>
      <c r="W83" s="53">
        <f>IFERROR(IF(A83="","",ROUND(I83*J83*R83*(1-S83),2)),"")</f>
        <v/>
      </c>
      <c r="X83" s="53">
        <f>IFERROR(IF(A83="","",ROUND(W83*IF(V83="",'Setup &amp; Lists'!$B$7,V83),2)),"")</f>
        <v/>
      </c>
      <c r="Y83" s="53">
        <f>IFERROR(IF(A83="","",ROUND((W83+IF('Setup &amp; Lists'!$B$8="Yes",T83,0)+IF('Setup &amp; Lists'!$B$9="Yes",X83,0))*IF(U83="",'Setup &amp; Lists'!$B$6,U83),2)),"")</f>
        <v/>
      </c>
      <c r="Z83" s="53">
        <f>IFERROR(IF(A83="","",ROUND(W83+T83+X83+Y83,2)),"")</f>
        <v/>
      </c>
      <c r="AA83" s="51" t="n"/>
      <c r="AB83" s="53">
        <f>IFERROR(IF(A83="","",ROUND(IF(AA83&lt;&gt;"",AA83,Z83*'Setup &amp; Lists'!$B$10),2)),"")</f>
        <v/>
      </c>
      <c r="AC83" s="51" t="n"/>
      <c r="AD83" s="53">
        <f>IFERROR(IF(A83="","",MAX(0,ROUND(Z83-AC83,2))),"")</f>
        <v/>
      </c>
      <c r="AE83" s="32">
        <f>IFERROR(IF(A83="","",IF(AD83=0,"Paid",IF(AC83&gt;=AB83,"Deposit Met",IF(AC83&gt;0,"Partial Payment","Unpaid")))),"")</f>
        <v/>
      </c>
      <c r="AF83" s="54">
        <f>IFERROR(IF(OR(A83="",G83=""),"",G83-('Setup &amp; Lists'!$B$11/24)),"")</f>
        <v/>
      </c>
      <c r="AG83" s="25" t="n"/>
      <c r="AH83" s="25" t="n"/>
      <c r="AI83" s="50" t="n"/>
      <c r="AJ83" s="32">
        <f>IFERROR(IF(A83="","",IF(H83&lt;=G83,"Departure must be after arrival",IF(OR(J83="",J83&lt;1),"Rooms must be at least 1",IF(D83="","Guest name missing",IF(COUNTIF($A$2:$A$251,A83)&gt;1,"Duplicate reservation ID",IF(AND(P83="Confirmed",G83&gt;=TODAY(),G83&lt;=TODAY()+'Setup &amp; Lists'!$B$12,Q83=""),"Assign room for near-term arrival",IF(AND(G83&lt;TODAY(),P83="Confirmed"),"Past-due confirmed arrival",IF(AND(G83&gt;TODAY(),P83="Confirmed",AC83&lt;AB83),"Deposit shortfall",IF(AND(H83&lt;TODAY(),AD83&gt;0,P83&lt;&gt;"Cancelled"),"Balance remains after departure",IF(R83&lt;0,"Nightly rate is negative",IF(AC83&gt;Z83,"Deposit paid exceeds total value",""))))))))))),"")</f>
        <v/>
      </c>
    </row>
    <row r="84">
      <c r="A84" s="25" t="n"/>
      <c r="B84" s="25" t="n"/>
      <c r="C84" s="50" t="n"/>
      <c r="D84" s="25" t="n"/>
      <c r="E84" s="25" t="n"/>
      <c r="F84" s="25" t="n"/>
      <c r="G84" s="50" t="n"/>
      <c r="H84" s="50" t="n"/>
      <c r="I84" s="27">
        <f>IFERROR(IF(A84="","",MAX(0,H84-G84)),"")</f>
        <v/>
      </c>
      <c r="J84" s="28" t="n"/>
      <c r="K84" s="28" t="n"/>
      <c r="L84" s="28" t="n"/>
      <c r="M84" s="25" t="n"/>
      <c r="N84" s="25" t="n"/>
      <c r="O84" s="25" t="n"/>
      <c r="P84" s="25" t="n"/>
      <c r="Q84" s="25" t="n"/>
      <c r="R84" s="51" t="n"/>
      <c r="S84" s="52" t="n"/>
      <c r="T84" s="51" t="n"/>
      <c r="U84" s="52" t="n"/>
      <c r="V84" s="52" t="n"/>
      <c r="W84" s="53">
        <f>IFERROR(IF(A84="","",ROUND(I84*J84*R84*(1-S84),2)),"")</f>
        <v/>
      </c>
      <c r="X84" s="53">
        <f>IFERROR(IF(A84="","",ROUND(W84*IF(V84="",'Setup &amp; Lists'!$B$7,V84),2)),"")</f>
        <v/>
      </c>
      <c r="Y84" s="53">
        <f>IFERROR(IF(A84="","",ROUND((W84+IF('Setup &amp; Lists'!$B$8="Yes",T84,0)+IF('Setup &amp; Lists'!$B$9="Yes",X84,0))*IF(U84="",'Setup &amp; Lists'!$B$6,U84),2)),"")</f>
        <v/>
      </c>
      <c r="Z84" s="53">
        <f>IFERROR(IF(A84="","",ROUND(W84+T84+X84+Y84,2)),"")</f>
        <v/>
      </c>
      <c r="AA84" s="51" t="n"/>
      <c r="AB84" s="53">
        <f>IFERROR(IF(A84="","",ROUND(IF(AA84&lt;&gt;"",AA84,Z84*'Setup &amp; Lists'!$B$10),2)),"")</f>
        <v/>
      </c>
      <c r="AC84" s="51" t="n"/>
      <c r="AD84" s="53">
        <f>IFERROR(IF(A84="","",MAX(0,ROUND(Z84-AC84,2))),"")</f>
        <v/>
      </c>
      <c r="AE84" s="32">
        <f>IFERROR(IF(A84="","",IF(AD84=0,"Paid",IF(AC84&gt;=AB84,"Deposit Met",IF(AC84&gt;0,"Partial Payment","Unpaid")))),"")</f>
        <v/>
      </c>
      <c r="AF84" s="54">
        <f>IFERROR(IF(OR(A84="",G84=""),"",G84-('Setup &amp; Lists'!$B$11/24)),"")</f>
        <v/>
      </c>
      <c r="AG84" s="25" t="n"/>
      <c r="AH84" s="25" t="n"/>
      <c r="AI84" s="50" t="n"/>
      <c r="AJ84" s="32">
        <f>IFERROR(IF(A84="","",IF(H84&lt;=G84,"Departure must be after arrival",IF(OR(J84="",J84&lt;1),"Rooms must be at least 1",IF(D84="","Guest name missing",IF(COUNTIF($A$2:$A$251,A84)&gt;1,"Duplicate reservation ID",IF(AND(P84="Confirmed",G84&gt;=TODAY(),G84&lt;=TODAY()+'Setup &amp; Lists'!$B$12,Q84=""),"Assign room for near-term arrival",IF(AND(G84&lt;TODAY(),P84="Confirmed"),"Past-due confirmed arrival",IF(AND(G84&gt;TODAY(),P84="Confirmed",AC84&lt;AB84),"Deposit shortfall",IF(AND(H84&lt;TODAY(),AD84&gt;0,P84&lt;&gt;"Cancelled"),"Balance remains after departure",IF(R84&lt;0,"Nightly rate is negative",IF(AC84&gt;Z84,"Deposit paid exceeds total value",""))))))))))),"")</f>
        <v/>
      </c>
    </row>
    <row r="85">
      <c r="A85" s="25" t="n"/>
      <c r="B85" s="25" t="n"/>
      <c r="C85" s="50" t="n"/>
      <c r="D85" s="25" t="n"/>
      <c r="E85" s="25" t="n"/>
      <c r="F85" s="25" t="n"/>
      <c r="G85" s="50" t="n"/>
      <c r="H85" s="50" t="n"/>
      <c r="I85" s="27">
        <f>IFERROR(IF(A85="","",MAX(0,H85-G85)),"")</f>
        <v/>
      </c>
      <c r="J85" s="28" t="n"/>
      <c r="K85" s="28" t="n"/>
      <c r="L85" s="28" t="n"/>
      <c r="M85" s="25" t="n"/>
      <c r="N85" s="25" t="n"/>
      <c r="O85" s="25" t="n"/>
      <c r="P85" s="25" t="n"/>
      <c r="Q85" s="25" t="n"/>
      <c r="R85" s="51" t="n"/>
      <c r="S85" s="52" t="n"/>
      <c r="T85" s="51" t="n"/>
      <c r="U85" s="52" t="n"/>
      <c r="V85" s="52" t="n"/>
      <c r="W85" s="53">
        <f>IFERROR(IF(A85="","",ROUND(I85*J85*R85*(1-S85),2)),"")</f>
        <v/>
      </c>
      <c r="X85" s="53">
        <f>IFERROR(IF(A85="","",ROUND(W85*IF(V85="",'Setup &amp; Lists'!$B$7,V85),2)),"")</f>
        <v/>
      </c>
      <c r="Y85" s="53">
        <f>IFERROR(IF(A85="","",ROUND((W85+IF('Setup &amp; Lists'!$B$8="Yes",T85,0)+IF('Setup &amp; Lists'!$B$9="Yes",X85,0))*IF(U85="",'Setup &amp; Lists'!$B$6,U85),2)),"")</f>
        <v/>
      </c>
      <c r="Z85" s="53">
        <f>IFERROR(IF(A85="","",ROUND(W85+T85+X85+Y85,2)),"")</f>
        <v/>
      </c>
      <c r="AA85" s="51" t="n"/>
      <c r="AB85" s="53">
        <f>IFERROR(IF(A85="","",ROUND(IF(AA85&lt;&gt;"",AA85,Z85*'Setup &amp; Lists'!$B$10),2)),"")</f>
        <v/>
      </c>
      <c r="AC85" s="51" t="n"/>
      <c r="AD85" s="53">
        <f>IFERROR(IF(A85="","",MAX(0,ROUND(Z85-AC85,2))),"")</f>
        <v/>
      </c>
      <c r="AE85" s="32">
        <f>IFERROR(IF(A85="","",IF(AD85=0,"Paid",IF(AC85&gt;=AB85,"Deposit Met",IF(AC85&gt;0,"Partial Payment","Unpaid")))),"")</f>
        <v/>
      </c>
      <c r="AF85" s="54">
        <f>IFERROR(IF(OR(A85="",G85=""),"",G85-('Setup &amp; Lists'!$B$11/24)),"")</f>
        <v/>
      </c>
      <c r="AG85" s="25" t="n"/>
      <c r="AH85" s="25" t="n"/>
      <c r="AI85" s="50" t="n"/>
      <c r="AJ85" s="32">
        <f>IFERROR(IF(A85="","",IF(H85&lt;=G85,"Departure must be after arrival",IF(OR(J85="",J85&lt;1),"Rooms must be at least 1",IF(D85="","Guest name missing",IF(COUNTIF($A$2:$A$251,A85)&gt;1,"Duplicate reservation ID",IF(AND(P85="Confirmed",G85&gt;=TODAY(),G85&lt;=TODAY()+'Setup &amp; Lists'!$B$12,Q85=""),"Assign room for near-term arrival",IF(AND(G85&lt;TODAY(),P85="Confirmed"),"Past-due confirmed arrival",IF(AND(G85&gt;TODAY(),P85="Confirmed",AC85&lt;AB85),"Deposit shortfall",IF(AND(H85&lt;TODAY(),AD85&gt;0,P85&lt;&gt;"Cancelled"),"Balance remains after departure",IF(R85&lt;0,"Nightly rate is negative",IF(AC85&gt;Z85,"Deposit paid exceeds total value",""))))))))))),"")</f>
        <v/>
      </c>
    </row>
    <row r="86">
      <c r="A86" s="25" t="n"/>
      <c r="B86" s="25" t="n"/>
      <c r="C86" s="50" t="n"/>
      <c r="D86" s="25" t="n"/>
      <c r="E86" s="25" t="n"/>
      <c r="F86" s="25" t="n"/>
      <c r="G86" s="50" t="n"/>
      <c r="H86" s="50" t="n"/>
      <c r="I86" s="27">
        <f>IFERROR(IF(A86="","",MAX(0,H86-G86)),"")</f>
        <v/>
      </c>
      <c r="J86" s="28" t="n"/>
      <c r="K86" s="28" t="n"/>
      <c r="L86" s="28" t="n"/>
      <c r="M86" s="25" t="n"/>
      <c r="N86" s="25" t="n"/>
      <c r="O86" s="25" t="n"/>
      <c r="P86" s="25" t="n"/>
      <c r="Q86" s="25" t="n"/>
      <c r="R86" s="51" t="n"/>
      <c r="S86" s="52" t="n"/>
      <c r="T86" s="51" t="n"/>
      <c r="U86" s="52" t="n"/>
      <c r="V86" s="52" t="n"/>
      <c r="W86" s="53">
        <f>IFERROR(IF(A86="","",ROUND(I86*J86*R86*(1-S86),2)),"")</f>
        <v/>
      </c>
      <c r="X86" s="53">
        <f>IFERROR(IF(A86="","",ROUND(W86*IF(V86="",'Setup &amp; Lists'!$B$7,V86),2)),"")</f>
        <v/>
      </c>
      <c r="Y86" s="53">
        <f>IFERROR(IF(A86="","",ROUND((W86+IF('Setup &amp; Lists'!$B$8="Yes",T86,0)+IF('Setup &amp; Lists'!$B$9="Yes",X86,0))*IF(U86="",'Setup &amp; Lists'!$B$6,U86),2)),"")</f>
        <v/>
      </c>
      <c r="Z86" s="53">
        <f>IFERROR(IF(A86="","",ROUND(W86+T86+X86+Y86,2)),"")</f>
        <v/>
      </c>
      <c r="AA86" s="51" t="n"/>
      <c r="AB86" s="53">
        <f>IFERROR(IF(A86="","",ROUND(IF(AA86&lt;&gt;"",AA86,Z86*'Setup &amp; Lists'!$B$10),2)),"")</f>
        <v/>
      </c>
      <c r="AC86" s="51" t="n"/>
      <c r="AD86" s="53">
        <f>IFERROR(IF(A86="","",MAX(0,ROUND(Z86-AC86,2))),"")</f>
        <v/>
      </c>
      <c r="AE86" s="32">
        <f>IFERROR(IF(A86="","",IF(AD86=0,"Paid",IF(AC86&gt;=AB86,"Deposit Met",IF(AC86&gt;0,"Partial Payment","Unpaid")))),"")</f>
        <v/>
      </c>
      <c r="AF86" s="54">
        <f>IFERROR(IF(OR(A86="",G86=""),"",G86-('Setup &amp; Lists'!$B$11/24)),"")</f>
        <v/>
      </c>
      <c r="AG86" s="25" t="n"/>
      <c r="AH86" s="25" t="n"/>
      <c r="AI86" s="50" t="n"/>
      <c r="AJ86" s="32">
        <f>IFERROR(IF(A86="","",IF(H86&lt;=G86,"Departure must be after arrival",IF(OR(J86="",J86&lt;1),"Rooms must be at least 1",IF(D86="","Guest name missing",IF(COUNTIF($A$2:$A$251,A86)&gt;1,"Duplicate reservation ID",IF(AND(P86="Confirmed",G86&gt;=TODAY(),G86&lt;=TODAY()+'Setup &amp; Lists'!$B$12,Q86=""),"Assign room for near-term arrival",IF(AND(G86&lt;TODAY(),P86="Confirmed"),"Past-due confirmed arrival",IF(AND(G86&gt;TODAY(),P86="Confirmed",AC86&lt;AB86),"Deposit shortfall",IF(AND(H86&lt;TODAY(),AD86&gt;0,P86&lt;&gt;"Cancelled"),"Balance remains after departure",IF(R86&lt;0,"Nightly rate is negative",IF(AC86&gt;Z86,"Deposit paid exceeds total value",""))))))))))),"")</f>
        <v/>
      </c>
    </row>
    <row r="87">
      <c r="A87" s="25" t="n"/>
      <c r="B87" s="25" t="n"/>
      <c r="C87" s="50" t="n"/>
      <c r="D87" s="25" t="n"/>
      <c r="E87" s="25" t="n"/>
      <c r="F87" s="25" t="n"/>
      <c r="G87" s="50" t="n"/>
      <c r="H87" s="50" t="n"/>
      <c r="I87" s="27">
        <f>IFERROR(IF(A87="","",MAX(0,H87-G87)),"")</f>
        <v/>
      </c>
      <c r="J87" s="28" t="n"/>
      <c r="K87" s="28" t="n"/>
      <c r="L87" s="28" t="n"/>
      <c r="M87" s="25" t="n"/>
      <c r="N87" s="25" t="n"/>
      <c r="O87" s="25" t="n"/>
      <c r="P87" s="25" t="n"/>
      <c r="Q87" s="25" t="n"/>
      <c r="R87" s="51" t="n"/>
      <c r="S87" s="52" t="n"/>
      <c r="T87" s="51" t="n"/>
      <c r="U87" s="52" t="n"/>
      <c r="V87" s="52" t="n"/>
      <c r="W87" s="53">
        <f>IFERROR(IF(A87="","",ROUND(I87*J87*R87*(1-S87),2)),"")</f>
        <v/>
      </c>
      <c r="X87" s="53">
        <f>IFERROR(IF(A87="","",ROUND(W87*IF(V87="",'Setup &amp; Lists'!$B$7,V87),2)),"")</f>
        <v/>
      </c>
      <c r="Y87" s="53">
        <f>IFERROR(IF(A87="","",ROUND((W87+IF('Setup &amp; Lists'!$B$8="Yes",T87,0)+IF('Setup &amp; Lists'!$B$9="Yes",X87,0))*IF(U87="",'Setup &amp; Lists'!$B$6,U87),2)),"")</f>
        <v/>
      </c>
      <c r="Z87" s="53">
        <f>IFERROR(IF(A87="","",ROUND(W87+T87+X87+Y87,2)),"")</f>
        <v/>
      </c>
      <c r="AA87" s="51" t="n"/>
      <c r="AB87" s="53">
        <f>IFERROR(IF(A87="","",ROUND(IF(AA87&lt;&gt;"",AA87,Z87*'Setup &amp; Lists'!$B$10),2)),"")</f>
        <v/>
      </c>
      <c r="AC87" s="51" t="n"/>
      <c r="AD87" s="53">
        <f>IFERROR(IF(A87="","",MAX(0,ROUND(Z87-AC87,2))),"")</f>
        <v/>
      </c>
      <c r="AE87" s="32">
        <f>IFERROR(IF(A87="","",IF(AD87=0,"Paid",IF(AC87&gt;=AB87,"Deposit Met",IF(AC87&gt;0,"Partial Payment","Unpaid")))),"")</f>
        <v/>
      </c>
      <c r="AF87" s="54">
        <f>IFERROR(IF(OR(A87="",G87=""),"",G87-('Setup &amp; Lists'!$B$11/24)),"")</f>
        <v/>
      </c>
      <c r="AG87" s="25" t="n"/>
      <c r="AH87" s="25" t="n"/>
      <c r="AI87" s="50" t="n"/>
      <c r="AJ87" s="32">
        <f>IFERROR(IF(A87="","",IF(H87&lt;=G87,"Departure must be after arrival",IF(OR(J87="",J87&lt;1),"Rooms must be at least 1",IF(D87="","Guest name missing",IF(COUNTIF($A$2:$A$251,A87)&gt;1,"Duplicate reservation ID",IF(AND(P87="Confirmed",G87&gt;=TODAY(),G87&lt;=TODAY()+'Setup &amp; Lists'!$B$12,Q87=""),"Assign room for near-term arrival",IF(AND(G87&lt;TODAY(),P87="Confirmed"),"Past-due confirmed arrival",IF(AND(G87&gt;TODAY(),P87="Confirmed",AC87&lt;AB87),"Deposit shortfall",IF(AND(H87&lt;TODAY(),AD87&gt;0,P87&lt;&gt;"Cancelled"),"Balance remains after departure",IF(R87&lt;0,"Nightly rate is negative",IF(AC87&gt;Z87,"Deposit paid exceeds total value",""))))))))))),"")</f>
        <v/>
      </c>
    </row>
    <row r="88">
      <c r="A88" s="25" t="n"/>
      <c r="B88" s="25" t="n"/>
      <c r="C88" s="50" t="n"/>
      <c r="D88" s="25" t="n"/>
      <c r="E88" s="25" t="n"/>
      <c r="F88" s="25" t="n"/>
      <c r="G88" s="50" t="n"/>
      <c r="H88" s="50" t="n"/>
      <c r="I88" s="27">
        <f>IFERROR(IF(A88="","",MAX(0,H88-G88)),"")</f>
        <v/>
      </c>
      <c r="J88" s="28" t="n"/>
      <c r="K88" s="28" t="n"/>
      <c r="L88" s="28" t="n"/>
      <c r="M88" s="25" t="n"/>
      <c r="N88" s="25" t="n"/>
      <c r="O88" s="25" t="n"/>
      <c r="P88" s="25" t="n"/>
      <c r="Q88" s="25" t="n"/>
      <c r="R88" s="51" t="n"/>
      <c r="S88" s="52" t="n"/>
      <c r="T88" s="51" t="n"/>
      <c r="U88" s="52" t="n"/>
      <c r="V88" s="52" t="n"/>
      <c r="W88" s="53">
        <f>IFERROR(IF(A88="","",ROUND(I88*J88*R88*(1-S88),2)),"")</f>
        <v/>
      </c>
      <c r="X88" s="53">
        <f>IFERROR(IF(A88="","",ROUND(W88*IF(V88="",'Setup &amp; Lists'!$B$7,V88),2)),"")</f>
        <v/>
      </c>
      <c r="Y88" s="53">
        <f>IFERROR(IF(A88="","",ROUND((W88+IF('Setup &amp; Lists'!$B$8="Yes",T88,0)+IF('Setup &amp; Lists'!$B$9="Yes",X88,0))*IF(U88="",'Setup &amp; Lists'!$B$6,U88),2)),"")</f>
        <v/>
      </c>
      <c r="Z88" s="53">
        <f>IFERROR(IF(A88="","",ROUND(W88+T88+X88+Y88,2)),"")</f>
        <v/>
      </c>
      <c r="AA88" s="51" t="n"/>
      <c r="AB88" s="53">
        <f>IFERROR(IF(A88="","",ROUND(IF(AA88&lt;&gt;"",AA88,Z88*'Setup &amp; Lists'!$B$10),2)),"")</f>
        <v/>
      </c>
      <c r="AC88" s="51" t="n"/>
      <c r="AD88" s="53">
        <f>IFERROR(IF(A88="","",MAX(0,ROUND(Z88-AC88,2))),"")</f>
        <v/>
      </c>
      <c r="AE88" s="32">
        <f>IFERROR(IF(A88="","",IF(AD88=0,"Paid",IF(AC88&gt;=AB88,"Deposit Met",IF(AC88&gt;0,"Partial Payment","Unpaid")))),"")</f>
        <v/>
      </c>
      <c r="AF88" s="54">
        <f>IFERROR(IF(OR(A88="",G88=""),"",G88-('Setup &amp; Lists'!$B$11/24)),"")</f>
        <v/>
      </c>
      <c r="AG88" s="25" t="n"/>
      <c r="AH88" s="25" t="n"/>
      <c r="AI88" s="50" t="n"/>
      <c r="AJ88" s="32">
        <f>IFERROR(IF(A88="","",IF(H88&lt;=G88,"Departure must be after arrival",IF(OR(J88="",J88&lt;1),"Rooms must be at least 1",IF(D88="","Guest name missing",IF(COUNTIF($A$2:$A$251,A88)&gt;1,"Duplicate reservation ID",IF(AND(P88="Confirmed",G88&gt;=TODAY(),G88&lt;=TODAY()+'Setup &amp; Lists'!$B$12,Q88=""),"Assign room for near-term arrival",IF(AND(G88&lt;TODAY(),P88="Confirmed"),"Past-due confirmed arrival",IF(AND(G88&gt;TODAY(),P88="Confirmed",AC88&lt;AB88),"Deposit shortfall",IF(AND(H88&lt;TODAY(),AD88&gt;0,P88&lt;&gt;"Cancelled"),"Balance remains after departure",IF(R88&lt;0,"Nightly rate is negative",IF(AC88&gt;Z88,"Deposit paid exceeds total value",""))))))))))),"")</f>
        <v/>
      </c>
    </row>
    <row r="89">
      <c r="A89" s="25" t="n"/>
      <c r="B89" s="25" t="n"/>
      <c r="C89" s="50" t="n"/>
      <c r="D89" s="25" t="n"/>
      <c r="E89" s="25" t="n"/>
      <c r="F89" s="25" t="n"/>
      <c r="G89" s="50" t="n"/>
      <c r="H89" s="50" t="n"/>
      <c r="I89" s="27">
        <f>IFERROR(IF(A89="","",MAX(0,H89-G89)),"")</f>
        <v/>
      </c>
      <c r="J89" s="28" t="n"/>
      <c r="K89" s="28" t="n"/>
      <c r="L89" s="28" t="n"/>
      <c r="M89" s="25" t="n"/>
      <c r="N89" s="25" t="n"/>
      <c r="O89" s="25" t="n"/>
      <c r="P89" s="25" t="n"/>
      <c r="Q89" s="25" t="n"/>
      <c r="R89" s="51" t="n"/>
      <c r="S89" s="52" t="n"/>
      <c r="T89" s="51" t="n"/>
      <c r="U89" s="52" t="n"/>
      <c r="V89" s="52" t="n"/>
      <c r="W89" s="53">
        <f>IFERROR(IF(A89="","",ROUND(I89*J89*R89*(1-S89),2)),"")</f>
        <v/>
      </c>
      <c r="X89" s="53">
        <f>IFERROR(IF(A89="","",ROUND(W89*IF(V89="",'Setup &amp; Lists'!$B$7,V89),2)),"")</f>
        <v/>
      </c>
      <c r="Y89" s="53">
        <f>IFERROR(IF(A89="","",ROUND((W89+IF('Setup &amp; Lists'!$B$8="Yes",T89,0)+IF('Setup &amp; Lists'!$B$9="Yes",X89,0))*IF(U89="",'Setup &amp; Lists'!$B$6,U89),2)),"")</f>
        <v/>
      </c>
      <c r="Z89" s="53">
        <f>IFERROR(IF(A89="","",ROUND(W89+T89+X89+Y89,2)),"")</f>
        <v/>
      </c>
      <c r="AA89" s="51" t="n"/>
      <c r="AB89" s="53">
        <f>IFERROR(IF(A89="","",ROUND(IF(AA89&lt;&gt;"",AA89,Z89*'Setup &amp; Lists'!$B$10),2)),"")</f>
        <v/>
      </c>
      <c r="AC89" s="51" t="n"/>
      <c r="AD89" s="53">
        <f>IFERROR(IF(A89="","",MAX(0,ROUND(Z89-AC89,2))),"")</f>
        <v/>
      </c>
      <c r="AE89" s="32">
        <f>IFERROR(IF(A89="","",IF(AD89=0,"Paid",IF(AC89&gt;=AB89,"Deposit Met",IF(AC89&gt;0,"Partial Payment","Unpaid")))),"")</f>
        <v/>
      </c>
      <c r="AF89" s="54">
        <f>IFERROR(IF(OR(A89="",G89=""),"",G89-('Setup &amp; Lists'!$B$11/24)),"")</f>
        <v/>
      </c>
      <c r="AG89" s="25" t="n"/>
      <c r="AH89" s="25" t="n"/>
      <c r="AI89" s="50" t="n"/>
      <c r="AJ89" s="32">
        <f>IFERROR(IF(A89="","",IF(H89&lt;=G89,"Departure must be after arrival",IF(OR(J89="",J89&lt;1),"Rooms must be at least 1",IF(D89="","Guest name missing",IF(COUNTIF($A$2:$A$251,A89)&gt;1,"Duplicate reservation ID",IF(AND(P89="Confirmed",G89&gt;=TODAY(),G89&lt;=TODAY()+'Setup &amp; Lists'!$B$12,Q89=""),"Assign room for near-term arrival",IF(AND(G89&lt;TODAY(),P89="Confirmed"),"Past-due confirmed arrival",IF(AND(G89&gt;TODAY(),P89="Confirmed",AC89&lt;AB89),"Deposit shortfall",IF(AND(H89&lt;TODAY(),AD89&gt;0,P89&lt;&gt;"Cancelled"),"Balance remains after departure",IF(R89&lt;0,"Nightly rate is negative",IF(AC89&gt;Z89,"Deposit paid exceeds total value",""))))))))))),"")</f>
        <v/>
      </c>
    </row>
    <row r="90">
      <c r="A90" s="25" t="n"/>
      <c r="B90" s="25" t="n"/>
      <c r="C90" s="50" t="n"/>
      <c r="D90" s="25" t="n"/>
      <c r="E90" s="25" t="n"/>
      <c r="F90" s="25" t="n"/>
      <c r="G90" s="50" t="n"/>
      <c r="H90" s="50" t="n"/>
      <c r="I90" s="27">
        <f>IFERROR(IF(A90="","",MAX(0,H90-G90)),"")</f>
        <v/>
      </c>
      <c r="J90" s="28" t="n"/>
      <c r="K90" s="28" t="n"/>
      <c r="L90" s="28" t="n"/>
      <c r="M90" s="25" t="n"/>
      <c r="N90" s="25" t="n"/>
      <c r="O90" s="25" t="n"/>
      <c r="P90" s="25" t="n"/>
      <c r="Q90" s="25" t="n"/>
      <c r="R90" s="51" t="n"/>
      <c r="S90" s="52" t="n"/>
      <c r="T90" s="51" t="n"/>
      <c r="U90" s="52" t="n"/>
      <c r="V90" s="52" t="n"/>
      <c r="W90" s="53">
        <f>IFERROR(IF(A90="","",ROUND(I90*J90*R90*(1-S90),2)),"")</f>
        <v/>
      </c>
      <c r="X90" s="53">
        <f>IFERROR(IF(A90="","",ROUND(W90*IF(V90="",'Setup &amp; Lists'!$B$7,V90),2)),"")</f>
        <v/>
      </c>
      <c r="Y90" s="53">
        <f>IFERROR(IF(A90="","",ROUND((W90+IF('Setup &amp; Lists'!$B$8="Yes",T90,0)+IF('Setup &amp; Lists'!$B$9="Yes",X90,0))*IF(U90="",'Setup &amp; Lists'!$B$6,U90),2)),"")</f>
        <v/>
      </c>
      <c r="Z90" s="53">
        <f>IFERROR(IF(A90="","",ROUND(W90+T90+X90+Y90,2)),"")</f>
        <v/>
      </c>
      <c r="AA90" s="51" t="n"/>
      <c r="AB90" s="53">
        <f>IFERROR(IF(A90="","",ROUND(IF(AA90&lt;&gt;"",AA90,Z90*'Setup &amp; Lists'!$B$10),2)),"")</f>
        <v/>
      </c>
      <c r="AC90" s="51" t="n"/>
      <c r="AD90" s="53">
        <f>IFERROR(IF(A90="","",MAX(0,ROUND(Z90-AC90,2))),"")</f>
        <v/>
      </c>
      <c r="AE90" s="32">
        <f>IFERROR(IF(A90="","",IF(AD90=0,"Paid",IF(AC90&gt;=AB90,"Deposit Met",IF(AC90&gt;0,"Partial Payment","Unpaid")))),"")</f>
        <v/>
      </c>
      <c r="AF90" s="54">
        <f>IFERROR(IF(OR(A90="",G90=""),"",G90-('Setup &amp; Lists'!$B$11/24)),"")</f>
        <v/>
      </c>
      <c r="AG90" s="25" t="n"/>
      <c r="AH90" s="25" t="n"/>
      <c r="AI90" s="50" t="n"/>
      <c r="AJ90" s="32">
        <f>IFERROR(IF(A90="","",IF(H90&lt;=G90,"Departure must be after arrival",IF(OR(J90="",J90&lt;1),"Rooms must be at least 1",IF(D90="","Guest name missing",IF(COUNTIF($A$2:$A$251,A90)&gt;1,"Duplicate reservation ID",IF(AND(P90="Confirmed",G90&gt;=TODAY(),G90&lt;=TODAY()+'Setup &amp; Lists'!$B$12,Q90=""),"Assign room for near-term arrival",IF(AND(G90&lt;TODAY(),P90="Confirmed"),"Past-due confirmed arrival",IF(AND(G90&gt;TODAY(),P90="Confirmed",AC90&lt;AB90),"Deposit shortfall",IF(AND(H90&lt;TODAY(),AD90&gt;0,P90&lt;&gt;"Cancelled"),"Balance remains after departure",IF(R90&lt;0,"Nightly rate is negative",IF(AC90&gt;Z90,"Deposit paid exceeds total value",""))))))))))),"")</f>
        <v/>
      </c>
    </row>
    <row r="91">
      <c r="A91" s="25" t="n"/>
      <c r="B91" s="25" t="n"/>
      <c r="C91" s="50" t="n"/>
      <c r="D91" s="25" t="n"/>
      <c r="E91" s="25" t="n"/>
      <c r="F91" s="25" t="n"/>
      <c r="G91" s="50" t="n"/>
      <c r="H91" s="50" t="n"/>
      <c r="I91" s="27">
        <f>IFERROR(IF(A91="","",MAX(0,H91-G91)),"")</f>
        <v/>
      </c>
      <c r="J91" s="28" t="n"/>
      <c r="K91" s="28" t="n"/>
      <c r="L91" s="28" t="n"/>
      <c r="M91" s="25" t="n"/>
      <c r="N91" s="25" t="n"/>
      <c r="O91" s="25" t="n"/>
      <c r="P91" s="25" t="n"/>
      <c r="Q91" s="25" t="n"/>
      <c r="R91" s="51" t="n"/>
      <c r="S91" s="52" t="n"/>
      <c r="T91" s="51" t="n"/>
      <c r="U91" s="52" t="n"/>
      <c r="V91" s="52" t="n"/>
      <c r="W91" s="53">
        <f>IFERROR(IF(A91="","",ROUND(I91*J91*R91*(1-S91),2)),"")</f>
        <v/>
      </c>
      <c r="X91" s="53">
        <f>IFERROR(IF(A91="","",ROUND(W91*IF(V91="",'Setup &amp; Lists'!$B$7,V91),2)),"")</f>
        <v/>
      </c>
      <c r="Y91" s="53">
        <f>IFERROR(IF(A91="","",ROUND((W91+IF('Setup &amp; Lists'!$B$8="Yes",T91,0)+IF('Setup &amp; Lists'!$B$9="Yes",X91,0))*IF(U91="",'Setup &amp; Lists'!$B$6,U91),2)),"")</f>
        <v/>
      </c>
      <c r="Z91" s="53">
        <f>IFERROR(IF(A91="","",ROUND(W91+T91+X91+Y91,2)),"")</f>
        <v/>
      </c>
      <c r="AA91" s="51" t="n"/>
      <c r="AB91" s="53">
        <f>IFERROR(IF(A91="","",ROUND(IF(AA91&lt;&gt;"",AA91,Z91*'Setup &amp; Lists'!$B$10),2)),"")</f>
        <v/>
      </c>
      <c r="AC91" s="51" t="n"/>
      <c r="AD91" s="53">
        <f>IFERROR(IF(A91="","",MAX(0,ROUND(Z91-AC91,2))),"")</f>
        <v/>
      </c>
      <c r="AE91" s="32">
        <f>IFERROR(IF(A91="","",IF(AD91=0,"Paid",IF(AC91&gt;=AB91,"Deposit Met",IF(AC91&gt;0,"Partial Payment","Unpaid")))),"")</f>
        <v/>
      </c>
      <c r="AF91" s="54">
        <f>IFERROR(IF(OR(A91="",G91=""),"",G91-('Setup &amp; Lists'!$B$11/24)),"")</f>
        <v/>
      </c>
      <c r="AG91" s="25" t="n"/>
      <c r="AH91" s="25" t="n"/>
      <c r="AI91" s="50" t="n"/>
      <c r="AJ91" s="32">
        <f>IFERROR(IF(A91="","",IF(H91&lt;=G91,"Departure must be after arrival",IF(OR(J91="",J91&lt;1),"Rooms must be at least 1",IF(D91="","Guest name missing",IF(COUNTIF($A$2:$A$251,A91)&gt;1,"Duplicate reservation ID",IF(AND(P91="Confirmed",G91&gt;=TODAY(),G91&lt;=TODAY()+'Setup &amp; Lists'!$B$12,Q91=""),"Assign room for near-term arrival",IF(AND(G91&lt;TODAY(),P91="Confirmed"),"Past-due confirmed arrival",IF(AND(G91&gt;TODAY(),P91="Confirmed",AC91&lt;AB91),"Deposit shortfall",IF(AND(H91&lt;TODAY(),AD91&gt;0,P91&lt;&gt;"Cancelled"),"Balance remains after departure",IF(R91&lt;0,"Nightly rate is negative",IF(AC91&gt;Z91,"Deposit paid exceeds total value",""))))))))))),"")</f>
        <v/>
      </c>
    </row>
    <row r="92">
      <c r="A92" s="25" t="n"/>
      <c r="B92" s="25" t="n"/>
      <c r="C92" s="50" t="n"/>
      <c r="D92" s="25" t="n"/>
      <c r="E92" s="25" t="n"/>
      <c r="F92" s="25" t="n"/>
      <c r="G92" s="50" t="n"/>
      <c r="H92" s="50" t="n"/>
      <c r="I92" s="27">
        <f>IFERROR(IF(A92="","",MAX(0,H92-G92)),"")</f>
        <v/>
      </c>
      <c r="J92" s="28" t="n"/>
      <c r="K92" s="28" t="n"/>
      <c r="L92" s="28" t="n"/>
      <c r="M92" s="25" t="n"/>
      <c r="N92" s="25" t="n"/>
      <c r="O92" s="25" t="n"/>
      <c r="P92" s="25" t="n"/>
      <c r="Q92" s="25" t="n"/>
      <c r="R92" s="51" t="n"/>
      <c r="S92" s="52" t="n"/>
      <c r="T92" s="51" t="n"/>
      <c r="U92" s="52" t="n"/>
      <c r="V92" s="52" t="n"/>
      <c r="W92" s="53">
        <f>IFERROR(IF(A92="","",ROUND(I92*J92*R92*(1-S92),2)),"")</f>
        <v/>
      </c>
      <c r="X92" s="53">
        <f>IFERROR(IF(A92="","",ROUND(W92*IF(V92="",'Setup &amp; Lists'!$B$7,V92),2)),"")</f>
        <v/>
      </c>
      <c r="Y92" s="53">
        <f>IFERROR(IF(A92="","",ROUND((W92+IF('Setup &amp; Lists'!$B$8="Yes",T92,0)+IF('Setup &amp; Lists'!$B$9="Yes",X92,0))*IF(U92="",'Setup &amp; Lists'!$B$6,U92),2)),"")</f>
        <v/>
      </c>
      <c r="Z92" s="53">
        <f>IFERROR(IF(A92="","",ROUND(W92+T92+X92+Y92,2)),"")</f>
        <v/>
      </c>
      <c r="AA92" s="51" t="n"/>
      <c r="AB92" s="53">
        <f>IFERROR(IF(A92="","",ROUND(IF(AA92&lt;&gt;"",AA92,Z92*'Setup &amp; Lists'!$B$10),2)),"")</f>
        <v/>
      </c>
      <c r="AC92" s="51" t="n"/>
      <c r="AD92" s="53">
        <f>IFERROR(IF(A92="","",MAX(0,ROUND(Z92-AC92,2))),"")</f>
        <v/>
      </c>
      <c r="AE92" s="32">
        <f>IFERROR(IF(A92="","",IF(AD92=0,"Paid",IF(AC92&gt;=AB92,"Deposit Met",IF(AC92&gt;0,"Partial Payment","Unpaid")))),"")</f>
        <v/>
      </c>
      <c r="AF92" s="54">
        <f>IFERROR(IF(OR(A92="",G92=""),"",G92-('Setup &amp; Lists'!$B$11/24)),"")</f>
        <v/>
      </c>
      <c r="AG92" s="25" t="n"/>
      <c r="AH92" s="25" t="n"/>
      <c r="AI92" s="50" t="n"/>
      <c r="AJ92" s="32">
        <f>IFERROR(IF(A92="","",IF(H92&lt;=G92,"Departure must be after arrival",IF(OR(J92="",J92&lt;1),"Rooms must be at least 1",IF(D92="","Guest name missing",IF(COUNTIF($A$2:$A$251,A92)&gt;1,"Duplicate reservation ID",IF(AND(P92="Confirmed",G92&gt;=TODAY(),G92&lt;=TODAY()+'Setup &amp; Lists'!$B$12,Q92=""),"Assign room for near-term arrival",IF(AND(G92&lt;TODAY(),P92="Confirmed"),"Past-due confirmed arrival",IF(AND(G92&gt;TODAY(),P92="Confirmed",AC92&lt;AB92),"Deposit shortfall",IF(AND(H92&lt;TODAY(),AD92&gt;0,P92&lt;&gt;"Cancelled"),"Balance remains after departure",IF(R92&lt;0,"Nightly rate is negative",IF(AC92&gt;Z92,"Deposit paid exceeds total value",""))))))))))),"")</f>
        <v/>
      </c>
    </row>
    <row r="93">
      <c r="A93" s="25" t="n"/>
      <c r="B93" s="25" t="n"/>
      <c r="C93" s="50" t="n"/>
      <c r="D93" s="25" t="n"/>
      <c r="E93" s="25" t="n"/>
      <c r="F93" s="25" t="n"/>
      <c r="G93" s="50" t="n"/>
      <c r="H93" s="50" t="n"/>
      <c r="I93" s="27">
        <f>IFERROR(IF(A93="","",MAX(0,H93-G93)),"")</f>
        <v/>
      </c>
      <c r="J93" s="28" t="n"/>
      <c r="K93" s="28" t="n"/>
      <c r="L93" s="28" t="n"/>
      <c r="M93" s="25" t="n"/>
      <c r="N93" s="25" t="n"/>
      <c r="O93" s="25" t="n"/>
      <c r="P93" s="25" t="n"/>
      <c r="Q93" s="25" t="n"/>
      <c r="R93" s="51" t="n"/>
      <c r="S93" s="52" t="n"/>
      <c r="T93" s="51" t="n"/>
      <c r="U93" s="52" t="n"/>
      <c r="V93" s="52" t="n"/>
      <c r="W93" s="53">
        <f>IFERROR(IF(A93="","",ROUND(I93*J93*R93*(1-S93),2)),"")</f>
        <v/>
      </c>
      <c r="X93" s="53">
        <f>IFERROR(IF(A93="","",ROUND(W93*IF(V93="",'Setup &amp; Lists'!$B$7,V93),2)),"")</f>
        <v/>
      </c>
      <c r="Y93" s="53">
        <f>IFERROR(IF(A93="","",ROUND((W93+IF('Setup &amp; Lists'!$B$8="Yes",T93,0)+IF('Setup &amp; Lists'!$B$9="Yes",X93,0))*IF(U93="",'Setup &amp; Lists'!$B$6,U93),2)),"")</f>
        <v/>
      </c>
      <c r="Z93" s="53">
        <f>IFERROR(IF(A93="","",ROUND(W93+T93+X93+Y93,2)),"")</f>
        <v/>
      </c>
      <c r="AA93" s="51" t="n"/>
      <c r="AB93" s="53">
        <f>IFERROR(IF(A93="","",ROUND(IF(AA93&lt;&gt;"",AA93,Z93*'Setup &amp; Lists'!$B$10),2)),"")</f>
        <v/>
      </c>
      <c r="AC93" s="51" t="n"/>
      <c r="AD93" s="53">
        <f>IFERROR(IF(A93="","",MAX(0,ROUND(Z93-AC93,2))),"")</f>
        <v/>
      </c>
      <c r="AE93" s="32">
        <f>IFERROR(IF(A93="","",IF(AD93=0,"Paid",IF(AC93&gt;=AB93,"Deposit Met",IF(AC93&gt;0,"Partial Payment","Unpaid")))),"")</f>
        <v/>
      </c>
      <c r="AF93" s="54">
        <f>IFERROR(IF(OR(A93="",G93=""),"",G93-('Setup &amp; Lists'!$B$11/24)),"")</f>
        <v/>
      </c>
      <c r="AG93" s="25" t="n"/>
      <c r="AH93" s="25" t="n"/>
      <c r="AI93" s="50" t="n"/>
      <c r="AJ93" s="32">
        <f>IFERROR(IF(A93="","",IF(H93&lt;=G93,"Departure must be after arrival",IF(OR(J93="",J93&lt;1),"Rooms must be at least 1",IF(D93="","Guest name missing",IF(COUNTIF($A$2:$A$251,A93)&gt;1,"Duplicate reservation ID",IF(AND(P93="Confirmed",G93&gt;=TODAY(),G93&lt;=TODAY()+'Setup &amp; Lists'!$B$12,Q93=""),"Assign room for near-term arrival",IF(AND(G93&lt;TODAY(),P93="Confirmed"),"Past-due confirmed arrival",IF(AND(G93&gt;TODAY(),P93="Confirmed",AC93&lt;AB93),"Deposit shortfall",IF(AND(H93&lt;TODAY(),AD93&gt;0,P93&lt;&gt;"Cancelled"),"Balance remains after departure",IF(R93&lt;0,"Nightly rate is negative",IF(AC93&gt;Z93,"Deposit paid exceeds total value",""))))))))))),"")</f>
        <v/>
      </c>
    </row>
    <row r="94">
      <c r="A94" s="25" t="n"/>
      <c r="B94" s="25" t="n"/>
      <c r="C94" s="50" t="n"/>
      <c r="D94" s="25" t="n"/>
      <c r="E94" s="25" t="n"/>
      <c r="F94" s="25" t="n"/>
      <c r="G94" s="50" t="n"/>
      <c r="H94" s="50" t="n"/>
      <c r="I94" s="27">
        <f>IFERROR(IF(A94="","",MAX(0,H94-G94)),"")</f>
        <v/>
      </c>
      <c r="J94" s="28" t="n"/>
      <c r="K94" s="28" t="n"/>
      <c r="L94" s="28" t="n"/>
      <c r="M94" s="25" t="n"/>
      <c r="N94" s="25" t="n"/>
      <c r="O94" s="25" t="n"/>
      <c r="P94" s="25" t="n"/>
      <c r="Q94" s="25" t="n"/>
      <c r="R94" s="51" t="n"/>
      <c r="S94" s="52" t="n"/>
      <c r="T94" s="51" t="n"/>
      <c r="U94" s="52" t="n"/>
      <c r="V94" s="52" t="n"/>
      <c r="W94" s="53">
        <f>IFERROR(IF(A94="","",ROUND(I94*J94*R94*(1-S94),2)),"")</f>
        <v/>
      </c>
      <c r="X94" s="53">
        <f>IFERROR(IF(A94="","",ROUND(W94*IF(V94="",'Setup &amp; Lists'!$B$7,V94),2)),"")</f>
        <v/>
      </c>
      <c r="Y94" s="53">
        <f>IFERROR(IF(A94="","",ROUND((W94+IF('Setup &amp; Lists'!$B$8="Yes",T94,0)+IF('Setup &amp; Lists'!$B$9="Yes",X94,0))*IF(U94="",'Setup &amp; Lists'!$B$6,U94),2)),"")</f>
        <v/>
      </c>
      <c r="Z94" s="53">
        <f>IFERROR(IF(A94="","",ROUND(W94+T94+X94+Y94,2)),"")</f>
        <v/>
      </c>
      <c r="AA94" s="51" t="n"/>
      <c r="AB94" s="53">
        <f>IFERROR(IF(A94="","",ROUND(IF(AA94&lt;&gt;"",AA94,Z94*'Setup &amp; Lists'!$B$10),2)),"")</f>
        <v/>
      </c>
      <c r="AC94" s="51" t="n"/>
      <c r="AD94" s="53">
        <f>IFERROR(IF(A94="","",MAX(0,ROUND(Z94-AC94,2))),"")</f>
        <v/>
      </c>
      <c r="AE94" s="32">
        <f>IFERROR(IF(A94="","",IF(AD94=0,"Paid",IF(AC94&gt;=AB94,"Deposit Met",IF(AC94&gt;0,"Partial Payment","Unpaid")))),"")</f>
        <v/>
      </c>
      <c r="AF94" s="54">
        <f>IFERROR(IF(OR(A94="",G94=""),"",G94-('Setup &amp; Lists'!$B$11/24)),"")</f>
        <v/>
      </c>
      <c r="AG94" s="25" t="n"/>
      <c r="AH94" s="25" t="n"/>
      <c r="AI94" s="50" t="n"/>
      <c r="AJ94" s="32">
        <f>IFERROR(IF(A94="","",IF(H94&lt;=G94,"Departure must be after arrival",IF(OR(J94="",J94&lt;1),"Rooms must be at least 1",IF(D94="","Guest name missing",IF(COUNTIF($A$2:$A$251,A94)&gt;1,"Duplicate reservation ID",IF(AND(P94="Confirmed",G94&gt;=TODAY(),G94&lt;=TODAY()+'Setup &amp; Lists'!$B$12,Q94=""),"Assign room for near-term arrival",IF(AND(G94&lt;TODAY(),P94="Confirmed"),"Past-due confirmed arrival",IF(AND(G94&gt;TODAY(),P94="Confirmed",AC94&lt;AB94),"Deposit shortfall",IF(AND(H94&lt;TODAY(),AD94&gt;0,P94&lt;&gt;"Cancelled"),"Balance remains after departure",IF(R94&lt;0,"Nightly rate is negative",IF(AC94&gt;Z94,"Deposit paid exceeds total value",""))))))))))),"")</f>
        <v/>
      </c>
    </row>
    <row r="95">
      <c r="A95" s="25" t="n"/>
      <c r="B95" s="25" t="n"/>
      <c r="C95" s="50" t="n"/>
      <c r="D95" s="25" t="n"/>
      <c r="E95" s="25" t="n"/>
      <c r="F95" s="25" t="n"/>
      <c r="G95" s="50" t="n"/>
      <c r="H95" s="50" t="n"/>
      <c r="I95" s="27">
        <f>IFERROR(IF(A95="","",MAX(0,H95-G95)),"")</f>
        <v/>
      </c>
      <c r="J95" s="28" t="n"/>
      <c r="K95" s="28" t="n"/>
      <c r="L95" s="28" t="n"/>
      <c r="M95" s="25" t="n"/>
      <c r="N95" s="25" t="n"/>
      <c r="O95" s="25" t="n"/>
      <c r="P95" s="25" t="n"/>
      <c r="Q95" s="25" t="n"/>
      <c r="R95" s="51" t="n"/>
      <c r="S95" s="52" t="n"/>
      <c r="T95" s="51" t="n"/>
      <c r="U95" s="52" t="n"/>
      <c r="V95" s="52" t="n"/>
      <c r="W95" s="53">
        <f>IFERROR(IF(A95="","",ROUND(I95*J95*R95*(1-S95),2)),"")</f>
        <v/>
      </c>
      <c r="X95" s="53">
        <f>IFERROR(IF(A95="","",ROUND(W95*IF(V95="",'Setup &amp; Lists'!$B$7,V95),2)),"")</f>
        <v/>
      </c>
      <c r="Y95" s="53">
        <f>IFERROR(IF(A95="","",ROUND((W95+IF('Setup &amp; Lists'!$B$8="Yes",T95,0)+IF('Setup &amp; Lists'!$B$9="Yes",X95,0))*IF(U95="",'Setup &amp; Lists'!$B$6,U95),2)),"")</f>
        <v/>
      </c>
      <c r="Z95" s="53">
        <f>IFERROR(IF(A95="","",ROUND(W95+T95+X95+Y95,2)),"")</f>
        <v/>
      </c>
      <c r="AA95" s="51" t="n"/>
      <c r="AB95" s="53">
        <f>IFERROR(IF(A95="","",ROUND(IF(AA95&lt;&gt;"",AA95,Z95*'Setup &amp; Lists'!$B$10),2)),"")</f>
        <v/>
      </c>
      <c r="AC95" s="51" t="n"/>
      <c r="AD95" s="53">
        <f>IFERROR(IF(A95="","",MAX(0,ROUND(Z95-AC95,2))),"")</f>
        <v/>
      </c>
      <c r="AE95" s="32">
        <f>IFERROR(IF(A95="","",IF(AD95=0,"Paid",IF(AC95&gt;=AB95,"Deposit Met",IF(AC95&gt;0,"Partial Payment","Unpaid")))),"")</f>
        <v/>
      </c>
      <c r="AF95" s="54">
        <f>IFERROR(IF(OR(A95="",G95=""),"",G95-('Setup &amp; Lists'!$B$11/24)),"")</f>
        <v/>
      </c>
      <c r="AG95" s="25" t="n"/>
      <c r="AH95" s="25" t="n"/>
      <c r="AI95" s="50" t="n"/>
      <c r="AJ95" s="32">
        <f>IFERROR(IF(A95="","",IF(H95&lt;=G95,"Departure must be after arrival",IF(OR(J95="",J95&lt;1),"Rooms must be at least 1",IF(D95="","Guest name missing",IF(COUNTIF($A$2:$A$251,A95)&gt;1,"Duplicate reservation ID",IF(AND(P95="Confirmed",G95&gt;=TODAY(),G95&lt;=TODAY()+'Setup &amp; Lists'!$B$12,Q95=""),"Assign room for near-term arrival",IF(AND(G95&lt;TODAY(),P95="Confirmed"),"Past-due confirmed arrival",IF(AND(G95&gt;TODAY(),P95="Confirmed",AC95&lt;AB95),"Deposit shortfall",IF(AND(H95&lt;TODAY(),AD95&gt;0,P95&lt;&gt;"Cancelled"),"Balance remains after departure",IF(R95&lt;0,"Nightly rate is negative",IF(AC95&gt;Z95,"Deposit paid exceeds total value",""))))))))))),"")</f>
        <v/>
      </c>
    </row>
    <row r="96">
      <c r="A96" s="25" t="n"/>
      <c r="B96" s="25" t="n"/>
      <c r="C96" s="50" t="n"/>
      <c r="D96" s="25" t="n"/>
      <c r="E96" s="25" t="n"/>
      <c r="F96" s="25" t="n"/>
      <c r="G96" s="50" t="n"/>
      <c r="H96" s="50" t="n"/>
      <c r="I96" s="27">
        <f>IFERROR(IF(A96="","",MAX(0,H96-G96)),"")</f>
        <v/>
      </c>
      <c r="J96" s="28" t="n"/>
      <c r="K96" s="28" t="n"/>
      <c r="L96" s="28" t="n"/>
      <c r="M96" s="25" t="n"/>
      <c r="N96" s="25" t="n"/>
      <c r="O96" s="25" t="n"/>
      <c r="P96" s="25" t="n"/>
      <c r="Q96" s="25" t="n"/>
      <c r="R96" s="51" t="n"/>
      <c r="S96" s="52" t="n"/>
      <c r="T96" s="51" t="n"/>
      <c r="U96" s="52" t="n"/>
      <c r="V96" s="52" t="n"/>
      <c r="W96" s="53">
        <f>IFERROR(IF(A96="","",ROUND(I96*J96*R96*(1-S96),2)),"")</f>
        <v/>
      </c>
      <c r="X96" s="53">
        <f>IFERROR(IF(A96="","",ROUND(W96*IF(V96="",'Setup &amp; Lists'!$B$7,V96),2)),"")</f>
        <v/>
      </c>
      <c r="Y96" s="53">
        <f>IFERROR(IF(A96="","",ROUND((W96+IF('Setup &amp; Lists'!$B$8="Yes",T96,0)+IF('Setup &amp; Lists'!$B$9="Yes",X96,0))*IF(U96="",'Setup &amp; Lists'!$B$6,U96),2)),"")</f>
        <v/>
      </c>
      <c r="Z96" s="53">
        <f>IFERROR(IF(A96="","",ROUND(W96+T96+X96+Y96,2)),"")</f>
        <v/>
      </c>
      <c r="AA96" s="51" t="n"/>
      <c r="AB96" s="53">
        <f>IFERROR(IF(A96="","",ROUND(IF(AA96&lt;&gt;"",AA96,Z96*'Setup &amp; Lists'!$B$10),2)),"")</f>
        <v/>
      </c>
      <c r="AC96" s="51" t="n"/>
      <c r="AD96" s="53">
        <f>IFERROR(IF(A96="","",MAX(0,ROUND(Z96-AC96,2))),"")</f>
        <v/>
      </c>
      <c r="AE96" s="32">
        <f>IFERROR(IF(A96="","",IF(AD96=0,"Paid",IF(AC96&gt;=AB96,"Deposit Met",IF(AC96&gt;0,"Partial Payment","Unpaid")))),"")</f>
        <v/>
      </c>
      <c r="AF96" s="54">
        <f>IFERROR(IF(OR(A96="",G96=""),"",G96-('Setup &amp; Lists'!$B$11/24)),"")</f>
        <v/>
      </c>
      <c r="AG96" s="25" t="n"/>
      <c r="AH96" s="25" t="n"/>
      <c r="AI96" s="50" t="n"/>
      <c r="AJ96" s="32">
        <f>IFERROR(IF(A96="","",IF(H96&lt;=G96,"Departure must be after arrival",IF(OR(J96="",J96&lt;1),"Rooms must be at least 1",IF(D96="","Guest name missing",IF(COUNTIF($A$2:$A$251,A96)&gt;1,"Duplicate reservation ID",IF(AND(P96="Confirmed",G96&gt;=TODAY(),G96&lt;=TODAY()+'Setup &amp; Lists'!$B$12,Q96=""),"Assign room for near-term arrival",IF(AND(G96&lt;TODAY(),P96="Confirmed"),"Past-due confirmed arrival",IF(AND(G96&gt;TODAY(),P96="Confirmed",AC96&lt;AB96),"Deposit shortfall",IF(AND(H96&lt;TODAY(),AD96&gt;0,P96&lt;&gt;"Cancelled"),"Balance remains after departure",IF(R96&lt;0,"Nightly rate is negative",IF(AC96&gt;Z96,"Deposit paid exceeds total value",""))))))))))),"")</f>
        <v/>
      </c>
    </row>
    <row r="97">
      <c r="A97" s="25" t="n"/>
      <c r="B97" s="25" t="n"/>
      <c r="C97" s="50" t="n"/>
      <c r="D97" s="25" t="n"/>
      <c r="E97" s="25" t="n"/>
      <c r="F97" s="25" t="n"/>
      <c r="G97" s="50" t="n"/>
      <c r="H97" s="50" t="n"/>
      <c r="I97" s="27">
        <f>IFERROR(IF(A97="","",MAX(0,H97-G97)),"")</f>
        <v/>
      </c>
      <c r="J97" s="28" t="n"/>
      <c r="K97" s="28" t="n"/>
      <c r="L97" s="28" t="n"/>
      <c r="M97" s="25" t="n"/>
      <c r="N97" s="25" t="n"/>
      <c r="O97" s="25" t="n"/>
      <c r="P97" s="25" t="n"/>
      <c r="Q97" s="25" t="n"/>
      <c r="R97" s="51" t="n"/>
      <c r="S97" s="52" t="n"/>
      <c r="T97" s="51" t="n"/>
      <c r="U97" s="52" t="n"/>
      <c r="V97" s="52" t="n"/>
      <c r="W97" s="53">
        <f>IFERROR(IF(A97="","",ROUND(I97*J97*R97*(1-S97),2)),"")</f>
        <v/>
      </c>
      <c r="X97" s="53">
        <f>IFERROR(IF(A97="","",ROUND(W97*IF(V97="",'Setup &amp; Lists'!$B$7,V97),2)),"")</f>
        <v/>
      </c>
      <c r="Y97" s="53">
        <f>IFERROR(IF(A97="","",ROUND((W97+IF('Setup &amp; Lists'!$B$8="Yes",T97,0)+IF('Setup &amp; Lists'!$B$9="Yes",X97,0))*IF(U97="",'Setup &amp; Lists'!$B$6,U97),2)),"")</f>
        <v/>
      </c>
      <c r="Z97" s="53">
        <f>IFERROR(IF(A97="","",ROUND(W97+T97+X97+Y97,2)),"")</f>
        <v/>
      </c>
      <c r="AA97" s="51" t="n"/>
      <c r="AB97" s="53">
        <f>IFERROR(IF(A97="","",ROUND(IF(AA97&lt;&gt;"",AA97,Z97*'Setup &amp; Lists'!$B$10),2)),"")</f>
        <v/>
      </c>
      <c r="AC97" s="51" t="n"/>
      <c r="AD97" s="53">
        <f>IFERROR(IF(A97="","",MAX(0,ROUND(Z97-AC97,2))),"")</f>
        <v/>
      </c>
      <c r="AE97" s="32">
        <f>IFERROR(IF(A97="","",IF(AD97=0,"Paid",IF(AC97&gt;=AB97,"Deposit Met",IF(AC97&gt;0,"Partial Payment","Unpaid")))),"")</f>
        <v/>
      </c>
      <c r="AF97" s="54">
        <f>IFERROR(IF(OR(A97="",G97=""),"",G97-('Setup &amp; Lists'!$B$11/24)),"")</f>
        <v/>
      </c>
      <c r="AG97" s="25" t="n"/>
      <c r="AH97" s="25" t="n"/>
      <c r="AI97" s="50" t="n"/>
      <c r="AJ97" s="32">
        <f>IFERROR(IF(A97="","",IF(H97&lt;=G97,"Departure must be after arrival",IF(OR(J97="",J97&lt;1),"Rooms must be at least 1",IF(D97="","Guest name missing",IF(COUNTIF($A$2:$A$251,A97)&gt;1,"Duplicate reservation ID",IF(AND(P97="Confirmed",G97&gt;=TODAY(),G97&lt;=TODAY()+'Setup &amp; Lists'!$B$12,Q97=""),"Assign room for near-term arrival",IF(AND(G97&lt;TODAY(),P97="Confirmed"),"Past-due confirmed arrival",IF(AND(G97&gt;TODAY(),P97="Confirmed",AC97&lt;AB97),"Deposit shortfall",IF(AND(H97&lt;TODAY(),AD97&gt;0,P97&lt;&gt;"Cancelled"),"Balance remains after departure",IF(R97&lt;0,"Nightly rate is negative",IF(AC97&gt;Z97,"Deposit paid exceeds total value",""))))))))))),"")</f>
        <v/>
      </c>
    </row>
    <row r="98">
      <c r="A98" s="25" t="n"/>
      <c r="B98" s="25" t="n"/>
      <c r="C98" s="50" t="n"/>
      <c r="D98" s="25" t="n"/>
      <c r="E98" s="25" t="n"/>
      <c r="F98" s="25" t="n"/>
      <c r="G98" s="50" t="n"/>
      <c r="H98" s="50" t="n"/>
      <c r="I98" s="27">
        <f>IFERROR(IF(A98="","",MAX(0,H98-G98)),"")</f>
        <v/>
      </c>
      <c r="J98" s="28" t="n"/>
      <c r="K98" s="28" t="n"/>
      <c r="L98" s="28" t="n"/>
      <c r="M98" s="25" t="n"/>
      <c r="N98" s="25" t="n"/>
      <c r="O98" s="25" t="n"/>
      <c r="P98" s="25" t="n"/>
      <c r="Q98" s="25" t="n"/>
      <c r="R98" s="51" t="n"/>
      <c r="S98" s="52" t="n"/>
      <c r="T98" s="51" t="n"/>
      <c r="U98" s="52" t="n"/>
      <c r="V98" s="52" t="n"/>
      <c r="W98" s="53">
        <f>IFERROR(IF(A98="","",ROUND(I98*J98*R98*(1-S98),2)),"")</f>
        <v/>
      </c>
      <c r="X98" s="53">
        <f>IFERROR(IF(A98="","",ROUND(W98*IF(V98="",'Setup &amp; Lists'!$B$7,V98),2)),"")</f>
        <v/>
      </c>
      <c r="Y98" s="53">
        <f>IFERROR(IF(A98="","",ROUND((W98+IF('Setup &amp; Lists'!$B$8="Yes",T98,0)+IF('Setup &amp; Lists'!$B$9="Yes",X98,0))*IF(U98="",'Setup &amp; Lists'!$B$6,U98),2)),"")</f>
        <v/>
      </c>
      <c r="Z98" s="53">
        <f>IFERROR(IF(A98="","",ROUND(W98+T98+X98+Y98,2)),"")</f>
        <v/>
      </c>
      <c r="AA98" s="51" t="n"/>
      <c r="AB98" s="53">
        <f>IFERROR(IF(A98="","",ROUND(IF(AA98&lt;&gt;"",AA98,Z98*'Setup &amp; Lists'!$B$10),2)),"")</f>
        <v/>
      </c>
      <c r="AC98" s="51" t="n"/>
      <c r="AD98" s="53">
        <f>IFERROR(IF(A98="","",MAX(0,ROUND(Z98-AC98,2))),"")</f>
        <v/>
      </c>
      <c r="AE98" s="32">
        <f>IFERROR(IF(A98="","",IF(AD98=0,"Paid",IF(AC98&gt;=AB98,"Deposit Met",IF(AC98&gt;0,"Partial Payment","Unpaid")))),"")</f>
        <v/>
      </c>
      <c r="AF98" s="54">
        <f>IFERROR(IF(OR(A98="",G98=""),"",G98-('Setup &amp; Lists'!$B$11/24)),"")</f>
        <v/>
      </c>
      <c r="AG98" s="25" t="n"/>
      <c r="AH98" s="25" t="n"/>
      <c r="AI98" s="50" t="n"/>
      <c r="AJ98" s="32">
        <f>IFERROR(IF(A98="","",IF(H98&lt;=G98,"Departure must be after arrival",IF(OR(J98="",J98&lt;1),"Rooms must be at least 1",IF(D98="","Guest name missing",IF(COUNTIF($A$2:$A$251,A98)&gt;1,"Duplicate reservation ID",IF(AND(P98="Confirmed",G98&gt;=TODAY(),G98&lt;=TODAY()+'Setup &amp; Lists'!$B$12,Q98=""),"Assign room for near-term arrival",IF(AND(G98&lt;TODAY(),P98="Confirmed"),"Past-due confirmed arrival",IF(AND(G98&gt;TODAY(),P98="Confirmed",AC98&lt;AB98),"Deposit shortfall",IF(AND(H98&lt;TODAY(),AD98&gt;0,P98&lt;&gt;"Cancelled"),"Balance remains after departure",IF(R98&lt;0,"Nightly rate is negative",IF(AC98&gt;Z98,"Deposit paid exceeds total value",""))))))))))),"")</f>
        <v/>
      </c>
    </row>
    <row r="99">
      <c r="A99" s="25" t="n"/>
      <c r="B99" s="25" t="n"/>
      <c r="C99" s="50" t="n"/>
      <c r="D99" s="25" t="n"/>
      <c r="E99" s="25" t="n"/>
      <c r="F99" s="25" t="n"/>
      <c r="G99" s="50" t="n"/>
      <c r="H99" s="50" t="n"/>
      <c r="I99" s="27">
        <f>IFERROR(IF(A99="","",MAX(0,H99-G99)),"")</f>
        <v/>
      </c>
      <c r="J99" s="28" t="n"/>
      <c r="K99" s="28" t="n"/>
      <c r="L99" s="28" t="n"/>
      <c r="M99" s="25" t="n"/>
      <c r="N99" s="25" t="n"/>
      <c r="O99" s="25" t="n"/>
      <c r="P99" s="25" t="n"/>
      <c r="Q99" s="25" t="n"/>
      <c r="R99" s="51" t="n"/>
      <c r="S99" s="52" t="n"/>
      <c r="T99" s="51" t="n"/>
      <c r="U99" s="52" t="n"/>
      <c r="V99" s="52" t="n"/>
      <c r="W99" s="53">
        <f>IFERROR(IF(A99="","",ROUND(I99*J99*R99*(1-S99),2)),"")</f>
        <v/>
      </c>
      <c r="X99" s="53">
        <f>IFERROR(IF(A99="","",ROUND(W99*IF(V99="",'Setup &amp; Lists'!$B$7,V99),2)),"")</f>
        <v/>
      </c>
      <c r="Y99" s="53">
        <f>IFERROR(IF(A99="","",ROUND((W99+IF('Setup &amp; Lists'!$B$8="Yes",T99,0)+IF('Setup &amp; Lists'!$B$9="Yes",X99,0))*IF(U99="",'Setup &amp; Lists'!$B$6,U99),2)),"")</f>
        <v/>
      </c>
      <c r="Z99" s="53">
        <f>IFERROR(IF(A99="","",ROUND(W99+T99+X99+Y99,2)),"")</f>
        <v/>
      </c>
      <c r="AA99" s="51" t="n"/>
      <c r="AB99" s="53">
        <f>IFERROR(IF(A99="","",ROUND(IF(AA99&lt;&gt;"",AA99,Z99*'Setup &amp; Lists'!$B$10),2)),"")</f>
        <v/>
      </c>
      <c r="AC99" s="51" t="n"/>
      <c r="AD99" s="53">
        <f>IFERROR(IF(A99="","",MAX(0,ROUND(Z99-AC99,2))),"")</f>
        <v/>
      </c>
      <c r="AE99" s="32">
        <f>IFERROR(IF(A99="","",IF(AD99=0,"Paid",IF(AC99&gt;=AB99,"Deposit Met",IF(AC99&gt;0,"Partial Payment","Unpaid")))),"")</f>
        <v/>
      </c>
      <c r="AF99" s="54">
        <f>IFERROR(IF(OR(A99="",G99=""),"",G99-('Setup &amp; Lists'!$B$11/24)),"")</f>
        <v/>
      </c>
      <c r="AG99" s="25" t="n"/>
      <c r="AH99" s="25" t="n"/>
      <c r="AI99" s="50" t="n"/>
      <c r="AJ99" s="32">
        <f>IFERROR(IF(A99="","",IF(H99&lt;=G99,"Departure must be after arrival",IF(OR(J99="",J99&lt;1),"Rooms must be at least 1",IF(D99="","Guest name missing",IF(COUNTIF($A$2:$A$251,A99)&gt;1,"Duplicate reservation ID",IF(AND(P99="Confirmed",G99&gt;=TODAY(),G99&lt;=TODAY()+'Setup &amp; Lists'!$B$12,Q99=""),"Assign room for near-term arrival",IF(AND(G99&lt;TODAY(),P99="Confirmed"),"Past-due confirmed arrival",IF(AND(G99&gt;TODAY(),P99="Confirmed",AC99&lt;AB99),"Deposit shortfall",IF(AND(H99&lt;TODAY(),AD99&gt;0,P99&lt;&gt;"Cancelled"),"Balance remains after departure",IF(R99&lt;0,"Nightly rate is negative",IF(AC99&gt;Z99,"Deposit paid exceeds total value",""))))))))))),"")</f>
        <v/>
      </c>
    </row>
    <row r="100">
      <c r="A100" s="25" t="n"/>
      <c r="B100" s="25" t="n"/>
      <c r="C100" s="50" t="n"/>
      <c r="D100" s="25" t="n"/>
      <c r="E100" s="25" t="n"/>
      <c r="F100" s="25" t="n"/>
      <c r="G100" s="50" t="n"/>
      <c r="H100" s="50" t="n"/>
      <c r="I100" s="27">
        <f>IFERROR(IF(A100="","",MAX(0,H100-G100)),"")</f>
        <v/>
      </c>
      <c r="J100" s="28" t="n"/>
      <c r="K100" s="28" t="n"/>
      <c r="L100" s="28" t="n"/>
      <c r="M100" s="25" t="n"/>
      <c r="N100" s="25" t="n"/>
      <c r="O100" s="25" t="n"/>
      <c r="P100" s="25" t="n"/>
      <c r="Q100" s="25" t="n"/>
      <c r="R100" s="51" t="n"/>
      <c r="S100" s="52" t="n"/>
      <c r="T100" s="51" t="n"/>
      <c r="U100" s="52" t="n"/>
      <c r="V100" s="52" t="n"/>
      <c r="W100" s="53">
        <f>IFERROR(IF(A100="","",ROUND(I100*J100*R100*(1-S100),2)),"")</f>
        <v/>
      </c>
      <c r="X100" s="53">
        <f>IFERROR(IF(A100="","",ROUND(W100*IF(V100="",'Setup &amp; Lists'!$B$7,V100),2)),"")</f>
        <v/>
      </c>
      <c r="Y100" s="53">
        <f>IFERROR(IF(A100="","",ROUND((W100+IF('Setup &amp; Lists'!$B$8="Yes",T100,0)+IF('Setup &amp; Lists'!$B$9="Yes",X100,0))*IF(U100="",'Setup &amp; Lists'!$B$6,U100),2)),"")</f>
        <v/>
      </c>
      <c r="Z100" s="53">
        <f>IFERROR(IF(A100="","",ROUND(W100+T100+X100+Y100,2)),"")</f>
        <v/>
      </c>
      <c r="AA100" s="51" t="n"/>
      <c r="AB100" s="53">
        <f>IFERROR(IF(A100="","",ROUND(IF(AA100&lt;&gt;"",AA100,Z100*'Setup &amp; Lists'!$B$10),2)),"")</f>
        <v/>
      </c>
      <c r="AC100" s="51" t="n"/>
      <c r="AD100" s="53">
        <f>IFERROR(IF(A100="","",MAX(0,ROUND(Z100-AC100,2))),"")</f>
        <v/>
      </c>
      <c r="AE100" s="32">
        <f>IFERROR(IF(A100="","",IF(AD100=0,"Paid",IF(AC100&gt;=AB100,"Deposit Met",IF(AC100&gt;0,"Partial Payment","Unpaid")))),"")</f>
        <v/>
      </c>
      <c r="AF100" s="54">
        <f>IFERROR(IF(OR(A100="",G100=""),"",G100-('Setup &amp; Lists'!$B$11/24)),"")</f>
        <v/>
      </c>
      <c r="AG100" s="25" t="n"/>
      <c r="AH100" s="25" t="n"/>
      <c r="AI100" s="50" t="n"/>
      <c r="AJ100" s="32">
        <f>IFERROR(IF(A100="","",IF(H100&lt;=G100,"Departure must be after arrival",IF(OR(J100="",J100&lt;1),"Rooms must be at least 1",IF(D100="","Guest name missing",IF(COUNTIF($A$2:$A$251,A100)&gt;1,"Duplicate reservation ID",IF(AND(P100="Confirmed",G100&gt;=TODAY(),G100&lt;=TODAY()+'Setup &amp; Lists'!$B$12,Q100=""),"Assign room for near-term arrival",IF(AND(G100&lt;TODAY(),P100="Confirmed"),"Past-due confirmed arrival",IF(AND(G100&gt;TODAY(),P100="Confirmed",AC100&lt;AB100),"Deposit shortfall",IF(AND(H100&lt;TODAY(),AD100&gt;0,P100&lt;&gt;"Cancelled"),"Balance remains after departure",IF(R100&lt;0,"Nightly rate is negative",IF(AC100&gt;Z100,"Deposit paid exceeds total value",""))))))))))),"")</f>
        <v/>
      </c>
    </row>
    <row r="101">
      <c r="A101" s="25" t="n"/>
      <c r="B101" s="25" t="n"/>
      <c r="C101" s="50" t="n"/>
      <c r="D101" s="25" t="n"/>
      <c r="E101" s="25" t="n"/>
      <c r="F101" s="25" t="n"/>
      <c r="G101" s="50" t="n"/>
      <c r="H101" s="50" t="n"/>
      <c r="I101" s="27">
        <f>IFERROR(IF(A101="","",MAX(0,H101-G101)),"")</f>
        <v/>
      </c>
      <c r="J101" s="28" t="n"/>
      <c r="K101" s="28" t="n"/>
      <c r="L101" s="28" t="n"/>
      <c r="M101" s="25" t="n"/>
      <c r="N101" s="25" t="n"/>
      <c r="O101" s="25" t="n"/>
      <c r="P101" s="25" t="n"/>
      <c r="Q101" s="25" t="n"/>
      <c r="R101" s="51" t="n"/>
      <c r="S101" s="52" t="n"/>
      <c r="T101" s="51" t="n"/>
      <c r="U101" s="52" t="n"/>
      <c r="V101" s="52" t="n"/>
      <c r="W101" s="53">
        <f>IFERROR(IF(A101="","",ROUND(I101*J101*R101*(1-S101),2)),"")</f>
        <v/>
      </c>
      <c r="X101" s="53">
        <f>IFERROR(IF(A101="","",ROUND(W101*IF(V101="",'Setup &amp; Lists'!$B$7,V101),2)),"")</f>
        <v/>
      </c>
      <c r="Y101" s="53">
        <f>IFERROR(IF(A101="","",ROUND((W101+IF('Setup &amp; Lists'!$B$8="Yes",T101,0)+IF('Setup &amp; Lists'!$B$9="Yes",X101,0))*IF(U101="",'Setup &amp; Lists'!$B$6,U101),2)),"")</f>
        <v/>
      </c>
      <c r="Z101" s="53">
        <f>IFERROR(IF(A101="","",ROUND(W101+T101+X101+Y101,2)),"")</f>
        <v/>
      </c>
      <c r="AA101" s="51" t="n"/>
      <c r="AB101" s="53">
        <f>IFERROR(IF(A101="","",ROUND(IF(AA101&lt;&gt;"",AA101,Z101*'Setup &amp; Lists'!$B$10),2)),"")</f>
        <v/>
      </c>
      <c r="AC101" s="51" t="n"/>
      <c r="AD101" s="53">
        <f>IFERROR(IF(A101="","",MAX(0,ROUND(Z101-AC101,2))),"")</f>
        <v/>
      </c>
      <c r="AE101" s="32">
        <f>IFERROR(IF(A101="","",IF(AD101=0,"Paid",IF(AC101&gt;=AB101,"Deposit Met",IF(AC101&gt;0,"Partial Payment","Unpaid")))),"")</f>
        <v/>
      </c>
      <c r="AF101" s="54">
        <f>IFERROR(IF(OR(A101="",G101=""),"",G101-('Setup &amp; Lists'!$B$11/24)),"")</f>
        <v/>
      </c>
      <c r="AG101" s="25" t="n"/>
      <c r="AH101" s="25" t="n"/>
      <c r="AI101" s="50" t="n"/>
      <c r="AJ101" s="32">
        <f>IFERROR(IF(A101="","",IF(H101&lt;=G101,"Departure must be after arrival",IF(OR(J101="",J101&lt;1),"Rooms must be at least 1",IF(D101="","Guest name missing",IF(COUNTIF($A$2:$A$251,A101)&gt;1,"Duplicate reservation ID",IF(AND(P101="Confirmed",G101&gt;=TODAY(),G101&lt;=TODAY()+'Setup &amp; Lists'!$B$12,Q101=""),"Assign room for near-term arrival",IF(AND(G101&lt;TODAY(),P101="Confirmed"),"Past-due confirmed arrival",IF(AND(G101&gt;TODAY(),P101="Confirmed",AC101&lt;AB101),"Deposit shortfall",IF(AND(H101&lt;TODAY(),AD101&gt;0,P101&lt;&gt;"Cancelled"),"Balance remains after departure",IF(R101&lt;0,"Nightly rate is negative",IF(AC101&gt;Z101,"Deposit paid exceeds total value",""))))))))))),"")</f>
        <v/>
      </c>
    </row>
    <row r="102">
      <c r="A102" s="25" t="n"/>
      <c r="B102" s="25" t="n"/>
      <c r="C102" s="50" t="n"/>
      <c r="D102" s="25" t="n"/>
      <c r="E102" s="25" t="n"/>
      <c r="F102" s="25" t="n"/>
      <c r="G102" s="50" t="n"/>
      <c r="H102" s="50" t="n"/>
      <c r="I102" s="27">
        <f>IFERROR(IF(A102="","",MAX(0,H102-G102)),"")</f>
        <v/>
      </c>
      <c r="J102" s="28" t="n"/>
      <c r="K102" s="28" t="n"/>
      <c r="L102" s="28" t="n"/>
      <c r="M102" s="25" t="n"/>
      <c r="N102" s="25" t="n"/>
      <c r="O102" s="25" t="n"/>
      <c r="P102" s="25" t="n"/>
      <c r="Q102" s="25" t="n"/>
      <c r="R102" s="51" t="n"/>
      <c r="S102" s="52" t="n"/>
      <c r="T102" s="51" t="n"/>
      <c r="U102" s="52" t="n"/>
      <c r="V102" s="52" t="n"/>
      <c r="W102" s="53">
        <f>IFERROR(IF(A102="","",ROUND(I102*J102*R102*(1-S102),2)),"")</f>
        <v/>
      </c>
      <c r="X102" s="53">
        <f>IFERROR(IF(A102="","",ROUND(W102*IF(V102="",'Setup &amp; Lists'!$B$7,V102),2)),"")</f>
        <v/>
      </c>
      <c r="Y102" s="53">
        <f>IFERROR(IF(A102="","",ROUND((W102+IF('Setup &amp; Lists'!$B$8="Yes",T102,0)+IF('Setup &amp; Lists'!$B$9="Yes",X102,0))*IF(U102="",'Setup &amp; Lists'!$B$6,U102),2)),"")</f>
        <v/>
      </c>
      <c r="Z102" s="53">
        <f>IFERROR(IF(A102="","",ROUND(W102+T102+X102+Y102,2)),"")</f>
        <v/>
      </c>
      <c r="AA102" s="51" t="n"/>
      <c r="AB102" s="53">
        <f>IFERROR(IF(A102="","",ROUND(IF(AA102&lt;&gt;"",AA102,Z102*'Setup &amp; Lists'!$B$10),2)),"")</f>
        <v/>
      </c>
      <c r="AC102" s="51" t="n"/>
      <c r="AD102" s="53">
        <f>IFERROR(IF(A102="","",MAX(0,ROUND(Z102-AC102,2))),"")</f>
        <v/>
      </c>
      <c r="AE102" s="32">
        <f>IFERROR(IF(A102="","",IF(AD102=0,"Paid",IF(AC102&gt;=AB102,"Deposit Met",IF(AC102&gt;0,"Partial Payment","Unpaid")))),"")</f>
        <v/>
      </c>
      <c r="AF102" s="54">
        <f>IFERROR(IF(OR(A102="",G102=""),"",G102-('Setup &amp; Lists'!$B$11/24)),"")</f>
        <v/>
      </c>
      <c r="AG102" s="25" t="n"/>
      <c r="AH102" s="25" t="n"/>
      <c r="AI102" s="50" t="n"/>
      <c r="AJ102" s="32">
        <f>IFERROR(IF(A102="","",IF(H102&lt;=G102,"Departure must be after arrival",IF(OR(J102="",J102&lt;1),"Rooms must be at least 1",IF(D102="","Guest name missing",IF(COUNTIF($A$2:$A$251,A102)&gt;1,"Duplicate reservation ID",IF(AND(P102="Confirmed",G102&gt;=TODAY(),G102&lt;=TODAY()+'Setup &amp; Lists'!$B$12,Q102=""),"Assign room for near-term arrival",IF(AND(G102&lt;TODAY(),P102="Confirmed"),"Past-due confirmed arrival",IF(AND(G102&gt;TODAY(),P102="Confirmed",AC102&lt;AB102),"Deposit shortfall",IF(AND(H102&lt;TODAY(),AD102&gt;0,P102&lt;&gt;"Cancelled"),"Balance remains after departure",IF(R102&lt;0,"Nightly rate is negative",IF(AC102&gt;Z102,"Deposit paid exceeds total value",""))))))))))),"")</f>
        <v/>
      </c>
    </row>
    <row r="103">
      <c r="A103" s="25" t="n"/>
      <c r="B103" s="25" t="n"/>
      <c r="C103" s="50" t="n"/>
      <c r="D103" s="25" t="n"/>
      <c r="E103" s="25" t="n"/>
      <c r="F103" s="25" t="n"/>
      <c r="G103" s="50" t="n"/>
      <c r="H103" s="50" t="n"/>
      <c r="I103" s="27">
        <f>IFERROR(IF(A103="","",MAX(0,H103-G103)),"")</f>
        <v/>
      </c>
      <c r="J103" s="28" t="n"/>
      <c r="K103" s="28" t="n"/>
      <c r="L103" s="28" t="n"/>
      <c r="M103" s="25" t="n"/>
      <c r="N103" s="25" t="n"/>
      <c r="O103" s="25" t="n"/>
      <c r="P103" s="25" t="n"/>
      <c r="Q103" s="25" t="n"/>
      <c r="R103" s="51" t="n"/>
      <c r="S103" s="52" t="n"/>
      <c r="T103" s="51" t="n"/>
      <c r="U103" s="52" t="n"/>
      <c r="V103" s="52" t="n"/>
      <c r="W103" s="53">
        <f>IFERROR(IF(A103="","",ROUND(I103*J103*R103*(1-S103),2)),"")</f>
        <v/>
      </c>
      <c r="X103" s="53">
        <f>IFERROR(IF(A103="","",ROUND(W103*IF(V103="",'Setup &amp; Lists'!$B$7,V103),2)),"")</f>
        <v/>
      </c>
      <c r="Y103" s="53">
        <f>IFERROR(IF(A103="","",ROUND((W103+IF('Setup &amp; Lists'!$B$8="Yes",T103,0)+IF('Setup &amp; Lists'!$B$9="Yes",X103,0))*IF(U103="",'Setup &amp; Lists'!$B$6,U103),2)),"")</f>
        <v/>
      </c>
      <c r="Z103" s="53">
        <f>IFERROR(IF(A103="","",ROUND(W103+T103+X103+Y103,2)),"")</f>
        <v/>
      </c>
      <c r="AA103" s="51" t="n"/>
      <c r="AB103" s="53">
        <f>IFERROR(IF(A103="","",ROUND(IF(AA103&lt;&gt;"",AA103,Z103*'Setup &amp; Lists'!$B$10),2)),"")</f>
        <v/>
      </c>
      <c r="AC103" s="51" t="n"/>
      <c r="AD103" s="53">
        <f>IFERROR(IF(A103="","",MAX(0,ROUND(Z103-AC103,2))),"")</f>
        <v/>
      </c>
      <c r="AE103" s="32">
        <f>IFERROR(IF(A103="","",IF(AD103=0,"Paid",IF(AC103&gt;=AB103,"Deposit Met",IF(AC103&gt;0,"Partial Payment","Unpaid")))),"")</f>
        <v/>
      </c>
      <c r="AF103" s="54">
        <f>IFERROR(IF(OR(A103="",G103=""),"",G103-('Setup &amp; Lists'!$B$11/24)),"")</f>
        <v/>
      </c>
      <c r="AG103" s="25" t="n"/>
      <c r="AH103" s="25" t="n"/>
      <c r="AI103" s="50" t="n"/>
      <c r="AJ103" s="32">
        <f>IFERROR(IF(A103="","",IF(H103&lt;=G103,"Departure must be after arrival",IF(OR(J103="",J103&lt;1),"Rooms must be at least 1",IF(D103="","Guest name missing",IF(COUNTIF($A$2:$A$251,A103)&gt;1,"Duplicate reservation ID",IF(AND(P103="Confirmed",G103&gt;=TODAY(),G103&lt;=TODAY()+'Setup &amp; Lists'!$B$12,Q103=""),"Assign room for near-term arrival",IF(AND(G103&lt;TODAY(),P103="Confirmed"),"Past-due confirmed arrival",IF(AND(G103&gt;TODAY(),P103="Confirmed",AC103&lt;AB103),"Deposit shortfall",IF(AND(H103&lt;TODAY(),AD103&gt;0,P103&lt;&gt;"Cancelled"),"Balance remains after departure",IF(R103&lt;0,"Nightly rate is negative",IF(AC103&gt;Z103,"Deposit paid exceeds total value",""))))))))))),"")</f>
        <v/>
      </c>
    </row>
    <row r="104">
      <c r="A104" s="25" t="n"/>
      <c r="B104" s="25" t="n"/>
      <c r="C104" s="50" t="n"/>
      <c r="D104" s="25" t="n"/>
      <c r="E104" s="25" t="n"/>
      <c r="F104" s="25" t="n"/>
      <c r="G104" s="50" t="n"/>
      <c r="H104" s="50" t="n"/>
      <c r="I104" s="27">
        <f>IFERROR(IF(A104="","",MAX(0,H104-G104)),"")</f>
        <v/>
      </c>
      <c r="J104" s="28" t="n"/>
      <c r="K104" s="28" t="n"/>
      <c r="L104" s="28" t="n"/>
      <c r="M104" s="25" t="n"/>
      <c r="N104" s="25" t="n"/>
      <c r="O104" s="25" t="n"/>
      <c r="P104" s="25" t="n"/>
      <c r="Q104" s="25" t="n"/>
      <c r="R104" s="51" t="n"/>
      <c r="S104" s="52" t="n"/>
      <c r="T104" s="51" t="n"/>
      <c r="U104" s="52" t="n"/>
      <c r="V104" s="52" t="n"/>
      <c r="W104" s="53">
        <f>IFERROR(IF(A104="","",ROUND(I104*J104*R104*(1-S104),2)),"")</f>
        <v/>
      </c>
      <c r="X104" s="53">
        <f>IFERROR(IF(A104="","",ROUND(W104*IF(V104="",'Setup &amp; Lists'!$B$7,V104),2)),"")</f>
        <v/>
      </c>
      <c r="Y104" s="53">
        <f>IFERROR(IF(A104="","",ROUND((W104+IF('Setup &amp; Lists'!$B$8="Yes",T104,0)+IF('Setup &amp; Lists'!$B$9="Yes",X104,0))*IF(U104="",'Setup &amp; Lists'!$B$6,U104),2)),"")</f>
        <v/>
      </c>
      <c r="Z104" s="53">
        <f>IFERROR(IF(A104="","",ROUND(W104+T104+X104+Y104,2)),"")</f>
        <v/>
      </c>
      <c r="AA104" s="51" t="n"/>
      <c r="AB104" s="53">
        <f>IFERROR(IF(A104="","",ROUND(IF(AA104&lt;&gt;"",AA104,Z104*'Setup &amp; Lists'!$B$10),2)),"")</f>
        <v/>
      </c>
      <c r="AC104" s="51" t="n"/>
      <c r="AD104" s="53">
        <f>IFERROR(IF(A104="","",MAX(0,ROUND(Z104-AC104,2))),"")</f>
        <v/>
      </c>
      <c r="AE104" s="32">
        <f>IFERROR(IF(A104="","",IF(AD104=0,"Paid",IF(AC104&gt;=AB104,"Deposit Met",IF(AC104&gt;0,"Partial Payment","Unpaid")))),"")</f>
        <v/>
      </c>
      <c r="AF104" s="54">
        <f>IFERROR(IF(OR(A104="",G104=""),"",G104-('Setup &amp; Lists'!$B$11/24)),"")</f>
        <v/>
      </c>
      <c r="AG104" s="25" t="n"/>
      <c r="AH104" s="25" t="n"/>
      <c r="AI104" s="50" t="n"/>
      <c r="AJ104" s="32">
        <f>IFERROR(IF(A104="","",IF(H104&lt;=G104,"Departure must be after arrival",IF(OR(J104="",J104&lt;1),"Rooms must be at least 1",IF(D104="","Guest name missing",IF(COUNTIF($A$2:$A$251,A104)&gt;1,"Duplicate reservation ID",IF(AND(P104="Confirmed",G104&gt;=TODAY(),G104&lt;=TODAY()+'Setup &amp; Lists'!$B$12,Q104=""),"Assign room for near-term arrival",IF(AND(G104&lt;TODAY(),P104="Confirmed"),"Past-due confirmed arrival",IF(AND(G104&gt;TODAY(),P104="Confirmed",AC104&lt;AB104),"Deposit shortfall",IF(AND(H104&lt;TODAY(),AD104&gt;0,P104&lt;&gt;"Cancelled"),"Balance remains after departure",IF(R104&lt;0,"Nightly rate is negative",IF(AC104&gt;Z104,"Deposit paid exceeds total value",""))))))))))),"")</f>
        <v/>
      </c>
    </row>
    <row r="105">
      <c r="A105" s="25" t="n"/>
      <c r="B105" s="25" t="n"/>
      <c r="C105" s="50" t="n"/>
      <c r="D105" s="25" t="n"/>
      <c r="E105" s="25" t="n"/>
      <c r="F105" s="25" t="n"/>
      <c r="G105" s="50" t="n"/>
      <c r="H105" s="50" t="n"/>
      <c r="I105" s="27">
        <f>IFERROR(IF(A105="","",MAX(0,H105-G105)),"")</f>
        <v/>
      </c>
      <c r="J105" s="28" t="n"/>
      <c r="K105" s="28" t="n"/>
      <c r="L105" s="28" t="n"/>
      <c r="M105" s="25" t="n"/>
      <c r="N105" s="25" t="n"/>
      <c r="O105" s="25" t="n"/>
      <c r="P105" s="25" t="n"/>
      <c r="Q105" s="25" t="n"/>
      <c r="R105" s="51" t="n"/>
      <c r="S105" s="52" t="n"/>
      <c r="T105" s="51" t="n"/>
      <c r="U105" s="52" t="n"/>
      <c r="V105" s="52" t="n"/>
      <c r="W105" s="53">
        <f>IFERROR(IF(A105="","",ROUND(I105*J105*R105*(1-S105),2)),"")</f>
        <v/>
      </c>
      <c r="X105" s="53">
        <f>IFERROR(IF(A105="","",ROUND(W105*IF(V105="",'Setup &amp; Lists'!$B$7,V105),2)),"")</f>
        <v/>
      </c>
      <c r="Y105" s="53">
        <f>IFERROR(IF(A105="","",ROUND((W105+IF('Setup &amp; Lists'!$B$8="Yes",T105,0)+IF('Setup &amp; Lists'!$B$9="Yes",X105,0))*IF(U105="",'Setup &amp; Lists'!$B$6,U105),2)),"")</f>
        <v/>
      </c>
      <c r="Z105" s="53">
        <f>IFERROR(IF(A105="","",ROUND(W105+T105+X105+Y105,2)),"")</f>
        <v/>
      </c>
      <c r="AA105" s="51" t="n"/>
      <c r="AB105" s="53">
        <f>IFERROR(IF(A105="","",ROUND(IF(AA105&lt;&gt;"",AA105,Z105*'Setup &amp; Lists'!$B$10),2)),"")</f>
        <v/>
      </c>
      <c r="AC105" s="51" t="n"/>
      <c r="AD105" s="53">
        <f>IFERROR(IF(A105="","",MAX(0,ROUND(Z105-AC105,2))),"")</f>
        <v/>
      </c>
      <c r="AE105" s="32">
        <f>IFERROR(IF(A105="","",IF(AD105=0,"Paid",IF(AC105&gt;=AB105,"Deposit Met",IF(AC105&gt;0,"Partial Payment","Unpaid")))),"")</f>
        <v/>
      </c>
      <c r="AF105" s="54">
        <f>IFERROR(IF(OR(A105="",G105=""),"",G105-('Setup &amp; Lists'!$B$11/24)),"")</f>
        <v/>
      </c>
      <c r="AG105" s="25" t="n"/>
      <c r="AH105" s="25" t="n"/>
      <c r="AI105" s="50" t="n"/>
      <c r="AJ105" s="32">
        <f>IFERROR(IF(A105="","",IF(H105&lt;=G105,"Departure must be after arrival",IF(OR(J105="",J105&lt;1),"Rooms must be at least 1",IF(D105="","Guest name missing",IF(COUNTIF($A$2:$A$251,A105)&gt;1,"Duplicate reservation ID",IF(AND(P105="Confirmed",G105&gt;=TODAY(),G105&lt;=TODAY()+'Setup &amp; Lists'!$B$12,Q105=""),"Assign room for near-term arrival",IF(AND(G105&lt;TODAY(),P105="Confirmed"),"Past-due confirmed arrival",IF(AND(G105&gt;TODAY(),P105="Confirmed",AC105&lt;AB105),"Deposit shortfall",IF(AND(H105&lt;TODAY(),AD105&gt;0,P105&lt;&gt;"Cancelled"),"Balance remains after departure",IF(R105&lt;0,"Nightly rate is negative",IF(AC105&gt;Z105,"Deposit paid exceeds total value",""))))))))))),"")</f>
        <v/>
      </c>
    </row>
    <row r="106">
      <c r="A106" s="25" t="n"/>
      <c r="B106" s="25" t="n"/>
      <c r="C106" s="50" t="n"/>
      <c r="D106" s="25" t="n"/>
      <c r="E106" s="25" t="n"/>
      <c r="F106" s="25" t="n"/>
      <c r="G106" s="50" t="n"/>
      <c r="H106" s="50" t="n"/>
      <c r="I106" s="27">
        <f>IFERROR(IF(A106="","",MAX(0,H106-G106)),"")</f>
        <v/>
      </c>
      <c r="J106" s="28" t="n"/>
      <c r="K106" s="28" t="n"/>
      <c r="L106" s="28" t="n"/>
      <c r="M106" s="25" t="n"/>
      <c r="N106" s="25" t="n"/>
      <c r="O106" s="25" t="n"/>
      <c r="P106" s="25" t="n"/>
      <c r="Q106" s="25" t="n"/>
      <c r="R106" s="51" t="n"/>
      <c r="S106" s="52" t="n"/>
      <c r="T106" s="51" t="n"/>
      <c r="U106" s="52" t="n"/>
      <c r="V106" s="52" t="n"/>
      <c r="W106" s="53">
        <f>IFERROR(IF(A106="","",ROUND(I106*J106*R106*(1-S106),2)),"")</f>
        <v/>
      </c>
      <c r="X106" s="53">
        <f>IFERROR(IF(A106="","",ROUND(W106*IF(V106="",'Setup &amp; Lists'!$B$7,V106),2)),"")</f>
        <v/>
      </c>
      <c r="Y106" s="53">
        <f>IFERROR(IF(A106="","",ROUND((W106+IF('Setup &amp; Lists'!$B$8="Yes",T106,0)+IF('Setup &amp; Lists'!$B$9="Yes",X106,0))*IF(U106="",'Setup &amp; Lists'!$B$6,U106),2)),"")</f>
        <v/>
      </c>
      <c r="Z106" s="53">
        <f>IFERROR(IF(A106="","",ROUND(W106+T106+X106+Y106,2)),"")</f>
        <v/>
      </c>
      <c r="AA106" s="51" t="n"/>
      <c r="AB106" s="53">
        <f>IFERROR(IF(A106="","",ROUND(IF(AA106&lt;&gt;"",AA106,Z106*'Setup &amp; Lists'!$B$10),2)),"")</f>
        <v/>
      </c>
      <c r="AC106" s="51" t="n"/>
      <c r="AD106" s="53">
        <f>IFERROR(IF(A106="","",MAX(0,ROUND(Z106-AC106,2))),"")</f>
        <v/>
      </c>
      <c r="AE106" s="32">
        <f>IFERROR(IF(A106="","",IF(AD106=0,"Paid",IF(AC106&gt;=AB106,"Deposit Met",IF(AC106&gt;0,"Partial Payment","Unpaid")))),"")</f>
        <v/>
      </c>
      <c r="AF106" s="54">
        <f>IFERROR(IF(OR(A106="",G106=""),"",G106-('Setup &amp; Lists'!$B$11/24)),"")</f>
        <v/>
      </c>
      <c r="AG106" s="25" t="n"/>
      <c r="AH106" s="25" t="n"/>
      <c r="AI106" s="50" t="n"/>
      <c r="AJ106" s="32">
        <f>IFERROR(IF(A106="","",IF(H106&lt;=G106,"Departure must be after arrival",IF(OR(J106="",J106&lt;1),"Rooms must be at least 1",IF(D106="","Guest name missing",IF(COUNTIF($A$2:$A$251,A106)&gt;1,"Duplicate reservation ID",IF(AND(P106="Confirmed",G106&gt;=TODAY(),G106&lt;=TODAY()+'Setup &amp; Lists'!$B$12,Q106=""),"Assign room for near-term arrival",IF(AND(G106&lt;TODAY(),P106="Confirmed"),"Past-due confirmed arrival",IF(AND(G106&gt;TODAY(),P106="Confirmed",AC106&lt;AB106),"Deposit shortfall",IF(AND(H106&lt;TODAY(),AD106&gt;0,P106&lt;&gt;"Cancelled"),"Balance remains after departure",IF(R106&lt;0,"Nightly rate is negative",IF(AC106&gt;Z106,"Deposit paid exceeds total value",""))))))))))),"")</f>
        <v/>
      </c>
    </row>
    <row r="107">
      <c r="A107" s="25" t="n"/>
      <c r="B107" s="25" t="n"/>
      <c r="C107" s="50" t="n"/>
      <c r="D107" s="25" t="n"/>
      <c r="E107" s="25" t="n"/>
      <c r="F107" s="25" t="n"/>
      <c r="G107" s="50" t="n"/>
      <c r="H107" s="50" t="n"/>
      <c r="I107" s="27">
        <f>IFERROR(IF(A107="","",MAX(0,H107-G107)),"")</f>
        <v/>
      </c>
      <c r="J107" s="28" t="n"/>
      <c r="K107" s="28" t="n"/>
      <c r="L107" s="28" t="n"/>
      <c r="M107" s="25" t="n"/>
      <c r="N107" s="25" t="n"/>
      <c r="O107" s="25" t="n"/>
      <c r="P107" s="25" t="n"/>
      <c r="Q107" s="25" t="n"/>
      <c r="R107" s="51" t="n"/>
      <c r="S107" s="52" t="n"/>
      <c r="T107" s="51" t="n"/>
      <c r="U107" s="52" t="n"/>
      <c r="V107" s="52" t="n"/>
      <c r="W107" s="53">
        <f>IFERROR(IF(A107="","",ROUND(I107*J107*R107*(1-S107),2)),"")</f>
        <v/>
      </c>
      <c r="X107" s="53">
        <f>IFERROR(IF(A107="","",ROUND(W107*IF(V107="",'Setup &amp; Lists'!$B$7,V107),2)),"")</f>
        <v/>
      </c>
      <c r="Y107" s="53">
        <f>IFERROR(IF(A107="","",ROUND((W107+IF('Setup &amp; Lists'!$B$8="Yes",T107,0)+IF('Setup &amp; Lists'!$B$9="Yes",X107,0))*IF(U107="",'Setup &amp; Lists'!$B$6,U107),2)),"")</f>
        <v/>
      </c>
      <c r="Z107" s="53">
        <f>IFERROR(IF(A107="","",ROUND(W107+T107+X107+Y107,2)),"")</f>
        <v/>
      </c>
      <c r="AA107" s="51" t="n"/>
      <c r="AB107" s="53">
        <f>IFERROR(IF(A107="","",ROUND(IF(AA107&lt;&gt;"",AA107,Z107*'Setup &amp; Lists'!$B$10),2)),"")</f>
        <v/>
      </c>
      <c r="AC107" s="51" t="n"/>
      <c r="AD107" s="53">
        <f>IFERROR(IF(A107="","",MAX(0,ROUND(Z107-AC107,2))),"")</f>
        <v/>
      </c>
      <c r="AE107" s="32">
        <f>IFERROR(IF(A107="","",IF(AD107=0,"Paid",IF(AC107&gt;=AB107,"Deposit Met",IF(AC107&gt;0,"Partial Payment","Unpaid")))),"")</f>
        <v/>
      </c>
      <c r="AF107" s="54">
        <f>IFERROR(IF(OR(A107="",G107=""),"",G107-('Setup &amp; Lists'!$B$11/24)),"")</f>
        <v/>
      </c>
      <c r="AG107" s="25" t="n"/>
      <c r="AH107" s="25" t="n"/>
      <c r="AI107" s="50" t="n"/>
      <c r="AJ107" s="32">
        <f>IFERROR(IF(A107="","",IF(H107&lt;=G107,"Departure must be after arrival",IF(OR(J107="",J107&lt;1),"Rooms must be at least 1",IF(D107="","Guest name missing",IF(COUNTIF($A$2:$A$251,A107)&gt;1,"Duplicate reservation ID",IF(AND(P107="Confirmed",G107&gt;=TODAY(),G107&lt;=TODAY()+'Setup &amp; Lists'!$B$12,Q107=""),"Assign room for near-term arrival",IF(AND(G107&lt;TODAY(),P107="Confirmed"),"Past-due confirmed arrival",IF(AND(G107&gt;TODAY(),P107="Confirmed",AC107&lt;AB107),"Deposit shortfall",IF(AND(H107&lt;TODAY(),AD107&gt;0,P107&lt;&gt;"Cancelled"),"Balance remains after departure",IF(R107&lt;0,"Nightly rate is negative",IF(AC107&gt;Z107,"Deposit paid exceeds total value",""))))))))))),"")</f>
        <v/>
      </c>
    </row>
    <row r="108">
      <c r="A108" s="25" t="n"/>
      <c r="B108" s="25" t="n"/>
      <c r="C108" s="50" t="n"/>
      <c r="D108" s="25" t="n"/>
      <c r="E108" s="25" t="n"/>
      <c r="F108" s="25" t="n"/>
      <c r="G108" s="50" t="n"/>
      <c r="H108" s="50" t="n"/>
      <c r="I108" s="27">
        <f>IFERROR(IF(A108="","",MAX(0,H108-G108)),"")</f>
        <v/>
      </c>
      <c r="J108" s="28" t="n"/>
      <c r="K108" s="28" t="n"/>
      <c r="L108" s="28" t="n"/>
      <c r="M108" s="25" t="n"/>
      <c r="N108" s="25" t="n"/>
      <c r="O108" s="25" t="n"/>
      <c r="P108" s="25" t="n"/>
      <c r="Q108" s="25" t="n"/>
      <c r="R108" s="51" t="n"/>
      <c r="S108" s="52" t="n"/>
      <c r="T108" s="51" t="n"/>
      <c r="U108" s="52" t="n"/>
      <c r="V108" s="52" t="n"/>
      <c r="W108" s="53">
        <f>IFERROR(IF(A108="","",ROUND(I108*J108*R108*(1-S108),2)),"")</f>
        <v/>
      </c>
      <c r="X108" s="53">
        <f>IFERROR(IF(A108="","",ROUND(W108*IF(V108="",'Setup &amp; Lists'!$B$7,V108),2)),"")</f>
        <v/>
      </c>
      <c r="Y108" s="53">
        <f>IFERROR(IF(A108="","",ROUND((W108+IF('Setup &amp; Lists'!$B$8="Yes",T108,0)+IF('Setup &amp; Lists'!$B$9="Yes",X108,0))*IF(U108="",'Setup &amp; Lists'!$B$6,U108),2)),"")</f>
        <v/>
      </c>
      <c r="Z108" s="53">
        <f>IFERROR(IF(A108="","",ROUND(W108+T108+X108+Y108,2)),"")</f>
        <v/>
      </c>
      <c r="AA108" s="51" t="n"/>
      <c r="AB108" s="53">
        <f>IFERROR(IF(A108="","",ROUND(IF(AA108&lt;&gt;"",AA108,Z108*'Setup &amp; Lists'!$B$10),2)),"")</f>
        <v/>
      </c>
      <c r="AC108" s="51" t="n"/>
      <c r="AD108" s="53">
        <f>IFERROR(IF(A108="","",MAX(0,ROUND(Z108-AC108,2))),"")</f>
        <v/>
      </c>
      <c r="AE108" s="32">
        <f>IFERROR(IF(A108="","",IF(AD108=0,"Paid",IF(AC108&gt;=AB108,"Deposit Met",IF(AC108&gt;0,"Partial Payment","Unpaid")))),"")</f>
        <v/>
      </c>
      <c r="AF108" s="54">
        <f>IFERROR(IF(OR(A108="",G108=""),"",G108-('Setup &amp; Lists'!$B$11/24)),"")</f>
        <v/>
      </c>
      <c r="AG108" s="25" t="n"/>
      <c r="AH108" s="25" t="n"/>
      <c r="AI108" s="50" t="n"/>
      <c r="AJ108" s="32">
        <f>IFERROR(IF(A108="","",IF(H108&lt;=G108,"Departure must be after arrival",IF(OR(J108="",J108&lt;1),"Rooms must be at least 1",IF(D108="","Guest name missing",IF(COUNTIF($A$2:$A$251,A108)&gt;1,"Duplicate reservation ID",IF(AND(P108="Confirmed",G108&gt;=TODAY(),G108&lt;=TODAY()+'Setup &amp; Lists'!$B$12,Q108=""),"Assign room for near-term arrival",IF(AND(G108&lt;TODAY(),P108="Confirmed"),"Past-due confirmed arrival",IF(AND(G108&gt;TODAY(),P108="Confirmed",AC108&lt;AB108),"Deposit shortfall",IF(AND(H108&lt;TODAY(),AD108&gt;0,P108&lt;&gt;"Cancelled"),"Balance remains after departure",IF(R108&lt;0,"Nightly rate is negative",IF(AC108&gt;Z108,"Deposit paid exceeds total value",""))))))))))),"")</f>
        <v/>
      </c>
    </row>
    <row r="109">
      <c r="A109" s="25" t="n"/>
      <c r="B109" s="25" t="n"/>
      <c r="C109" s="50" t="n"/>
      <c r="D109" s="25" t="n"/>
      <c r="E109" s="25" t="n"/>
      <c r="F109" s="25" t="n"/>
      <c r="G109" s="50" t="n"/>
      <c r="H109" s="50" t="n"/>
      <c r="I109" s="27">
        <f>IFERROR(IF(A109="","",MAX(0,H109-G109)),"")</f>
        <v/>
      </c>
      <c r="J109" s="28" t="n"/>
      <c r="K109" s="28" t="n"/>
      <c r="L109" s="28" t="n"/>
      <c r="M109" s="25" t="n"/>
      <c r="N109" s="25" t="n"/>
      <c r="O109" s="25" t="n"/>
      <c r="P109" s="25" t="n"/>
      <c r="Q109" s="25" t="n"/>
      <c r="R109" s="51" t="n"/>
      <c r="S109" s="52" t="n"/>
      <c r="T109" s="51" t="n"/>
      <c r="U109" s="52" t="n"/>
      <c r="V109" s="52" t="n"/>
      <c r="W109" s="53">
        <f>IFERROR(IF(A109="","",ROUND(I109*J109*R109*(1-S109),2)),"")</f>
        <v/>
      </c>
      <c r="X109" s="53">
        <f>IFERROR(IF(A109="","",ROUND(W109*IF(V109="",'Setup &amp; Lists'!$B$7,V109),2)),"")</f>
        <v/>
      </c>
      <c r="Y109" s="53">
        <f>IFERROR(IF(A109="","",ROUND((W109+IF('Setup &amp; Lists'!$B$8="Yes",T109,0)+IF('Setup &amp; Lists'!$B$9="Yes",X109,0))*IF(U109="",'Setup &amp; Lists'!$B$6,U109),2)),"")</f>
        <v/>
      </c>
      <c r="Z109" s="53">
        <f>IFERROR(IF(A109="","",ROUND(W109+T109+X109+Y109,2)),"")</f>
        <v/>
      </c>
      <c r="AA109" s="51" t="n"/>
      <c r="AB109" s="53">
        <f>IFERROR(IF(A109="","",ROUND(IF(AA109&lt;&gt;"",AA109,Z109*'Setup &amp; Lists'!$B$10),2)),"")</f>
        <v/>
      </c>
      <c r="AC109" s="51" t="n"/>
      <c r="AD109" s="53">
        <f>IFERROR(IF(A109="","",MAX(0,ROUND(Z109-AC109,2))),"")</f>
        <v/>
      </c>
      <c r="AE109" s="32">
        <f>IFERROR(IF(A109="","",IF(AD109=0,"Paid",IF(AC109&gt;=AB109,"Deposit Met",IF(AC109&gt;0,"Partial Payment","Unpaid")))),"")</f>
        <v/>
      </c>
      <c r="AF109" s="54">
        <f>IFERROR(IF(OR(A109="",G109=""),"",G109-('Setup &amp; Lists'!$B$11/24)),"")</f>
        <v/>
      </c>
      <c r="AG109" s="25" t="n"/>
      <c r="AH109" s="25" t="n"/>
      <c r="AI109" s="50" t="n"/>
      <c r="AJ109" s="32">
        <f>IFERROR(IF(A109="","",IF(H109&lt;=G109,"Departure must be after arrival",IF(OR(J109="",J109&lt;1),"Rooms must be at least 1",IF(D109="","Guest name missing",IF(COUNTIF($A$2:$A$251,A109)&gt;1,"Duplicate reservation ID",IF(AND(P109="Confirmed",G109&gt;=TODAY(),G109&lt;=TODAY()+'Setup &amp; Lists'!$B$12,Q109=""),"Assign room for near-term arrival",IF(AND(G109&lt;TODAY(),P109="Confirmed"),"Past-due confirmed arrival",IF(AND(G109&gt;TODAY(),P109="Confirmed",AC109&lt;AB109),"Deposit shortfall",IF(AND(H109&lt;TODAY(),AD109&gt;0,P109&lt;&gt;"Cancelled"),"Balance remains after departure",IF(R109&lt;0,"Nightly rate is negative",IF(AC109&gt;Z109,"Deposit paid exceeds total value",""))))))))))),"")</f>
        <v/>
      </c>
    </row>
    <row r="110">
      <c r="A110" s="25" t="n"/>
      <c r="B110" s="25" t="n"/>
      <c r="C110" s="50" t="n"/>
      <c r="D110" s="25" t="n"/>
      <c r="E110" s="25" t="n"/>
      <c r="F110" s="25" t="n"/>
      <c r="G110" s="50" t="n"/>
      <c r="H110" s="50" t="n"/>
      <c r="I110" s="27">
        <f>IFERROR(IF(A110="","",MAX(0,H110-G110)),"")</f>
        <v/>
      </c>
      <c r="J110" s="28" t="n"/>
      <c r="K110" s="28" t="n"/>
      <c r="L110" s="28" t="n"/>
      <c r="M110" s="25" t="n"/>
      <c r="N110" s="25" t="n"/>
      <c r="O110" s="25" t="n"/>
      <c r="P110" s="25" t="n"/>
      <c r="Q110" s="25" t="n"/>
      <c r="R110" s="51" t="n"/>
      <c r="S110" s="52" t="n"/>
      <c r="T110" s="51" t="n"/>
      <c r="U110" s="52" t="n"/>
      <c r="V110" s="52" t="n"/>
      <c r="W110" s="53">
        <f>IFERROR(IF(A110="","",ROUND(I110*J110*R110*(1-S110),2)),"")</f>
        <v/>
      </c>
      <c r="X110" s="53">
        <f>IFERROR(IF(A110="","",ROUND(W110*IF(V110="",'Setup &amp; Lists'!$B$7,V110),2)),"")</f>
        <v/>
      </c>
      <c r="Y110" s="53">
        <f>IFERROR(IF(A110="","",ROUND((W110+IF('Setup &amp; Lists'!$B$8="Yes",T110,0)+IF('Setup &amp; Lists'!$B$9="Yes",X110,0))*IF(U110="",'Setup &amp; Lists'!$B$6,U110),2)),"")</f>
        <v/>
      </c>
      <c r="Z110" s="53">
        <f>IFERROR(IF(A110="","",ROUND(W110+T110+X110+Y110,2)),"")</f>
        <v/>
      </c>
      <c r="AA110" s="51" t="n"/>
      <c r="AB110" s="53">
        <f>IFERROR(IF(A110="","",ROUND(IF(AA110&lt;&gt;"",AA110,Z110*'Setup &amp; Lists'!$B$10),2)),"")</f>
        <v/>
      </c>
      <c r="AC110" s="51" t="n"/>
      <c r="AD110" s="53">
        <f>IFERROR(IF(A110="","",MAX(0,ROUND(Z110-AC110,2))),"")</f>
        <v/>
      </c>
      <c r="AE110" s="32">
        <f>IFERROR(IF(A110="","",IF(AD110=0,"Paid",IF(AC110&gt;=AB110,"Deposit Met",IF(AC110&gt;0,"Partial Payment","Unpaid")))),"")</f>
        <v/>
      </c>
      <c r="AF110" s="54">
        <f>IFERROR(IF(OR(A110="",G110=""),"",G110-('Setup &amp; Lists'!$B$11/24)),"")</f>
        <v/>
      </c>
      <c r="AG110" s="25" t="n"/>
      <c r="AH110" s="25" t="n"/>
      <c r="AI110" s="50" t="n"/>
      <c r="AJ110" s="32">
        <f>IFERROR(IF(A110="","",IF(H110&lt;=G110,"Departure must be after arrival",IF(OR(J110="",J110&lt;1),"Rooms must be at least 1",IF(D110="","Guest name missing",IF(COUNTIF($A$2:$A$251,A110)&gt;1,"Duplicate reservation ID",IF(AND(P110="Confirmed",G110&gt;=TODAY(),G110&lt;=TODAY()+'Setup &amp; Lists'!$B$12,Q110=""),"Assign room for near-term arrival",IF(AND(G110&lt;TODAY(),P110="Confirmed"),"Past-due confirmed arrival",IF(AND(G110&gt;TODAY(),P110="Confirmed",AC110&lt;AB110),"Deposit shortfall",IF(AND(H110&lt;TODAY(),AD110&gt;0,P110&lt;&gt;"Cancelled"),"Balance remains after departure",IF(R110&lt;0,"Nightly rate is negative",IF(AC110&gt;Z110,"Deposit paid exceeds total value",""))))))))))),"")</f>
        <v/>
      </c>
    </row>
    <row r="111">
      <c r="A111" s="25" t="n"/>
      <c r="B111" s="25" t="n"/>
      <c r="C111" s="50" t="n"/>
      <c r="D111" s="25" t="n"/>
      <c r="E111" s="25" t="n"/>
      <c r="F111" s="25" t="n"/>
      <c r="G111" s="50" t="n"/>
      <c r="H111" s="50" t="n"/>
      <c r="I111" s="27">
        <f>IFERROR(IF(A111="","",MAX(0,H111-G111)),"")</f>
        <v/>
      </c>
      <c r="J111" s="28" t="n"/>
      <c r="K111" s="28" t="n"/>
      <c r="L111" s="28" t="n"/>
      <c r="M111" s="25" t="n"/>
      <c r="N111" s="25" t="n"/>
      <c r="O111" s="25" t="n"/>
      <c r="P111" s="25" t="n"/>
      <c r="Q111" s="25" t="n"/>
      <c r="R111" s="51" t="n"/>
      <c r="S111" s="52" t="n"/>
      <c r="T111" s="51" t="n"/>
      <c r="U111" s="52" t="n"/>
      <c r="V111" s="52" t="n"/>
      <c r="W111" s="53">
        <f>IFERROR(IF(A111="","",ROUND(I111*J111*R111*(1-S111),2)),"")</f>
        <v/>
      </c>
      <c r="X111" s="53">
        <f>IFERROR(IF(A111="","",ROUND(W111*IF(V111="",'Setup &amp; Lists'!$B$7,V111),2)),"")</f>
        <v/>
      </c>
      <c r="Y111" s="53">
        <f>IFERROR(IF(A111="","",ROUND((W111+IF('Setup &amp; Lists'!$B$8="Yes",T111,0)+IF('Setup &amp; Lists'!$B$9="Yes",X111,0))*IF(U111="",'Setup &amp; Lists'!$B$6,U111),2)),"")</f>
        <v/>
      </c>
      <c r="Z111" s="53">
        <f>IFERROR(IF(A111="","",ROUND(W111+T111+X111+Y111,2)),"")</f>
        <v/>
      </c>
      <c r="AA111" s="51" t="n"/>
      <c r="AB111" s="53">
        <f>IFERROR(IF(A111="","",ROUND(IF(AA111&lt;&gt;"",AA111,Z111*'Setup &amp; Lists'!$B$10),2)),"")</f>
        <v/>
      </c>
      <c r="AC111" s="51" t="n"/>
      <c r="AD111" s="53">
        <f>IFERROR(IF(A111="","",MAX(0,ROUND(Z111-AC111,2))),"")</f>
        <v/>
      </c>
      <c r="AE111" s="32">
        <f>IFERROR(IF(A111="","",IF(AD111=0,"Paid",IF(AC111&gt;=AB111,"Deposit Met",IF(AC111&gt;0,"Partial Payment","Unpaid")))),"")</f>
        <v/>
      </c>
      <c r="AF111" s="54">
        <f>IFERROR(IF(OR(A111="",G111=""),"",G111-('Setup &amp; Lists'!$B$11/24)),"")</f>
        <v/>
      </c>
      <c r="AG111" s="25" t="n"/>
      <c r="AH111" s="25" t="n"/>
      <c r="AI111" s="50" t="n"/>
      <c r="AJ111" s="32">
        <f>IFERROR(IF(A111="","",IF(H111&lt;=G111,"Departure must be after arrival",IF(OR(J111="",J111&lt;1),"Rooms must be at least 1",IF(D111="","Guest name missing",IF(COUNTIF($A$2:$A$251,A111)&gt;1,"Duplicate reservation ID",IF(AND(P111="Confirmed",G111&gt;=TODAY(),G111&lt;=TODAY()+'Setup &amp; Lists'!$B$12,Q111=""),"Assign room for near-term arrival",IF(AND(G111&lt;TODAY(),P111="Confirmed"),"Past-due confirmed arrival",IF(AND(G111&gt;TODAY(),P111="Confirmed",AC111&lt;AB111),"Deposit shortfall",IF(AND(H111&lt;TODAY(),AD111&gt;0,P111&lt;&gt;"Cancelled"),"Balance remains after departure",IF(R111&lt;0,"Nightly rate is negative",IF(AC111&gt;Z111,"Deposit paid exceeds total value",""))))))))))),"")</f>
        <v/>
      </c>
    </row>
    <row r="112">
      <c r="A112" s="25" t="n"/>
      <c r="B112" s="25" t="n"/>
      <c r="C112" s="50" t="n"/>
      <c r="D112" s="25" t="n"/>
      <c r="E112" s="25" t="n"/>
      <c r="F112" s="25" t="n"/>
      <c r="G112" s="50" t="n"/>
      <c r="H112" s="50" t="n"/>
      <c r="I112" s="27">
        <f>IFERROR(IF(A112="","",MAX(0,H112-G112)),"")</f>
        <v/>
      </c>
      <c r="J112" s="28" t="n"/>
      <c r="K112" s="28" t="n"/>
      <c r="L112" s="28" t="n"/>
      <c r="M112" s="25" t="n"/>
      <c r="N112" s="25" t="n"/>
      <c r="O112" s="25" t="n"/>
      <c r="P112" s="25" t="n"/>
      <c r="Q112" s="25" t="n"/>
      <c r="R112" s="51" t="n"/>
      <c r="S112" s="52" t="n"/>
      <c r="T112" s="51" t="n"/>
      <c r="U112" s="52" t="n"/>
      <c r="V112" s="52" t="n"/>
      <c r="W112" s="53">
        <f>IFERROR(IF(A112="","",ROUND(I112*J112*R112*(1-S112),2)),"")</f>
        <v/>
      </c>
      <c r="X112" s="53">
        <f>IFERROR(IF(A112="","",ROUND(W112*IF(V112="",'Setup &amp; Lists'!$B$7,V112),2)),"")</f>
        <v/>
      </c>
      <c r="Y112" s="53">
        <f>IFERROR(IF(A112="","",ROUND((W112+IF('Setup &amp; Lists'!$B$8="Yes",T112,0)+IF('Setup &amp; Lists'!$B$9="Yes",X112,0))*IF(U112="",'Setup &amp; Lists'!$B$6,U112),2)),"")</f>
        <v/>
      </c>
      <c r="Z112" s="53">
        <f>IFERROR(IF(A112="","",ROUND(W112+T112+X112+Y112,2)),"")</f>
        <v/>
      </c>
      <c r="AA112" s="51" t="n"/>
      <c r="AB112" s="53">
        <f>IFERROR(IF(A112="","",ROUND(IF(AA112&lt;&gt;"",AA112,Z112*'Setup &amp; Lists'!$B$10),2)),"")</f>
        <v/>
      </c>
      <c r="AC112" s="51" t="n"/>
      <c r="AD112" s="53">
        <f>IFERROR(IF(A112="","",MAX(0,ROUND(Z112-AC112,2))),"")</f>
        <v/>
      </c>
      <c r="AE112" s="32">
        <f>IFERROR(IF(A112="","",IF(AD112=0,"Paid",IF(AC112&gt;=AB112,"Deposit Met",IF(AC112&gt;0,"Partial Payment","Unpaid")))),"")</f>
        <v/>
      </c>
      <c r="AF112" s="54">
        <f>IFERROR(IF(OR(A112="",G112=""),"",G112-('Setup &amp; Lists'!$B$11/24)),"")</f>
        <v/>
      </c>
      <c r="AG112" s="25" t="n"/>
      <c r="AH112" s="25" t="n"/>
      <c r="AI112" s="50" t="n"/>
      <c r="AJ112" s="32">
        <f>IFERROR(IF(A112="","",IF(H112&lt;=G112,"Departure must be after arrival",IF(OR(J112="",J112&lt;1),"Rooms must be at least 1",IF(D112="","Guest name missing",IF(COUNTIF($A$2:$A$251,A112)&gt;1,"Duplicate reservation ID",IF(AND(P112="Confirmed",G112&gt;=TODAY(),G112&lt;=TODAY()+'Setup &amp; Lists'!$B$12,Q112=""),"Assign room for near-term arrival",IF(AND(G112&lt;TODAY(),P112="Confirmed"),"Past-due confirmed arrival",IF(AND(G112&gt;TODAY(),P112="Confirmed",AC112&lt;AB112),"Deposit shortfall",IF(AND(H112&lt;TODAY(),AD112&gt;0,P112&lt;&gt;"Cancelled"),"Balance remains after departure",IF(R112&lt;0,"Nightly rate is negative",IF(AC112&gt;Z112,"Deposit paid exceeds total value",""))))))))))),"")</f>
        <v/>
      </c>
    </row>
    <row r="113">
      <c r="A113" s="25" t="n"/>
      <c r="B113" s="25" t="n"/>
      <c r="C113" s="50" t="n"/>
      <c r="D113" s="25" t="n"/>
      <c r="E113" s="25" t="n"/>
      <c r="F113" s="25" t="n"/>
      <c r="G113" s="50" t="n"/>
      <c r="H113" s="50" t="n"/>
      <c r="I113" s="27">
        <f>IFERROR(IF(A113="","",MAX(0,H113-G113)),"")</f>
        <v/>
      </c>
      <c r="J113" s="28" t="n"/>
      <c r="K113" s="28" t="n"/>
      <c r="L113" s="28" t="n"/>
      <c r="M113" s="25" t="n"/>
      <c r="N113" s="25" t="n"/>
      <c r="O113" s="25" t="n"/>
      <c r="P113" s="25" t="n"/>
      <c r="Q113" s="25" t="n"/>
      <c r="R113" s="51" t="n"/>
      <c r="S113" s="52" t="n"/>
      <c r="T113" s="51" t="n"/>
      <c r="U113" s="52" t="n"/>
      <c r="V113" s="52" t="n"/>
      <c r="W113" s="53">
        <f>IFERROR(IF(A113="","",ROUND(I113*J113*R113*(1-S113),2)),"")</f>
        <v/>
      </c>
      <c r="X113" s="53">
        <f>IFERROR(IF(A113="","",ROUND(W113*IF(V113="",'Setup &amp; Lists'!$B$7,V113),2)),"")</f>
        <v/>
      </c>
      <c r="Y113" s="53">
        <f>IFERROR(IF(A113="","",ROUND((W113+IF('Setup &amp; Lists'!$B$8="Yes",T113,0)+IF('Setup &amp; Lists'!$B$9="Yes",X113,0))*IF(U113="",'Setup &amp; Lists'!$B$6,U113),2)),"")</f>
        <v/>
      </c>
      <c r="Z113" s="53">
        <f>IFERROR(IF(A113="","",ROUND(W113+T113+X113+Y113,2)),"")</f>
        <v/>
      </c>
      <c r="AA113" s="51" t="n"/>
      <c r="AB113" s="53">
        <f>IFERROR(IF(A113="","",ROUND(IF(AA113&lt;&gt;"",AA113,Z113*'Setup &amp; Lists'!$B$10),2)),"")</f>
        <v/>
      </c>
      <c r="AC113" s="51" t="n"/>
      <c r="AD113" s="53">
        <f>IFERROR(IF(A113="","",MAX(0,ROUND(Z113-AC113,2))),"")</f>
        <v/>
      </c>
      <c r="AE113" s="32">
        <f>IFERROR(IF(A113="","",IF(AD113=0,"Paid",IF(AC113&gt;=AB113,"Deposit Met",IF(AC113&gt;0,"Partial Payment","Unpaid")))),"")</f>
        <v/>
      </c>
      <c r="AF113" s="54">
        <f>IFERROR(IF(OR(A113="",G113=""),"",G113-('Setup &amp; Lists'!$B$11/24)),"")</f>
        <v/>
      </c>
      <c r="AG113" s="25" t="n"/>
      <c r="AH113" s="25" t="n"/>
      <c r="AI113" s="50" t="n"/>
      <c r="AJ113" s="32">
        <f>IFERROR(IF(A113="","",IF(H113&lt;=G113,"Departure must be after arrival",IF(OR(J113="",J113&lt;1),"Rooms must be at least 1",IF(D113="","Guest name missing",IF(COUNTIF($A$2:$A$251,A113)&gt;1,"Duplicate reservation ID",IF(AND(P113="Confirmed",G113&gt;=TODAY(),G113&lt;=TODAY()+'Setup &amp; Lists'!$B$12,Q113=""),"Assign room for near-term arrival",IF(AND(G113&lt;TODAY(),P113="Confirmed"),"Past-due confirmed arrival",IF(AND(G113&gt;TODAY(),P113="Confirmed",AC113&lt;AB113),"Deposit shortfall",IF(AND(H113&lt;TODAY(),AD113&gt;0,P113&lt;&gt;"Cancelled"),"Balance remains after departure",IF(R113&lt;0,"Nightly rate is negative",IF(AC113&gt;Z113,"Deposit paid exceeds total value",""))))))))))),"")</f>
        <v/>
      </c>
    </row>
    <row r="114">
      <c r="A114" s="25" t="n"/>
      <c r="B114" s="25" t="n"/>
      <c r="C114" s="50" t="n"/>
      <c r="D114" s="25" t="n"/>
      <c r="E114" s="25" t="n"/>
      <c r="F114" s="25" t="n"/>
      <c r="G114" s="50" t="n"/>
      <c r="H114" s="50" t="n"/>
      <c r="I114" s="27">
        <f>IFERROR(IF(A114="","",MAX(0,H114-G114)),"")</f>
        <v/>
      </c>
      <c r="J114" s="28" t="n"/>
      <c r="K114" s="28" t="n"/>
      <c r="L114" s="28" t="n"/>
      <c r="M114" s="25" t="n"/>
      <c r="N114" s="25" t="n"/>
      <c r="O114" s="25" t="n"/>
      <c r="P114" s="25" t="n"/>
      <c r="Q114" s="25" t="n"/>
      <c r="R114" s="51" t="n"/>
      <c r="S114" s="52" t="n"/>
      <c r="T114" s="51" t="n"/>
      <c r="U114" s="52" t="n"/>
      <c r="V114" s="52" t="n"/>
      <c r="W114" s="53">
        <f>IFERROR(IF(A114="","",ROUND(I114*J114*R114*(1-S114),2)),"")</f>
        <v/>
      </c>
      <c r="X114" s="53">
        <f>IFERROR(IF(A114="","",ROUND(W114*IF(V114="",'Setup &amp; Lists'!$B$7,V114),2)),"")</f>
        <v/>
      </c>
      <c r="Y114" s="53">
        <f>IFERROR(IF(A114="","",ROUND((W114+IF('Setup &amp; Lists'!$B$8="Yes",T114,0)+IF('Setup &amp; Lists'!$B$9="Yes",X114,0))*IF(U114="",'Setup &amp; Lists'!$B$6,U114),2)),"")</f>
        <v/>
      </c>
      <c r="Z114" s="53">
        <f>IFERROR(IF(A114="","",ROUND(W114+T114+X114+Y114,2)),"")</f>
        <v/>
      </c>
      <c r="AA114" s="51" t="n"/>
      <c r="AB114" s="53">
        <f>IFERROR(IF(A114="","",ROUND(IF(AA114&lt;&gt;"",AA114,Z114*'Setup &amp; Lists'!$B$10),2)),"")</f>
        <v/>
      </c>
      <c r="AC114" s="51" t="n"/>
      <c r="AD114" s="53">
        <f>IFERROR(IF(A114="","",MAX(0,ROUND(Z114-AC114,2))),"")</f>
        <v/>
      </c>
      <c r="AE114" s="32">
        <f>IFERROR(IF(A114="","",IF(AD114=0,"Paid",IF(AC114&gt;=AB114,"Deposit Met",IF(AC114&gt;0,"Partial Payment","Unpaid")))),"")</f>
        <v/>
      </c>
      <c r="AF114" s="54">
        <f>IFERROR(IF(OR(A114="",G114=""),"",G114-('Setup &amp; Lists'!$B$11/24)),"")</f>
        <v/>
      </c>
      <c r="AG114" s="25" t="n"/>
      <c r="AH114" s="25" t="n"/>
      <c r="AI114" s="50" t="n"/>
      <c r="AJ114" s="32">
        <f>IFERROR(IF(A114="","",IF(H114&lt;=G114,"Departure must be after arrival",IF(OR(J114="",J114&lt;1),"Rooms must be at least 1",IF(D114="","Guest name missing",IF(COUNTIF($A$2:$A$251,A114)&gt;1,"Duplicate reservation ID",IF(AND(P114="Confirmed",G114&gt;=TODAY(),G114&lt;=TODAY()+'Setup &amp; Lists'!$B$12,Q114=""),"Assign room for near-term arrival",IF(AND(G114&lt;TODAY(),P114="Confirmed"),"Past-due confirmed arrival",IF(AND(G114&gt;TODAY(),P114="Confirmed",AC114&lt;AB114),"Deposit shortfall",IF(AND(H114&lt;TODAY(),AD114&gt;0,P114&lt;&gt;"Cancelled"),"Balance remains after departure",IF(R114&lt;0,"Nightly rate is negative",IF(AC114&gt;Z114,"Deposit paid exceeds total value",""))))))))))),"")</f>
        <v/>
      </c>
    </row>
    <row r="115">
      <c r="A115" s="25" t="n"/>
      <c r="B115" s="25" t="n"/>
      <c r="C115" s="50" t="n"/>
      <c r="D115" s="25" t="n"/>
      <c r="E115" s="25" t="n"/>
      <c r="F115" s="25" t="n"/>
      <c r="G115" s="50" t="n"/>
      <c r="H115" s="50" t="n"/>
      <c r="I115" s="27">
        <f>IFERROR(IF(A115="","",MAX(0,H115-G115)),"")</f>
        <v/>
      </c>
      <c r="J115" s="28" t="n"/>
      <c r="K115" s="28" t="n"/>
      <c r="L115" s="28" t="n"/>
      <c r="M115" s="25" t="n"/>
      <c r="N115" s="25" t="n"/>
      <c r="O115" s="25" t="n"/>
      <c r="P115" s="25" t="n"/>
      <c r="Q115" s="25" t="n"/>
      <c r="R115" s="51" t="n"/>
      <c r="S115" s="52" t="n"/>
      <c r="T115" s="51" t="n"/>
      <c r="U115" s="52" t="n"/>
      <c r="V115" s="52" t="n"/>
      <c r="W115" s="53">
        <f>IFERROR(IF(A115="","",ROUND(I115*J115*R115*(1-S115),2)),"")</f>
        <v/>
      </c>
      <c r="X115" s="53">
        <f>IFERROR(IF(A115="","",ROUND(W115*IF(V115="",'Setup &amp; Lists'!$B$7,V115),2)),"")</f>
        <v/>
      </c>
      <c r="Y115" s="53">
        <f>IFERROR(IF(A115="","",ROUND((W115+IF('Setup &amp; Lists'!$B$8="Yes",T115,0)+IF('Setup &amp; Lists'!$B$9="Yes",X115,0))*IF(U115="",'Setup &amp; Lists'!$B$6,U115),2)),"")</f>
        <v/>
      </c>
      <c r="Z115" s="53">
        <f>IFERROR(IF(A115="","",ROUND(W115+T115+X115+Y115,2)),"")</f>
        <v/>
      </c>
      <c r="AA115" s="51" t="n"/>
      <c r="AB115" s="53">
        <f>IFERROR(IF(A115="","",ROUND(IF(AA115&lt;&gt;"",AA115,Z115*'Setup &amp; Lists'!$B$10),2)),"")</f>
        <v/>
      </c>
      <c r="AC115" s="51" t="n"/>
      <c r="AD115" s="53">
        <f>IFERROR(IF(A115="","",MAX(0,ROUND(Z115-AC115,2))),"")</f>
        <v/>
      </c>
      <c r="AE115" s="32">
        <f>IFERROR(IF(A115="","",IF(AD115=0,"Paid",IF(AC115&gt;=AB115,"Deposit Met",IF(AC115&gt;0,"Partial Payment","Unpaid")))),"")</f>
        <v/>
      </c>
      <c r="AF115" s="54">
        <f>IFERROR(IF(OR(A115="",G115=""),"",G115-('Setup &amp; Lists'!$B$11/24)),"")</f>
        <v/>
      </c>
      <c r="AG115" s="25" t="n"/>
      <c r="AH115" s="25" t="n"/>
      <c r="AI115" s="50" t="n"/>
      <c r="AJ115" s="32">
        <f>IFERROR(IF(A115="","",IF(H115&lt;=G115,"Departure must be after arrival",IF(OR(J115="",J115&lt;1),"Rooms must be at least 1",IF(D115="","Guest name missing",IF(COUNTIF($A$2:$A$251,A115)&gt;1,"Duplicate reservation ID",IF(AND(P115="Confirmed",G115&gt;=TODAY(),G115&lt;=TODAY()+'Setup &amp; Lists'!$B$12,Q115=""),"Assign room for near-term arrival",IF(AND(G115&lt;TODAY(),P115="Confirmed"),"Past-due confirmed arrival",IF(AND(G115&gt;TODAY(),P115="Confirmed",AC115&lt;AB115),"Deposit shortfall",IF(AND(H115&lt;TODAY(),AD115&gt;0,P115&lt;&gt;"Cancelled"),"Balance remains after departure",IF(R115&lt;0,"Nightly rate is negative",IF(AC115&gt;Z115,"Deposit paid exceeds total value",""))))))))))),"")</f>
        <v/>
      </c>
    </row>
    <row r="116">
      <c r="A116" s="25" t="n"/>
      <c r="B116" s="25" t="n"/>
      <c r="C116" s="50" t="n"/>
      <c r="D116" s="25" t="n"/>
      <c r="E116" s="25" t="n"/>
      <c r="F116" s="25" t="n"/>
      <c r="G116" s="50" t="n"/>
      <c r="H116" s="50" t="n"/>
      <c r="I116" s="27">
        <f>IFERROR(IF(A116="","",MAX(0,H116-G116)),"")</f>
        <v/>
      </c>
      <c r="J116" s="28" t="n"/>
      <c r="K116" s="28" t="n"/>
      <c r="L116" s="28" t="n"/>
      <c r="M116" s="25" t="n"/>
      <c r="N116" s="25" t="n"/>
      <c r="O116" s="25" t="n"/>
      <c r="P116" s="25" t="n"/>
      <c r="Q116" s="25" t="n"/>
      <c r="R116" s="51" t="n"/>
      <c r="S116" s="52" t="n"/>
      <c r="T116" s="51" t="n"/>
      <c r="U116" s="52" t="n"/>
      <c r="V116" s="52" t="n"/>
      <c r="W116" s="53">
        <f>IFERROR(IF(A116="","",ROUND(I116*J116*R116*(1-S116),2)),"")</f>
        <v/>
      </c>
      <c r="X116" s="53">
        <f>IFERROR(IF(A116="","",ROUND(W116*IF(V116="",'Setup &amp; Lists'!$B$7,V116),2)),"")</f>
        <v/>
      </c>
      <c r="Y116" s="53">
        <f>IFERROR(IF(A116="","",ROUND((W116+IF('Setup &amp; Lists'!$B$8="Yes",T116,0)+IF('Setup &amp; Lists'!$B$9="Yes",X116,0))*IF(U116="",'Setup &amp; Lists'!$B$6,U116),2)),"")</f>
        <v/>
      </c>
      <c r="Z116" s="53">
        <f>IFERROR(IF(A116="","",ROUND(W116+T116+X116+Y116,2)),"")</f>
        <v/>
      </c>
      <c r="AA116" s="51" t="n"/>
      <c r="AB116" s="53">
        <f>IFERROR(IF(A116="","",ROUND(IF(AA116&lt;&gt;"",AA116,Z116*'Setup &amp; Lists'!$B$10),2)),"")</f>
        <v/>
      </c>
      <c r="AC116" s="51" t="n"/>
      <c r="AD116" s="53">
        <f>IFERROR(IF(A116="","",MAX(0,ROUND(Z116-AC116,2))),"")</f>
        <v/>
      </c>
      <c r="AE116" s="32">
        <f>IFERROR(IF(A116="","",IF(AD116=0,"Paid",IF(AC116&gt;=AB116,"Deposit Met",IF(AC116&gt;0,"Partial Payment","Unpaid")))),"")</f>
        <v/>
      </c>
      <c r="AF116" s="54">
        <f>IFERROR(IF(OR(A116="",G116=""),"",G116-('Setup &amp; Lists'!$B$11/24)),"")</f>
        <v/>
      </c>
      <c r="AG116" s="25" t="n"/>
      <c r="AH116" s="25" t="n"/>
      <c r="AI116" s="50" t="n"/>
      <c r="AJ116" s="32">
        <f>IFERROR(IF(A116="","",IF(H116&lt;=G116,"Departure must be after arrival",IF(OR(J116="",J116&lt;1),"Rooms must be at least 1",IF(D116="","Guest name missing",IF(COUNTIF($A$2:$A$251,A116)&gt;1,"Duplicate reservation ID",IF(AND(P116="Confirmed",G116&gt;=TODAY(),G116&lt;=TODAY()+'Setup &amp; Lists'!$B$12,Q116=""),"Assign room for near-term arrival",IF(AND(G116&lt;TODAY(),P116="Confirmed"),"Past-due confirmed arrival",IF(AND(G116&gt;TODAY(),P116="Confirmed",AC116&lt;AB116),"Deposit shortfall",IF(AND(H116&lt;TODAY(),AD116&gt;0,P116&lt;&gt;"Cancelled"),"Balance remains after departure",IF(R116&lt;0,"Nightly rate is negative",IF(AC116&gt;Z116,"Deposit paid exceeds total value",""))))))))))),"")</f>
        <v/>
      </c>
    </row>
    <row r="117">
      <c r="A117" s="25" t="n"/>
      <c r="B117" s="25" t="n"/>
      <c r="C117" s="50" t="n"/>
      <c r="D117" s="25" t="n"/>
      <c r="E117" s="25" t="n"/>
      <c r="F117" s="25" t="n"/>
      <c r="G117" s="50" t="n"/>
      <c r="H117" s="50" t="n"/>
      <c r="I117" s="27">
        <f>IFERROR(IF(A117="","",MAX(0,H117-G117)),"")</f>
        <v/>
      </c>
      <c r="J117" s="28" t="n"/>
      <c r="K117" s="28" t="n"/>
      <c r="L117" s="28" t="n"/>
      <c r="M117" s="25" t="n"/>
      <c r="N117" s="25" t="n"/>
      <c r="O117" s="25" t="n"/>
      <c r="P117" s="25" t="n"/>
      <c r="Q117" s="25" t="n"/>
      <c r="R117" s="51" t="n"/>
      <c r="S117" s="52" t="n"/>
      <c r="T117" s="51" t="n"/>
      <c r="U117" s="52" t="n"/>
      <c r="V117" s="52" t="n"/>
      <c r="W117" s="53">
        <f>IFERROR(IF(A117="","",ROUND(I117*J117*R117*(1-S117),2)),"")</f>
        <v/>
      </c>
      <c r="X117" s="53">
        <f>IFERROR(IF(A117="","",ROUND(W117*IF(V117="",'Setup &amp; Lists'!$B$7,V117),2)),"")</f>
        <v/>
      </c>
      <c r="Y117" s="53">
        <f>IFERROR(IF(A117="","",ROUND((W117+IF('Setup &amp; Lists'!$B$8="Yes",T117,0)+IF('Setup &amp; Lists'!$B$9="Yes",X117,0))*IF(U117="",'Setup &amp; Lists'!$B$6,U117),2)),"")</f>
        <v/>
      </c>
      <c r="Z117" s="53">
        <f>IFERROR(IF(A117="","",ROUND(W117+T117+X117+Y117,2)),"")</f>
        <v/>
      </c>
      <c r="AA117" s="51" t="n"/>
      <c r="AB117" s="53">
        <f>IFERROR(IF(A117="","",ROUND(IF(AA117&lt;&gt;"",AA117,Z117*'Setup &amp; Lists'!$B$10),2)),"")</f>
        <v/>
      </c>
      <c r="AC117" s="51" t="n"/>
      <c r="AD117" s="53">
        <f>IFERROR(IF(A117="","",MAX(0,ROUND(Z117-AC117,2))),"")</f>
        <v/>
      </c>
      <c r="AE117" s="32">
        <f>IFERROR(IF(A117="","",IF(AD117=0,"Paid",IF(AC117&gt;=AB117,"Deposit Met",IF(AC117&gt;0,"Partial Payment","Unpaid")))),"")</f>
        <v/>
      </c>
      <c r="AF117" s="54">
        <f>IFERROR(IF(OR(A117="",G117=""),"",G117-('Setup &amp; Lists'!$B$11/24)),"")</f>
        <v/>
      </c>
      <c r="AG117" s="25" t="n"/>
      <c r="AH117" s="25" t="n"/>
      <c r="AI117" s="50" t="n"/>
      <c r="AJ117" s="32">
        <f>IFERROR(IF(A117="","",IF(H117&lt;=G117,"Departure must be after arrival",IF(OR(J117="",J117&lt;1),"Rooms must be at least 1",IF(D117="","Guest name missing",IF(COUNTIF($A$2:$A$251,A117)&gt;1,"Duplicate reservation ID",IF(AND(P117="Confirmed",G117&gt;=TODAY(),G117&lt;=TODAY()+'Setup &amp; Lists'!$B$12,Q117=""),"Assign room for near-term arrival",IF(AND(G117&lt;TODAY(),P117="Confirmed"),"Past-due confirmed arrival",IF(AND(G117&gt;TODAY(),P117="Confirmed",AC117&lt;AB117),"Deposit shortfall",IF(AND(H117&lt;TODAY(),AD117&gt;0,P117&lt;&gt;"Cancelled"),"Balance remains after departure",IF(R117&lt;0,"Nightly rate is negative",IF(AC117&gt;Z117,"Deposit paid exceeds total value",""))))))))))),"")</f>
        <v/>
      </c>
    </row>
    <row r="118">
      <c r="A118" s="25" t="n"/>
      <c r="B118" s="25" t="n"/>
      <c r="C118" s="50" t="n"/>
      <c r="D118" s="25" t="n"/>
      <c r="E118" s="25" t="n"/>
      <c r="F118" s="25" t="n"/>
      <c r="G118" s="50" t="n"/>
      <c r="H118" s="50" t="n"/>
      <c r="I118" s="27">
        <f>IFERROR(IF(A118="","",MAX(0,H118-G118)),"")</f>
        <v/>
      </c>
      <c r="J118" s="28" t="n"/>
      <c r="K118" s="28" t="n"/>
      <c r="L118" s="28" t="n"/>
      <c r="M118" s="25" t="n"/>
      <c r="N118" s="25" t="n"/>
      <c r="O118" s="25" t="n"/>
      <c r="P118" s="25" t="n"/>
      <c r="Q118" s="25" t="n"/>
      <c r="R118" s="51" t="n"/>
      <c r="S118" s="52" t="n"/>
      <c r="T118" s="51" t="n"/>
      <c r="U118" s="52" t="n"/>
      <c r="V118" s="52" t="n"/>
      <c r="W118" s="53">
        <f>IFERROR(IF(A118="","",ROUND(I118*J118*R118*(1-S118),2)),"")</f>
        <v/>
      </c>
      <c r="X118" s="53">
        <f>IFERROR(IF(A118="","",ROUND(W118*IF(V118="",'Setup &amp; Lists'!$B$7,V118),2)),"")</f>
        <v/>
      </c>
      <c r="Y118" s="53">
        <f>IFERROR(IF(A118="","",ROUND((W118+IF('Setup &amp; Lists'!$B$8="Yes",T118,0)+IF('Setup &amp; Lists'!$B$9="Yes",X118,0))*IF(U118="",'Setup &amp; Lists'!$B$6,U118),2)),"")</f>
        <v/>
      </c>
      <c r="Z118" s="53">
        <f>IFERROR(IF(A118="","",ROUND(W118+T118+X118+Y118,2)),"")</f>
        <v/>
      </c>
      <c r="AA118" s="51" t="n"/>
      <c r="AB118" s="53">
        <f>IFERROR(IF(A118="","",ROUND(IF(AA118&lt;&gt;"",AA118,Z118*'Setup &amp; Lists'!$B$10),2)),"")</f>
        <v/>
      </c>
      <c r="AC118" s="51" t="n"/>
      <c r="AD118" s="53">
        <f>IFERROR(IF(A118="","",MAX(0,ROUND(Z118-AC118,2))),"")</f>
        <v/>
      </c>
      <c r="AE118" s="32">
        <f>IFERROR(IF(A118="","",IF(AD118=0,"Paid",IF(AC118&gt;=AB118,"Deposit Met",IF(AC118&gt;0,"Partial Payment","Unpaid")))),"")</f>
        <v/>
      </c>
      <c r="AF118" s="54">
        <f>IFERROR(IF(OR(A118="",G118=""),"",G118-('Setup &amp; Lists'!$B$11/24)),"")</f>
        <v/>
      </c>
      <c r="AG118" s="25" t="n"/>
      <c r="AH118" s="25" t="n"/>
      <c r="AI118" s="50" t="n"/>
      <c r="AJ118" s="32">
        <f>IFERROR(IF(A118="","",IF(H118&lt;=G118,"Departure must be after arrival",IF(OR(J118="",J118&lt;1),"Rooms must be at least 1",IF(D118="","Guest name missing",IF(COUNTIF($A$2:$A$251,A118)&gt;1,"Duplicate reservation ID",IF(AND(P118="Confirmed",G118&gt;=TODAY(),G118&lt;=TODAY()+'Setup &amp; Lists'!$B$12,Q118=""),"Assign room for near-term arrival",IF(AND(G118&lt;TODAY(),P118="Confirmed"),"Past-due confirmed arrival",IF(AND(G118&gt;TODAY(),P118="Confirmed",AC118&lt;AB118),"Deposit shortfall",IF(AND(H118&lt;TODAY(),AD118&gt;0,P118&lt;&gt;"Cancelled"),"Balance remains after departure",IF(R118&lt;0,"Nightly rate is negative",IF(AC118&gt;Z118,"Deposit paid exceeds total value",""))))))))))),"")</f>
        <v/>
      </c>
    </row>
    <row r="119">
      <c r="A119" s="25" t="n"/>
      <c r="B119" s="25" t="n"/>
      <c r="C119" s="50" t="n"/>
      <c r="D119" s="25" t="n"/>
      <c r="E119" s="25" t="n"/>
      <c r="F119" s="25" t="n"/>
      <c r="G119" s="50" t="n"/>
      <c r="H119" s="50" t="n"/>
      <c r="I119" s="27">
        <f>IFERROR(IF(A119="","",MAX(0,H119-G119)),"")</f>
        <v/>
      </c>
      <c r="J119" s="28" t="n"/>
      <c r="K119" s="28" t="n"/>
      <c r="L119" s="28" t="n"/>
      <c r="M119" s="25" t="n"/>
      <c r="N119" s="25" t="n"/>
      <c r="O119" s="25" t="n"/>
      <c r="P119" s="25" t="n"/>
      <c r="Q119" s="25" t="n"/>
      <c r="R119" s="51" t="n"/>
      <c r="S119" s="52" t="n"/>
      <c r="T119" s="51" t="n"/>
      <c r="U119" s="52" t="n"/>
      <c r="V119" s="52" t="n"/>
      <c r="W119" s="53">
        <f>IFERROR(IF(A119="","",ROUND(I119*J119*R119*(1-S119),2)),"")</f>
        <v/>
      </c>
      <c r="X119" s="53">
        <f>IFERROR(IF(A119="","",ROUND(W119*IF(V119="",'Setup &amp; Lists'!$B$7,V119),2)),"")</f>
        <v/>
      </c>
      <c r="Y119" s="53">
        <f>IFERROR(IF(A119="","",ROUND((W119+IF('Setup &amp; Lists'!$B$8="Yes",T119,0)+IF('Setup &amp; Lists'!$B$9="Yes",X119,0))*IF(U119="",'Setup &amp; Lists'!$B$6,U119),2)),"")</f>
        <v/>
      </c>
      <c r="Z119" s="53">
        <f>IFERROR(IF(A119="","",ROUND(W119+T119+X119+Y119,2)),"")</f>
        <v/>
      </c>
      <c r="AA119" s="51" t="n"/>
      <c r="AB119" s="53">
        <f>IFERROR(IF(A119="","",ROUND(IF(AA119&lt;&gt;"",AA119,Z119*'Setup &amp; Lists'!$B$10),2)),"")</f>
        <v/>
      </c>
      <c r="AC119" s="51" t="n"/>
      <c r="AD119" s="53">
        <f>IFERROR(IF(A119="","",MAX(0,ROUND(Z119-AC119,2))),"")</f>
        <v/>
      </c>
      <c r="AE119" s="32">
        <f>IFERROR(IF(A119="","",IF(AD119=0,"Paid",IF(AC119&gt;=AB119,"Deposit Met",IF(AC119&gt;0,"Partial Payment","Unpaid")))),"")</f>
        <v/>
      </c>
      <c r="AF119" s="54">
        <f>IFERROR(IF(OR(A119="",G119=""),"",G119-('Setup &amp; Lists'!$B$11/24)),"")</f>
        <v/>
      </c>
      <c r="AG119" s="25" t="n"/>
      <c r="AH119" s="25" t="n"/>
      <c r="AI119" s="50" t="n"/>
      <c r="AJ119" s="32">
        <f>IFERROR(IF(A119="","",IF(H119&lt;=G119,"Departure must be after arrival",IF(OR(J119="",J119&lt;1),"Rooms must be at least 1",IF(D119="","Guest name missing",IF(COUNTIF($A$2:$A$251,A119)&gt;1,"Duplicate reservation ID",IF(AND(P119="Confirmed",G119&gt;=TODAY(),G119&lt;=TODAY()+'Setup &amp; Lists'!$B$12,Q119=""),"Assign room for near-term arrival",IF(AND(G119&lt;TODAY(),P119="Confirmed"),"Past-due confirmed arrival",IF(AND(G119&gt;TODAY(),P119="Confirmed",AC119&lt;AB119),"Deposit shortfall",IF(AND(H119&lt;TODAY(),AD119&gt;0,P119&lt;&gt;"Cancelled"),"Balance remains after departure",IF(R119&lt;0,"Nightly rate is negative",IF(AC119&gt;Z119,"Deposit paid exceeds total value",""))))))))))),"")</f>
        <v/>
      </c>
    </row>
    <row r="120">
      <c r="A120" s="25" t="n"/>
      <c r="B120" s="25" t="n"/>
      <c r="C120" s="50" t="n"/>
      <c r="D120" s="25" t="n"/>
      <c r="E120" s="25" t="n"/>
      <c r="F120" s="25" t="n"/>
      <c r="G120" s="50" t="n"/>
      <c r="H120" s="50" t="n"/>
      <c r="I120" s="27">
        <f>IFERROR(IF(A120="","",MAX(0,H120-G120)),"")</f>
        <v/>
      </c>
      <c r="J120" s="28" t="n"/>
      <c r="K120" s="28" t="n"/>
      <c r="L120" s="28" t="n"/>
      <c r="M120" s="25" t="n"/>
      <c r="N120" s="25" t="n"/>
      <c r="O120" s="25" t="n"/>
      <c r="P120" s="25" t="n"/>
      <c r="Q120" s="25" t="n"/>
      <c r="R120" s="51" t="n"/>
      <c r="S120" s="52" t="n"/>
      <c r="T120" s="51" t="n"/>
      <c r="U120" s="52" t="n"/>
      <c r="V120" s="52" t="n"/>
      <c r="W120" s="53">
        <f>IFERROR(IF(A120="","",ROUND(I120*J120*R120*(1-S120),2)),"")</f>
        <v/>
      </c>
      <c r="X120" s="53">
        <f>IFERROR(IF(A120="","",ROUND(W120*IF(V120="",'Setup &amp; Lists'!$B$7,V120),2)),"")</f>
        <v/>
      </c>
      <c r="Y120" s="53">
        <f>IFERROR(IF(A120="","",ROUND((W120+IF('Setup &amp; Lists'!$B$8="Yes",T120,0)+IF('Setup &amp; Lists'!$B$9="Yes",X120,0))*IF(U120="",'Setup &amp; Lists'!$B$6,U120),2)),"")</f>
        <v/>
      </c>
      <c r="Z120" s="53">
        <f>IFERROR(IF(A120="","",ROUND(W120+T120+X120+Y120,2)),"")</f>
        <v/>
      </c>
      <c r="AA120" s="51" t="n"/>
      <c r="AB120" s="53">
        <f>IFERROR(IF(A120="","",ROUND(IF(AA120&lt;&gt;"",AA120,Z120*'Setup &amp; Lists'!$B$10),2)),"")</f>
        <v/>
      </c>
      <c r="AC120" s="51" t="n"/>
      <c r="AD120" s="53">
        <f>IFERROR(IF(A120="","",MAX(0,ROUND(Z120-AC120,2))),"")</f>
        <v/>
      </c>
      <c r="AE120" s="32">
        <f>IFERROR(IF(A120="","",IF(AD120=0,"Paid",IF(AC120&gt;=AB120,"Deposit Met",IF(AC120&gt;0,"Partial Payment","Unpaid")))),"")</f>
        <v/>
      </c>
      <c r="AF120" s="54">
        <f>IFERROR(IF(OR(A120="",G120=""),"",G120-('Setup &amp; Lists'!$B$11/24)),"")</f>
        <v/>
      </c>
      <c r="AG120" s="25" t="n"/>
      <c r="AH120" s="25" t="n"/>
      <c r="AI120" s="50" t="n"/>
      <c r="AJ120" s="32">
        <f>IFERROR(IF(A120="","",IF(H120&lt;=G120,"Departure must be after arrival",IF(OR(J120="",J120&lt;1),"Rooms must be at least 1",IF(D120="","Guest name missing",IF(COUNTIF($A$2:$A$251,A120)&gt;1,"Duplicate reservation ID",IF(AND(P120="Confirmed",G120&gt;=TODAY(),G120&lt;=TODAY()+'Setup &amp; Lists'!$B$12,Q120=""),"Assign room for near-term arrival",IF(AND(G120&lt;TODAY(),P120="Confirmed"),"Past-due confirmed arrival",IF(AND(G120&gt;TODAY(),P120="Confirmed",AC120&lt;AB120),"Deposit shortfall",IF(AND(H120&lt;TODAY(),AD120&gt;0,P120&lt;&gt;"Cancelled"),"Balance remains after departure",IF(R120&lt;0,"Nightly rate is negative",IF(AC120&gt;Z120,"Deposit paid exceeds total value",""))))))))))),"")</f>
        <v/>
      </c>
    </row>
    <row r="121">
      <c r="A121" s="25" t="n"/>
      <c r="B121" s="25" t="n"/>
      <c r="C121" s="50" t="n"/>
      <c r="D121" s="25" t="n"/>
      <c r="E121" s="25" t="n"/>
      <c r="F121" s="25" t="n"/>
      <c r="G121" s="50" t="n"/>
      <c r="H121" s="50" t="n"/>
      <c r="I121" s="27">
        <f>IFERROR(IF(A121="","",MAX(0,H121-G121)),"")</f>
        <v/>
      </c>
      <c r="J121" s="28" t="n"/>
      <c r="K121" s="28" t="n"/>
      <c r="L121" s="28" t="n"/>
      <c r="M121" s="25" t="n"/>
      <c r="N121" s="25" t="n"/>
      <c r="O121" s="25" t="n"/>
      <c r="P121" s="25" t="n"/>
      <c r="Q121" s="25" t="n"/>
      <c r="R121" s="51" t="n"/>
      <c r="S121" s="52" t="n"/>
      <c r="T121" s="51" t="n"/>
      <c r="U121" s="52" t="n"/>
      <c r="V121" s="52" t="n"/>
      <c r="W121" s="53">
        <f>IFERROR(IF(A121="","",ROUND(I121*J121*R121*(1-S121),2)),"")</f>
        <v/>
      </c>
      <c r="X121" s="53">
        <f>IFERROR(IF(A121="","",ROUND(W121*IF(V121="",'Setup &amp; Lists'!$B$7,V121),2)),"")</f>
        <v/>
      </c>
      <c r="Y121" s="53">
        <f>IFERROR(IF(A121="","",ROUND((W121+IF('Setup &amp; Lists'!$B$8="Yes",T121,0)+IF('Setup &amp; Lists'!$B$9="Yes",X121,0))*IF(U121="",'Setup &amp; Lists'!$B$6,U121),2)),"")</f>
        <v/>
      </c>
      <c r="Z121" s="53">
        <f>IFERROR(IF(A121="","",ROUND(W121+T121+X121+Y121,2)),"")</f>
        <v/>
      </c>
      <c r="AA121" s="51" t="n"/>
      <c r="AB121" s="53">
        <f>IFERROR(IF(A121="","",ROUND(IF(AA121&lt;&gt;"",AA121,Z121*'Setup &amp; Lists'!$B$10),2)),"")</f>
        <v/>
      </c>
      <c r="AC121" s="51" t="n"/>
      <c r="AD121" s="53">
        <f>IFERROR(IF(A121="","",MAX(0,ROUND(Z121-AC121,2))),"")</f>
        <v/>
      </c>
      <c r="AE121" s="32">
        <f>IFERROR(IF(A121="","",IF(AD121=0,"Paid",IF(AC121&gt;=AB121,"Deposit Met",IF(AC121&gt;0,"Partial Payment","Unpaid")))),"")</f>
        <v/>
      </c>
      <c r="AF121" s="54">
        <f>IFERROR(IF(OR(A121="",G121=""),"",G121-('Setup &amp; Lists'!$B$11/24)),"")</f>
        <v/>
      </c>
      <c r="AG121" s="25" t="n"/>
      <c r="AH121" s="25" t="n"/>
      <c r="AI121" s="50" t="n"/>
      <c r="AJ121" s="32">
        <f>IFERROR(IF(A121="","",IF(H121&lt;=G121,"Departure must be after arrival",IF(OR(J121="",J121&lt;1),"Rooms must be at least 1",IF(D121="","Guest name missing",IF(COUNTIF($A$2:$A$251,A121)&gt;1,"Duplicate reservation ID",IF(AND(P121="Confirmed",G121&gt;=TODAY(),G121&lt;=TODAY()+'Setup &amp; Lists'!$B$12,Q121=""),"Assign room for near-term arrival",IF(AND(G121&lt;TODAY(),P121="Confirmed"),"Past-due confirmed arrival",IF(AND(G121&gt;TODAY(),P121="Confirmed",AC121&lt;AB121),"Deposit shortfall",IF(AND(H121&lt;TODAY(),AD121&gt;0,P121&lt;&gt;"Cancelled"),"Balance remains after departure",IF(R121&lt;0,"Nightly rate is negative",IF(AC121&gt;Z121,"Deposit paid exceeds total value",""))))))))))),"")</f>
        <v/>
      </c>
    </row>
    <row r="122">
      <c r="A122" s="25" t="n"/>
      <c r="B122" s="25" t="n"/>
      <c r="C122" s="50" t="n"/>
      <c r="D122" s="25" t="n"/>
      <c r="E122" s="25" t="n"/>
      <c r="F122" s="25" t="n"/>
      <c r="G122" s="50" t="n"/>
      <c r="H122" s="50" t="n"/>
      <c r="I122" s="27">
        <f>IFERROR(IF(A122="","",MAX(0,H122-G122)),"")</f>
        <v/>
      </c>
      <c r="J122" s="28" t="n"/>
      <c r="K122" s="28" t="n"/>
      <c r="L122" s="28" t="n"/>
      <c r="M122" s="25" t="n"/>
      <c r="N122" s="25" t="n"/>
      <c r="O122" s="25" t="n"/>
      <c r="P122" s="25" t="n"/>
      <c r="Q122" s="25" t="n"/>
      <c r="R122" s="51" t="n"/>
      <c r="S122" s="52" t="n"/>
      <c r="T122" s="51" t="n"/>
      <c r="U122" s="52" t="n"/>
      <c r="V122" s="52" t="n"/>
      <c r="W122" s="53">
        <f>IFERROR(IF(A122="","",ROUND(I122*J122*R122*(1-S122),2)),"")</f>
        <v/>
      </c>
      <c r="X122" s="53">
        <f>IFERROR(IF(A122="","",ROUND(W122*IF(V122="",'Setup &amp; Lists'!$B$7,V122),2)),"")</f>
        <v/>
      </c>
      <c r="Y122" s="53">
        <f>IFERROR(IF(A122="","",ROUND((W122+IF('Setup &amp; Lists'!$B$8="Yes",T122,0)+IF('Setup &amp; Lists'!$B$9="Yes",X122,0))*IF(U122="",'Setup &amp; Lists'!$B$6,U122),2)),"")</f>
        <v/>
      </c>
      <c r="Z122" s="53">
        <f>IFERROR(IF(A122="","",ROUND(W122+T122+X122+Y122,2)),"")</f>
        <v/>
      </c>
      <c r="AA122" s="51" t="n"/>
      <c r="AB122" s="53">
        <f>IFERROR(IF(A122="","",ROUND(IF(AA122&lt;&gt;"",AA122,Z122*'Setup &amp; Lists'!$B$10),2)),"")</f>
        <v/>
      </c>
      <c r="AC122" s="51" t="n"/>
      <c r="AD122" s="53">
        <f>IFERROR(IF(A122="","",MAX(0,ROUND(Z122-AC122,2))),"")</f>
        <v/>
      </c>
      <c r="AE122" s="32">
        <f>IFERROR(IF(A122="","",IF(AD122=0,"Paid",IF(AC122&gt;=AB122,"Deposit Met",IF(AC122&gt;0,"Partial Payment","Unpaid")))),"")</f>
        <v/>
      </c>
      <c r="AF122" s="54">
        <f>IFERROR(IF(OR(A122="",G122=""),"",G122-('Setup &amp; Lists'!$B$11/24)),"")</f>
        <v/>
      </c>
      <c r="AG122" s="25" t="n"/>
      <c r="AH122" s="25" t="n"/>
      <c r="AI122" s="50" t="n"/>
      <c r="AJ122" s="32">
        <f>IFERROR(IF(A122="","",IF(H122&lt;=G122,"Departure must be after arrival",IF(OR(J122="",J122&lt;1),"Rooms must be at least 1",IF(D122="","Guest name missing",IF(COUNTIF($A$2:$A$251,A122)&gt;1,"Duplicate reservation ID",IF(AND(P122="Confirmed",G122&gt;=TODAY(),G122&lt;=TODAY()+'Setup &amp; Lists'!$B$12,Q122=""),"Assign room for near-term arrival",IF(AND(G122&lt;TODAY(),P122="Confirmed"),"Past-due confirmed arrival",IF(AND(G122&gt;TODAY(),P122="Confirmed",AC122&lt;AB122),"Deposit shortfall",IF(AND(H122&lt;TODAY(),AD122&gt;0,P122&lt;&gt;"Cancelled"),"Balance remains after departure",IF(R122&lt;0,"Nightly rate is negative",IF(AC122&gt;Z122,"Deposit paid exceeds total value",""))))))))))),"")</f>
        <v/>
      </c>
    </row>
    <row r="123">
      <c r="A123" s="25" t="n"/>
      <c r="B123" s="25" t="n"/>
      <c r="C123" s="50" t="n"/>
      <c r="D123" s="25" t="n"/>
      <c r="E123" s="25" t="n"/>
      <c r="F123" s="25" t="n"/>
      <c r="G123" s="50" t="n"/>
      <c r="H123" s="50" t="n"/>
      <c r="I123" s="27">
        <f>IFERROR(IF(A123="","",MAX(0,H123-G123)),"")</f>
        <v/>
      </c>
      <c r="J123" s="28" t="n"/>
      <c r="K123" s="28" t="n"/>
      <c r="L123" s="28" t="n"/>
      <c r="M123" s="25" t="n"/>
      <c r="N123" s="25" t="n"/>
      <c r="O123" s="25" t="n"/>
      <c r="P123" s="25" t="n"/>
      <c r="Q123" s="25" t="n"/>
      <c r="R123" s="51" t="n"/>
      <c r="S123" s="52" t="n"/>
      <c r="T123" s="51" t="n"/>
      <c r="U123" s="52" t="n"/>
      <c r="V123" s="52" t="n"/>
      <c r="W123" s="53">
        <f>IFERROR(IF(A123="","",ROUND(I123*J123*R123*(1-S123),2)),"")</f>
        <v/>
      </c>
      <c r="X123" s="53">
        <f>IFERROR(IF(A123="","",ROUND(W123*IF(V123="",'Setup &amp; Lists'!$B$7,V123),2)),"")</f>
        <v/>
      </c>
      <c r="Y123" s="53">
        <f>IFERROR(IF(A123="","",ROUND((W123+IF('Setup &amp; Lists'!$B$8="Yes",T123,0)+IF('Setup &amp; Lists'!$B$9="Yes",X123,0))*IF(U123="",'Setup &amp; Lists'!$B$6,U123),2)),"")</f>
        <v/>
      </c>
      <c r="Z123" s="53">
        <f>IFERROR(IF(A123="","",ROUND(W123+T123+X123+Y123,2)),"")</f>
        <v/>
      </c>
      <c r="AA123" s="51" t="n"/>
      <c r="AB123" s="53">
        <f>IFERROR(IF(A123="","",ROUND(IF(AA123&lt;&gt;"",AA123,Z123*'Setup &amp; Lists'!$B$10),2)),"")</f>
        <v/>
      </c>
      <c r="AC123" s="51" t="n"/>
      <c r="AD123" s="53">
        <f>IFERROR(IF(A123="","",MAX(0,ROUND(Z123-AC123,2))),"")</f>
        <v/>
      </c>
      <c r="AE123" s="32">
        <f>IFERROR(IF(A123="","",IF(AD123=0,"Paid",IF(AC123&gt;=AB123,"Deposit Met",IF(AC123&gt;0,"Partial Payment","Unpaid")))),"")</f>
        <v/>
      </c>
      <c r="AF123" s="54">
        <f>IFERROR(IF(OR(A123="",G123=""),"",G123-('Setup &amp; Lists'!$B$11/24)),"")</f>
        <v/>
      </c>
      <c r="AG123" s="25" t="n"/>
      <c r="AH123" s="25" t="n"/>
      <c r="AI123" s="50" t="n"/>
      <c r="AJ123" s="32">
        <f>IFERROR(IF(A123="","",IF(H123&lt;=G123,"Departure must be after arrival",IF(OR(J123="",J123&lt;1),"Rooms must be at least 1",IF(D123="","Guest name missing",IF(COUNTIF($A$2:$A$251,A123)&gt;1,"Duplicate reservation ID",IF(AND(P123="Confirmed",G123&gt;=TODAY(),G123&lt;=TODAY()+'Setup &amp; Lists'!$B$12,Q123=""),"Assign room for near-term arrival",IF(AND(G123&lt;TODAY(),P123="Confirmed"),"Past-due confirmed arrival",IF(AND(G123&gt;TODAY(),P123="Confirmed",AC123&lt;AB123),"Deposit shortfall",IF(AND(H123&lt;TODAY(),AD123&gt;0,P123&lt;&gt;"Cancelled"),"Balance remains after departure",IF(R123&lt;0,"Nightly rate is negative",IF(AC123&gt;Z123,"Deposit paid exceeds total value",""))))))))))),"")</f>
        <v/>
      </c>
    </row>
    <row r="124">
      <c r="A124" s="25" t="n"/>
      <c r="B124" s="25" t="n"/>
      <c r="C124" s="50" t="n"/>
      <c r="D124" s="25" t="n"/>
      <c r="E124" s="25" t="n"/>
      <c r="F124" s="25" t="n"/>
      <c r="G124" s="50" t="n"/>
      <c r="H124" s="50" t="n"/>
      <c r="I124" s="27">
        <f>IFERROR(IF(A124="","",MAX(0,H124-G124)),"")</f>
        <v/>
      </c>
      <c r="J124" s="28" t="n"/>
      <c r="K124" s="28" t="n"/>
      <c r="L124" s="28" t="n"/>
      <c r="M124" s="25" t="n"/>
      <c r="N124" s="25" t="n"/>
      <c r="O124" s="25" t="n"/>
      <c r="P124" s="25" t="n"/>
      <c r="Q124" s="25" t="n"/>
      <c r="R124" s="51" t="n"/>
      <c r="S124" s="52" t="n"/>
      <c r="T124" s="51" t="n"/>
      <c r="U124" s="52" t="n"/>
      <c r="V124" s="52" t="n"/>
      <c r="W124" s="53">
        <f>IFERROR(IF(A124="","",ROUND(I124*J124*R124*(1-S124),2)),"")</f>
        <v/>
      </c>
      <c r="X124" s="53">
        <f>IFERROR(IF(A124="","",ROUND(W124*IF(V124="",'Setup &amp; Lists'!$B$7,V124),2)),"")</f>
        <v/>
      </c>
      <c r="Y124" s="53">
        <f>IFERROR(IF(A124="","",ROUND((W124+IF('Setup &amp; Lists'!$B$8="Yes",T124,0)+IF('Setup &amp; Lists'!$B$9="Yes",X124,0))*IF(U124="",'Setup &amp; Lists'!$B$6,U124),2)),"")</f>
        <v/>
      </c>
      <c r="Z124" s="53">
        <f>IFERROR(IF(A124="","",ROUND(W124+T124+X124+Y124,2)),"")</f>
        <v/>
      </c>
      <c r="AA124" s="51" t="n"/>
      <c r="AB124" s="53">
        <f>IFERROR(IF(A124="","",ROUND(IF(AA124&lt;&gt;"",AA124,Z124*'Setup &amp; Lists'!$B$10),2)),"")</f>
        <v/>
      </c>
      <c r="AC124" s="51" t="n"/>
      <c r="AD124" s="53">
        <f>IFERROR(IF(A124="","",MAX(0,ROUND(Z124-AC124,2))),"")</f>
        <v/>
      </c>
      <c r="AE124" s="32">
        <f>IFERROR(IF(A124="","",IF(AD124=0,"Paid",IF(AC124&gt;=AB124,"Deposit Met",IF(AC124&gt;0,"Partial Payment","Unpaid")))),"")</f>
        <v/>
      </c>
      <c r="AF124" s="54">
        <f>IFERROR(IF(OR(A124="",G124=""),"",G124-('Setup &amp; Lists'!$B$11/24)),"")</f>
        <v/>
      </c>
      <c r="AG124" s="25" t="n"/>
      <c r="AH124" s="25" t="n"/>
      <c r="AI124" s="50" t="n"/>
      <c r="AJ124" s="32">
        <f>IFERROR(IF(A124="","",IF(H124&lt;=G124,"Departure must be after arrival",IF(OR(J124="",J124&lt;1),"Rooms must be at least 1",IF(D124="","Guest name missing",IF(COUNTIF($A$2:$A$251,A124)&gt;1,"Duplicate reservation ID",IF(AND(P124="Confirmed",G124&gt;=TODAY(),G124&lt;=TODAY()+'Setup &amp; Lists'!$B$12,Q124=""),"Assign room for near-term arrival",IF(AND(G124&lt;TODAY(),P124="Confirmed"),"Past-due confirmed arrival",IF(AND(G124&gt;TODAY(),P124="Confirmed",AC124&lt;AB124),"Deposit shortfall",IF(AND(H124&lt;TODAY(),AD124&gt;0,P124&lt;&gt;"Cancelled"),"Balance remains after departure",IF(R124&lt;0,"Nightly rate is negative",IF(AC124&gt;Z124,"Deposit paid exceeds total value",""))))))))))),"")</f>
        <v/>
      </c>
    </row>
    <row r="125">
      <c r="A125" s="25" t="n"/>
      <c r="B125" s="25" t="n"/>
      <c r="C125" s="50" t="n"/>
      <c r="D125" s="25" t="n"/>
      <c r="E125" s="25" t="n"/>
      <c r="F125" s="25" t="n"/>
      <c r="G125" s="50" t="n"/>
      <c r="H125" s="50" t="n"/>
      <c r="I125" s="27">
        <f>IFERROR(IF(A125="","",MAX(0,H125-G125)),"")</f>
        <v/>
      </c>
      <c r="J125" s="28" t="n"/>
      <c r="K125" s="28" t="n"/>
      <c r="L125" s="28" t="n"/>
      <c r="M125" s="25" t="n"/>
      <c r="N125" s="25" t="n"/>
      <c r="O125" s="25" t="n"/>
      <c r="P125" s="25" t="n"/>
      <c r="Q125" s="25" t="n"/>
      <c r="R125" s="51" t="n"/>
      <c r="S125" s="52" t="n"/>
      <c r="T125" s="51" t="n"/>
      <c r="U125" s="52" t="n"/>
      <c r="V125" s="52" t="n"/>
      <c r="W125" s="53">
        <f>IFERROR(IF(A125="","",ROUND(I125*J125*R125*(1-S125),2)),"")</f>
        <v/>
      </c>
      <c r="X125" s="53">
        <f>IFERROR(IF(A125="","",ROUND(W125*IF(V125="",'Setup &amp; Lists'!$B$7,V125),2)),"")</f>
        <v/>
      </c>
      <c r="Y125" s="53">
        <f>IFERROR(IF(A125="","",ROUND((W125+IF('Setup &amp; Lists'!$B$8="Yes",T125,0)+IF('Setup &amp; Lists'!$B$9="Yes",X125,0))*IF(U125="",'Setup &amp; Lists'!$B$6,U125),2)),"")</f>
        <v/>
      </c>
      <c r="Z125" s="53">
        <f>IFERROR(IF(A125="","",ROUND(W125+T125+X125+Y125,2)),"")</f>
        <v/>
      </c>
      <c r="AA125" s="51" t="n"/>
      <c r="AB125" s="53">
        <f>IFERROR(IF(A125="","",ROUND(IF(AA125&lt;&gt;"",AA125,Z125*'Setup &amp; Lists'!$B$10),2)),"")</f>
        <v/>
      </c>
      <c r="AC125" s="51" t="n"/>
      <c r="AD125" s="53">
        <f>IFERROR(IF(A125="","",MAX(0,ROUND(Z125-AC125,2))),"")</f>
        <v/>
      </c>
      <c r="AE125" s="32">
        <f>IFERROR(IF(A125="","",IF(AD125=0,"Paid",IF(AC125&gt;=AB125,"Deposit Met",IF(AC125&gt;0,"Partial Payment","Unpaid")))),"")</f>
        <v/>
      </c>
      <c r="AF125" s="54">
        <f>IFERROR(IF(OR(A125="",G125=""),"",G125-('Setup &amp; Lists'!$B$11/24)),"")</f>
        <v/>
      </c>
      <c r="AG125" s="25" t="n"/>
      <c r="AH125" s="25" t="n"/>
      <c r="AI125" s="50" t="n"/>
      <c r="AJ125" s="32">
        <f>IFERROR(IF(A125="","",IF(H125&lt;=G125,"Departure must be after arrival",IF(OR(J125="",J125&lt;1),"Rooms must be at least 1",IF(D125="","Guest name missing",IF(COUNTIF($A$2:$A$251,A125)&gt;1,"Duplicate reservation ID",IF(AND(P125="Confirmed",G125&gt;=TODAY(),G125&lt;=TODAY()+'Setup &amp; Lists'!$B$12,Q125=""),"Assign room for near-term arrival",IF(AND(G125&lt;TODAY(),P125="Confirmed"),"Past-due confirmed arrival",IF(AND(G125&gt;TODAY(),P125="Confirmed",AC125&lt;AB125),"Deposit shortfall",IF(AND(H125&lt;TODAY(),AD125&gt;0,P125&lt;&gt;"Cancelled"),"Balance remains after departure",IF(R125&lt;0,"Nightly rate is negative",IF(AC125&gt;Z125,"Deposit paid exceeds total value",""))))))))))),"")</f>
        <v/>
      </c>
    </row>
    <row r="126">
      <c r="A126" s="25" t="n"/>
      <c r="B126" s="25" t="n"/>
      <c r="C126" s="50" t="n"/>
      <c r="D126" s="25" t="n"/>
      <c r="E126" s="25" t="n"/>
      <c r="F126" s="25" t="n"/>
      <c r="G126" s="50" t="n"/>
      <c r="H126" s="50" t="n"/>
      <c r="I126" s="27">
        <f>IFERROR(IF(A126="","",MAX(0,H126-G126)),"")</f>
        <v/>
      </c>
      <c r="J126" s="28" t="n"/>
      <c r="K126" s="28" t="n"/>
      <c r="L126" s="28" t="n"/>
      <c r="M126" s="25" t="n"/>
      <c r="N126" s="25" t="n"/>
      <c r="O126" s="25" t="n"/>
      <c r="P126" s="25" t="n"/>
      <c r="Q126" s="25" t="n"/>
      <c r="R126" s="51" t="n"/>
      <c r="S126" s="52" t="n"/>
      <c r="T126" s="51" t="n"/>
      <c r="U126" s="52" t="n"/>
      <c r="V126" s="52" t="n"/>
      <c r="W126" s="53">
        <f>IFERROR(IF(A126="","",ROUND(I126*J126*R126*(1-S126),2)),"")</f>
        <v/>
      </c>
      <c r="X126" s="53">
        <f>IFERROR(IF(A126="","",ROUND(W126*IF(V126="",'Setup &amp; Lists'!$B$7,V126),2)),"")</f>
        <v/>
      </c>
      <c r="Y126" s="53">
        <f>IFERROR(IF(A126="","",ROUND((W126+IF('Setup &amp; Lists'!$B$8="Yes",T126,0)+IF('Setup &amp; Lists'!$B$9="Yes",X126,0))*IF(U126="",'Setup &amp; Lists'!$B$6,U126),2)),"")</f>
        <v/>
      </c>
      <c r="Z126" s="53">
        <f>IFERROR(IF(A126="","",ROUND(W126+T126+X126+Y126,2)),"")</f>
        <v/>
      </c>
      <c r="AA126" s="51" t="n"/>
      <c r="AB126" s="53">
        <f>IFERROR(IF(A126="","",ROUND(IF(AA126&lt;&gt;"",AA126,Z126*'Setup &amp; Lists'!$B$10),2)),"")</f>
        <v/>
      </c>
      <c r="AC126" s="51" t="n"/>
      <c r="AD126" s="53">
        <f>IFERROR(IF(A126="","",MAX(0,ROUND(Z126-AC126,2))),"")</f>
        <v/>
      </c>
      <c r="AE126" s="32">
        <f>IFERROR(IF(A126="","",IF(AD126=0,"Paid",IF(AC126&gt;=AB126,"Deposit Met",IF(AC126&gt;0,"Partial Payment","Unpaid")))),"")</f>
        <v/>
      </c>
      <c r="AF126" s="54">
        <f>IFERROR(IF(OR(A126="",G126=""),"",G126-('Setup &amp; Lists'!$B$11/24)),"")</f>
        <v/>
      </c>
      <c r="AG126" s="25" t="n"/>
      <c r="AH126" s="25" t="n"/>
      <c r="AI126" s="50" t="n"/>
      <c r="AJ126" s="32">
        <f>IFERROR(IF(A126="","",IF(H126&lt;=G126,"Departure must be after arrival",IF(OR(J126="",J126&lt;1),"Rooms must be at least 1",IF(D126="","Guest name missing",IF(COUNTIF($A$2:$A$251,A126)&gt;1,"Duplicate reservation ID",IF(AND(P126="Confirmed",G126&gt;=TODAY(),G126&lt;=TODAY()+'Setup &amp; Lists'!$B$12,Q126=""),"Assign room for near-term arrival",IF(AND(G126&lt;TODAY(),P126="Confirmed"),"Past-due confirmed arrival",IF(AND(G126&gt;TODAY(),P126="Confirmed",AC126&lt;AB126),"Deposit shortfall",IF(AND(H126&lt;TODAY(),AD126&gt;0,P126&lt;&gt;"Cancelled"),"Balance remains after departure",IF(R126&lt;0,"Nightly rate is negative",IF(AC126&gt;Z126,"Deposit paid exceeds total value",""))))))))))),"")</f>
        <v/>
      </c>
    </row>
    <row r="127">
      <c r="A127" s="25" t="n"/>
      <c r="B127" s="25" t="n"/>
      <c r="C127" s="50" t="n"/>
      <c r="D127" s="25" t="n"/>
      <c r="E127" s="25" t="n"/>
      <c r="F127" s="25" t="n"/>
      <c r="G127" s="50" t="n"/>
      <c r="H127" s="50" t="n"/>
      <c r="I127" s="27">
        <f>IFERROR(IF(A127="","",MAX(0,H127-G127)),"")</f>
        <v/>
      </c>
      <c r="J127" s="28" t="n"/>
      <c r="K127" s="28" t="n"/>
      <c r="L127" s="28" t="n"/>
      <c r="M127" s="25" t="n"/>
      <c r="N127" s="25" t="n"/>
      <c r="O127" s="25" t="n"/>
      <c r="P127" s="25" t="n"/>
      <c r="Q127" s="25" t="n"/>
      <c r="R127" s="51" t="n"/>
      <c r="S127" s="52" t="n"/>
      <c r="T127" s="51" t="n"/>
      <c r="U127" s="52" t="n"/>
      <c r="V127" s="52" t="n"/>
      <c r="W127" s="53">
        <f>IFERROR(IF(A127="","",ROUND(I127*J127*R127*(1-S127),2)),"")</f>
        <v/>
      </c>
      <c r="X127" s="53">
        <f>IFERROR(IF(A127="","",ROUND(W127*IF(V127="",'Setup &amp; Lists'!$B$7,V127),2)),"")</f>
        <v/>
      </c>
      <c r="Y127" s="53">
        <f>IFERROR(IF(A127="","",ROUND((W127+IF('Setup &amp; Lists'!$B$8="Yes",T127,0)+IF('Setup &amp; Lists'!$B$9="Yes",X127,0))*IF(U127="",'Setup &amp; Lists'!$B$6,U127),2)),"")</f>
        <v/>
      </c>
      <c r="Z127" s="53">
        <f>IFERROR(IF(A127="","",ROUND(W127+T127+X127+Y127,2)),"")</f>
        <v/>
      </c>
      <c r="AA127" s="51" t="n"/>
      <c r="AB127" s="53">
        <f>IFERROR(IF(A127="","",ROUND(IF(AA127&lt;&gt;"",AA127,Z127*'Setup &amp; Lists'!$B$10),2)),"")</f>
        <v/>
      </c>
      <c r="AC127" s="51" t="n"/>
      <c r="AD127" s="53">
        <f>IFERROR(IF(A127="","",MAX(0,ROUND(Z127-AC127,2))),"")</f>
        <v/>
      </c>
      <c r="AE127" s="32">
        <f>IFERROR(IF(A127="","",IF(AD127=0,"Paid",IF(AC127&gt;=AB127,"Deposit Met",IF(AC127&gt;0,"Partial Payment","Unpaid")))),"")</f>
        <v/>
      </c>
      <c r="AF127" s="54">
        <f>IFERROR(IF(OR(A127="",G127=""),"",G127-('Setup &amp; Lists'!$B$11/24)),"")</f>
        <v/>
      </c>
      <c r="AG127" s="25" t="n"/>
      <c r="AH127" s="25" t="n"/>
      <c r="AI127" s="50" t="n"/>
      <c r="AJ127" s="32">
        <f>IFERROR(IF(A127="","",IF(H127&lt;=G127,"Departure must be after arrival",IF(OR(J127="",J127&lt;1),"Rooms must be at least 1",IF(D127="","Guest name missing",IF(COUNTIF($A$2:$A$251,A127)&gt;1,"Duplicate reservation ID",IF(AND(P127="Confirmed",G127&gt;=TODAY(),G127&lt;=TODAY()+'Setup &amp; Lists'!$B$12,Q127=""),"Assign room for near-term arrival",IF(AND(G127&lt;TODAY(),P127="Confirmed"),"Past-due confirmed arrival",IF(AND(G127&gt;TODAY(),P127="Confirmed",AC127&lt;AB127),"Deposit shortfall",IF(AND(H127&lt;TODAY(),AD127&gt;0,P127&lt;&gt;"Cancelled"),"Balance remains after departure",IF(R127&lt;0,"Nightly rate is negative",IF(AC127&gt;Z127,"Deposit paid exceeds total value",""))))))))))),"")</f>
        <v/>
      </c>
    </row>
    <row r="128">
      <c r="A128" s="25" t="n"/>
      <c r="B128" s="25" t="n"/>
      <c r="C128" s="50" t="n"/>
      <c r="D128" s="25" t="n"/>
      <c r="E128" s="25" t="n"/>
      <c r="F128" s="25" t="n"/>
      <c r="G128" s="50" t="n"/>
      <c r="H128" s="50" t="n"/>
      <c r="I128" s="27">
        <f>IFERROR(IF(A128="","",MAX(0,H128-G128)),"")</f>
        <v/>
      </c>
      <c r="J128" s="28" t="n"/>
      <c r="K128" s="28" t="n"/>
      <c r="L128" s="28" t="n"/>
      <c r="M128" s="25" t="n"/>
      <c r="N128" s="25" t="n"/>
      <c r="O128" s="25" t="n"/>
      <c r="P128" s="25" t="n"/>
      <c r="Q128" s="25" t="n"/>
      <c r="R128" s="51" t="n"/>
      <c r="S128" s="52" t="n"/>
      <c r="T128" s="51" t="n"/>
      <c r="U128" s="52" t="n"/>
      <c r="V128" s="52" t="n"/>
      <c r="W128" s="53">
        <f>IFERROR(IF(A128="","",ROUND(I128*J128*R128*(1-S128),2)),"")</f>
        <v/>
      </c>
      <c r="X128" s="53">
        <f>IFERROR(IF(A128="","",ROUND(W128*IF(V128="",'Setup &amp; Lists'!$B$7,V128),2)),"")</f>
        <v/>
      </c>
      <c r="Y128" s="53">
        <f>IFERROR(IF(A128="","",ROUND((W128+IF('Setup &amp; Lists'!$B$8="Yes",T128,0)+IF('Setup &amp; Lists'!$B$9="Yes",X128,0))*IF(U128="",'Setup &amp; Lists'!$B$6,U128),2)),"")</f>
        <v/>
      </c>
      <c r="Z128" s="53">
        <f>IFERROR(IF(A128="","",ROUND(W128+T128+X128+Y128,2)),"")</f>
        <v/>
      </c>
      <c r="AA128" s="51" t="n"/>
      <c r="AB128" s="53">
        <f>IFERROR(IF(A128="","",ROUND(IF(AA128&lt;&gt;"",AA128,Z128*'Setup &amp; Lists'!$B$10),2)),"")</f>
        <v/>
      </c>
      <c r="AC128" s="51" t="n"/>
      <c r="AD128" s="53">
        <f>IFERROR(IF(A128="","",MAX(0,ROUND(Z128-AC128,2))),"")</f>
        <v/>
      </c>
      <c r="AE128" s="32">
        <f>IFERROR(IF(A128="","",IF(AD128=0,"Paid",IF(AC128&gt;=AB128,"Deposit Met",IF(AC128&gt;0,"Partial Payment","Unpaid")))),"")</f>
        <v/>
      </c>
      <c r="AF128" s="54">
        <f>IFERROR(IF(OR(A128="",G128=""),"",G128-('Setup &amp; Lists'!$B$11/24)),"")</f>
        <v/>
      </c>
      <c r="AG128" s="25" t="n"/>
      <c r="AH128" s="25" t="n"/>
      <c r="AI128" s="50" t="n"/>
      <c r="AJ128" s="32">
        <f>IFERROR(IF(A128="","",IF(H128&lt;=G128,"Departure must be after arrival",IF(OR(J128="",J128&lt;1),"Rooms must be at least 1",IF(D128="","Guest name missing",IF(COUNTIF($A$2:$A$251,A128)&gt;1,"Duplicate reservation ID",IF(AND(P128="Confirmed",G128&gt;=TODAY(),G128&lt;=TODAY()+'Setup &amp; Lists'!$B$12,Q128=""),"Assign room for near-term arrival",IF(AND(G128&lt;TODAY(),P128="Confirmed"),"Past-due confirmed arrival",IF(AND(G128&gt;TODAY(),P128="Confirmed",AC128&lt;AB128),"Deposit shortfall",IF(AND(H128&lt;TODAY(),AD128&gt;0,P128&lt;&gt;"Cancelled"),"Balance remains after departure",IF(R128&lt;0,"Nightly rate is negative",IF(AC128&gt;Z128,"Deposit paid exceeds total value",""))))))))))),"")</f>
        <v/>
      </c>
    </row>
    <row r="129">
      <c r="A129" s="25" t="n"/>
      <c r="B129" s="25" t="n"/>
      <c r="C129" s="50" t="n"/>
      <c r="D129" s="25" t="n"/>
      <c r="E129" s="25" t="n"/>
      <c r="F129" s="25" t="n"/>
      <c r="G129" s="50" t="n"/>
      <c r="H129" s="50" t="n"/>
      <c r="I129" s="27">
        <f>IFERROR(IF(A129="","",MAX(0,H129-G129)),"")</f>
        <v/>
      </c>
      <c r="J129" s="28" t="n"/>
      <c r="K129" s="28" t="n"/>
      <c r="L129" s="28" t="n"/>
      <c r="M129" s="25" t="n"/>
      <c r="N129" s="25" t="n"/>
      <c r="O129" s="25" t="n"/>
      <c r="P129" s="25" t="n"/>
      <c r="Q129" s="25" t="n"/>
      <c r="R129" s="51" t="n"/>
      <c r="S129" s="52" t="n"/>
      <c r="T129" s="51" t="n"/>
      <c r="U129" s="52" t="n"/>
      <c r="V129" s="52" t="n"/>
      <c r="W129" s="53">
        <f>IFERROR(IF(A129="","",ROUND(I129*J129*R129*(1-S129),2)),"")</f>
        <v/>
      </c>
      <c r="X129" s="53">
        <f>IFERROR(IF(A129="","",ROUND(W129*IF(V129="",'Setup &amp; Lists'!$B$7,V129),2)),"")</f>
        <v/>
      </c>
      <c r="Y129" s="53">
        <f>IFERROR(IF(A129="","",ROUND((W129+IF('Setup &amp; Lists'!$B$8="Yes",T129,0)+IF('Setup &amp; Lists'!$B$9="Yes",X129,0))*IF(U129="",'Setup &amp; Lists'!$B$6,U129),2)),"")</f>
        <v/>
      </c>
      <c r="Z129" s="53">
        <f>IFERROR(IF(A129="","",ROUND(W129+T129+X129+Y129,2)),"")</f>
        <v/>
      </c>
      <c r="AA129" s="51" t="n"/>
      <c r="AB129" s="53">
        <f>IFERROR(IF(A129="","",ROUND(IF(AA129&lt;&gt;"",AA129,Z129*'Setup &amp; Lists'!$B$10),2)),"")</f>
        <v/>
      </c>
      <c r="AC129" s="51" t="n"/>
      <c r="AD129" s="53">
        <f>IFERROR(IF(A129="","",MAX(0,ROUND(Z129-AC129,2))),"")</f>
        <v/>
      </c>
      <c r="AE129" s="32">
        <f>IFERROR(IF(A129="","",IF(AD129=0,"Paid",IF(AC129&gt;=AB129,"Deposit Met",IF(AC129&gt;0,"Partial Payment","Unpaid")))),"")</f>
        <v/>
      </c>
      <c r="AF129" s="54">
        <f>IFERROR(IF(OR(A129="",G129=""),"",G129-('Setup &amp; Lists'!$B$11/24)),"")</f>
        <v/>
      </c>
      <c r="AG129" s="25" t="n"/>
      <c r="AH129" s="25" t="n"/>
      <c r="AI129" s="50" t="n"/>
      <c r="AJ129" s="32">
        <f>IFERROR(IF(A129="","",IF(H129&lt;=G129,"Departure must be after arrival",IF(OR(J129="",J129&lt;1),"Rooms must be at least 1",IF(D129="","Guest name missing",IF(COUNTIF($A$2:$A$251,A129)&gt;1,"Duplicate reservation ID",IF(AND(P129="Confirmed",G129&gt;=TODAY(),G129&lt;=TODAY()+'Setup &amp; Lists'!$B$12,Q129=""),"Assign room for near-term arrival",IF(AND(G129&lt;TODAY(),P129="Confirmed"),"Past-due confirmed arrival",IF(AND(G129&gt;TODAY(),P129="Confirmed",AC129&lt;AB129),"Deposit shortfall",IF(AND(H129&lt;TODAY(),AD129&gt;0,P129&lt;&gt;"Cancelled"),"Balance remains after departure",IF(R129&lt;0,"Nightly rate is negative",IF(AC129&gt;Z129,"Deposit paid exceeds total value",""))))))))))),"")</f>
        <v/>
      </c>
    </row>
    <row r="130">
      <c r="A130" s="25" t="n"/>
      <c r="B130" s="25" t="n"/>
      <c r="C130" s="50" t="n"/>
      <c r="D130" s="25" t="n"/>
      <c r="E130" s="25" t="n"/>
      <c r="F130" s="25" t="n"/>
      <c r="G130" s="50" t="n"/>
      <c r="H130" s="50" t="n"/>
      <c r="I130" s="27">
        <f>IFERROR(IF(A130="","",MAX(0,H130-G130)),"")</f>
        <v/>
      </c>
      <c r="J130" s="28" t="n"/>
      <c r="K130" s="28" t="n"/>
      <c r="L130" s="28" t="n"/>
      <c r="M130" s="25" t="n"/>
      <c r="N130" s="25" t="n"/>
      <c r="O130" s="25" t="n"/>
      <c r="P130" s="25" t="n"/>
      <c r="Q130" s="25" t="n"/>
      <c r="R130" s="51" t="n"/>
      <c r="S130" s="52" t="n"/>
      <c r="T130" s="51" t="n"/>
      <c r="U130" s="52" t="n"/>
      <c r="V130" s="52" t="n"/>
      <c r="W130" s="53">
        <f>IFERROR(IF(A130="","",ROUND(I130*J130*R130*(1-S130),2)),"")</f>
        <v/>
      </c>
      <c r="X130" s="53">
        <f>IFERROR(IF(A130="","",ROUND(W130*IF(V130="",'Setup &amp; Lists'!$B$7,V130),2)),"")</f>
        <v/>
      </c>
      <c r="Y130" s="53">
        <f>IFERROR(IF(A130="","",ROUND((W130+IF('Setup &amp; Lists'!$B$8="Yes",T130,0)+IF('Setup &amp; Lists'!$B$9="Yes",X130,0))*IF(U130="",'Setup &amp; Lists'!$B$6,U130),2)),"")</f>
        <v/>
      </c>
      <c r="Z130" s="53">
        <f>IFERROR(IF(A130="","",ROUND(W130+T130+X130+Y130,2)),"")</f>
        <v/>
      </c>
      <c r="AA130" s="51" t="n"/>
      <c r="AB130" s="53">
        <f>IFERROR(IF(A130="","",ROUND(IF(AA130&lt;&gt;"",AA130,Z130*'Setup &amp; Lists'!$B$10),2)),"")</f>
        <v/>
      </c>
      <c r="AC130" s="51" t="n"/>
      <c r="AD130" s="53">
        <f>IFERROR(IF(A130="","",MAX(0,ROUND(Z130-AC130,2))),"")</f>
        <v/>
      </c>
      <c r="AE130" s="32">
        <f>IFERROR(IF(A130="","",IF(AD130=0,"Paid",IF(AC130&gt;=AB130,"Deposit Met",IF(AC130&gt;0,"Partial Payment","Unpaid")))),"")</f>
        <v/>
      </c>
      <c r="AF130" s="54">
        <f>IFERROR(IF(OR(A130="",G130=""),"",G130-('Setup &amp; Lists'!$B$11/24)),"")</f>
        <v/>
      </c>
      <c r="AG130" s="25" t="n"/>
      <c r="AH130" s="25" t="n"/>
      <c r="AI130" s="50" t="n"/>
      <c r="AJ130" s="32">
        <f>IFERROR(IF(A130="","",IF(H130&lt;=G130,"Departure must be after arrival",IF(OR(J130="",J130&lt;1),"Rooms must be at least 1",IF(D130="","Guest name missing",IF(COUNTIF($A$2:$A$251,A130)&gt;1,"Duplicate reservation ID",IF(AND(P130="Confirmed",G130&gt;=TODAY(),G130&lt;=TODAY()+'Setup &amp; Lists'!$B$12,Q130=""),"Assign room for near-term arrival",IF(AND(G130&lt;TODAY(),P130="Confirmed"),"Past-due confirmed arrival",IF(AND(G130&gt;TODAY(),P130="Confirmed",AC130&lt;AB130),"Deposit shortfall",IF(AND(H130&lt;TODAY(),AD130&gt;0,P130&lt;&gt;"Cancelled"),"Balance remains after departure",IF(R130&lt;0,"Nightly rate is negative",IF(AC130&gt;Z130,"Deposit paid exceeds total value",""))))))))))),"")</f>
        <v/>
      </c>
    </row>
    <row r="131">
      <c r="A131" s="25" t="n"/>
      <c r="B131" s="25" t="n"/>
      <c r="C131" s="50" t="n"/>
      <c r="D131" s="25" t="n"/>
      <c r="E131" s="25" t="n"/>
      <c r="F131" s="25" t="n"/>
      <c r="G131" s="50" t="n"/>
      <c r="H131" s="50" t="n"/>
      <c r="I131" s="27">
        <f>IFERROR(IF(A131="","",MAX(0,H131-G131)),"")</f>
        <v/>
      </c>
      <c r="J131" s="28" t="n"/>
      <c r="K131" s="28" t="n"/>
      <c r="L131" s="28" t="n"/>
      <c r="M131" s="25" t="n"/>
      <c r="N131" s="25" t="n"/>
      <c r="O131" s="25" t="n"/>
      <c r="P131" s="25" t="n"/>
      <c r="Q131" s="25" t="n"/>
      <c r="R131" s="51" t="n"/>
      <c r="S131" s="52" t="n"/>
      <c r="T131" s="51" t="n"/>
      <c r="U131" s="52" t="n"/>
      <c r="V131" s="52" t="n"/>
      <c r="W131" s="53">
        <f>IFERROR(IF(A131="","",ROUND(I131*J131*R131*(1-S131),2)),"")</f>
        <v/>
      </c>
      <c r="X131" s="53">
        <f>IFERROR(IF(A131="","",ROUND(W131*IF(V131="",'Setup &amp; Lists'!$B$7,V131),2)),"")</f>
        <v/>
      </c>
      <c r="Y131" s="53">
        <f>IFERROR(IF(A131="","",ROUND((W131+IF('Setup &amp; Lists'!$B$8="Yes",T131,0)+IF('Setup &amp; Lists'!$B$9="Yes",X131,0))*IF(U131="",'Setup &amp; Lists'!$B$6,U131),2)),"")</f>
        <v/>
      </c>
      <c r="Z131" s="53">
        <f>IFERROR(IF(A131="","",ROUND(W131+T131+X131+Y131,2)),"")</f>
        <v/>
      </c>
      <c r="AA131" s="51" t="n"/>
      <c r="AB131" s="53">
        <f>IFERROR(IF(A131="","",ROUND(IF(AA131&lt;&gt;"",AA131,Z131*'Setup &amp; Lists'!$B$10),2)),"")</f>
        <v/>
      </c>
      <c r="AC131" s="51" t="n"/>
      <c r="AD131" s="53">
        <f>IFERROR(IF(A131="","",MAX(0,ROUND(Z131-AC131,2))),"")</f>
        <v/>
      </c>
      <c r="AE131" s="32">
        <f>IFERROR(IF(A131="","",IF(AD131=0,"Paid",IF(AC131&gt;=AB131,"Deposit Met",IF(AC131&gt;0,"Partial Payment","Unpaid")))),"")</f>
        <v/>
      </c>
      <c r="AF131" s="54">
        <f>IFERROR(IF(OR(A131="",G131=""),"",G131-('Setup &amp; Lists'!$B$11/24)),"")</f>
        <v/>
      </c>
      <c r="AG131" s="25" t="n"/>
      <c r="AH131" s="25" t="n"/>
      <c r="AI131" s="50" t="n"/>
      <c r="AJ131" s="32">
        <f>IFERROR(IF(A131="","",IF(H131&lt;=G131,"Departure must be after arrival",IF(OR(J131="",J131&lt;1),"Rooms must be at least 1",IF(D131="","Guest name missing",IF(COUNTIF($A$2:$A$251,A131)&gt;1,"Duplicate reservation ID",IF(AND(P131="Confirmed",G131&gt;=TODAY(),G131&lt;=TODAY()+'Setup &amp; Lists'!$B$12,Q131=""),"Assign room for near-term arrival",IF(AND(G131&lt;TODAY(),P131="Confirmed"),"Past-due confirmed arrival",IF(AND(G131&gt;TODAY(),P131="Confirmed",AC131&lt;AB131),"Deposit shortfall",IF(AND(H131&lt;TODAY(),AD131&gt;0,P131&lt;&gt;"Cancelled"),"Balance remains after departure",IF(R131&lt;0,"Nightly rate is negative",IF(AC131&gt;Z131,"Deposit paid exceeds total value",""))))))))))),"")</f>
        <v/>
      </c>
    </row>
    <row r="132">
      <c r="A132" s="25" t="n"/>
      <c r="B132" s="25" t="n"/>
      <c r="C132" s="50" t="n"/>
      <c r="D132" s="25" t="n"/>
      <c r="E132" s="25" t="n"/>
      <c r="F132" s="25" t="n"/>
      <c r="G132" s="50" t="n"/>
      <c r="H132" s="50" t="n"/>
      <c r="I132" s="27">
        <f>IFERROR(IF(A132="","",MAX(0,H132-G132)),"")</f>
        <v/>
      </c>
      <c r="J132" s="28" t="n"/>
      <c r="K132" s="28" t="n"/>
      <c r="L132" s="28" t="n"/>
      <c r="M132" s="25" t="n"/>
      <c r="N132" s="25" t="n"/>
      <c r="O132" s="25" t="n"/>
      <c r="P132" s="25" t="n"/>
      <c r="Q132" s="25" t="n"/>
      <c r="R132" s="51" t="n"/>
      <c r="S132" s="52" t="n"/>
      <c r="T132" s="51" t="n"/>
      <c r="U132" s="52" t="n"/>
      <c r="V132" s="52" t="n"/>
      <c r="W132" s="53">
        <f>IFERROR(IF(A132="","",ROUND(I132*J132*R132*(1-S132),2)),"")</f>
        <v/>
      </c>
      <c r="X132" s="53">
        <f>IFERROR(IF(A132="","",ROUND(W132*IF(V132="",'Setup &amp; Lists'!$B$7,V132),2)),"")</f>
        <v/>
      </c>
      <c r="Y132" s="53">
        <f>IFERROR(IF(A132="","",ROUND((W132+IF('Setup &amp; Lists'!$B$8="Yes",T132,0)+IF('Setup &amp; Lists'!$B$9="Yes",X132,0))*IF(U132="",'Setup &amp; Lists'!$B$6,U132),2)),"")</f>
        <v/>
      </c>
      <c r="Z132" s="53">
        <f>IFERROR(IF(A132="","",ROUND(W132+T132+X132+Y132,2)),"")</f>
        <v/>
      </c>
      <c r="AA132" s="51" t="n"/>
      <c r="AB132" s="53">
        <f>IFERROR(IF(A132="","",ROUND(IF(AA132&lt;&gt;"",AA132,Z132*'Setup &amp; Lists'!$B$10),2)),"")</f>
        <v/>
      </c>
      <c r="AC132" s="51" t="n"/>
      <c r="AD132" s="53">
        <f>IFERROR(IF(A132="","",MAX(0,ROUND(Z132-AC132,2))),"")</f>
        <v/>
      </c>
      <c r="AE132" s="32">
        <f>IFERROR(IF(A132="","",IF(AD132=0,"Paid",IF(AC132&gt;=AB132,"Deposit Met",IF(AC132&gt;0,"Partial Payment","Unpaid")))),"")</f>
        <v/>
      </c>
      <c r="AF132" s="54">
        <f>IFERROR(IF(OR(A132="",G132=""),"",G132-('Setup &amp; Lists'!$B$11/24)),"")</f>
        <v/>
      </c>
      <c r="AG132" s="25" t="n"/>
      <c r="AH132" s="25" t="n"/>
      <c r="AI132" s="50" t="n"/>
      <c r="AJ132" s="32">
        <f>IFERROR(IF(A132="","",IF(H132&lt;=G132,"Departure must be after arrival",IF(OR(J132="",J132&lt;1),"Rooms must be at least 1",IF(D132="","Guest name missing",IF(COUNTIF($A$2:$A$251,A132)&gt;1,"Duplicate reservation ID",IF(AND(P132="Confirmed",G132&gt;=TODAY(),G132&lt;=TODAY()+'Setup &amp; Lists'!$B$12,Q132=""),"Assign room for near-term arrival",IF(AND(G132&lt;TODAY(),P132="Confirmed"),"Past-due confirmed arrival",IF(AND(G132&gt;TODAY(),P132="Confirmed",AC132&lt;AB132),"Deposit shortfall",IF(AND(H132&lt;TODAY(),AD132&gt;0,P132&lt;&gt;"Cancelled"),"Balance remains after departure",IF(R132&lt;0,"Nightly rate is negative",IF(AC132&gt;Z132,"Deposit paid exceeds total value",""))))))))))),"")</f>
        <v/>
      </c>
    </row>
    <row r="133">
      <c r="A133" s="25" t="n"/>
      <c r="B133" s="25" t="n"/>
      <c r="C133" s="50" t="n"/>
      <c r="D133" s="25" t="n"/>
      <c r="E133" s="25" t="n"/>
      <c r="F133" s="25" t="n"/>
      <c r="G133" s="50" t="n"/>
      <c r="H133" s="50" t="n"/>
      <c r="I133" s="27">
        <f>IFERROR(IF(A133="","",MAX(0,H133-G133)),"")</f>
        <v/>
      </c>
      <c r="J133" s="28" t="n"/>
      <c r="K133" s="28" t="n"/>
      <c r="L133" s="28" t="n"/>
      <c r="M133" s="25" t="n"/>
      <c r="N133" s="25" t="n"/>
      <c r="O133" s="25" t="n"/>
      <c r="P133" s="25" t="n"/>
      <c r="Q133" s="25" t="n"/>
      <c r="R133" s="51" t="n"/>
      <c r="S133" s="52" t="n"/>
      <c r="T133" s="51" t="n"/>
      <c r="U133" s="52" t="n"/>
      <c r="V133" s="52" t="n"/>
      <c r="W133" s="53">
        <f>IFERROR(IF(A133="","",ROUND(I133*J133*R133*(1-S133),2)),"")</f>
        <v/>
      </c>
      <c r="X133" s="53">
        <f>IFERROR(IF(A133="","",ROUND(W133*IF(V133="",'Setup &amp; Lists'!$B$7,V133),2)),"")</f>
        <v/>
      </c>
      <c r="Y133" s="53">
        <f>IFERROR(IF(A133="","",ROUND((W133+IF('Setup &amp; Lists'!$B$8="Yes",T133,0)+IF('Setup &amp; Lists'!$B$9="Yes",X133,0))*IF(U133="",'Setup &amp; Lists'!$B$6,U133),2)),"")</f>
        <v/>
      </c>
      <c r="Z133" s="53">
        <f>IFERROR(IF(A133="","",ROUND(W133+T133+X133+Y133,2)),"")</f>
        <v/>
      </c>
      <c r="AA133" s="51" t="n"/>
      <c r="AB133" s="53">
        <f>IFERROR(IF(A133="","",ROUND(IF(AA133&lt;&gt;"",AA133,Z133*'Setup &amp; Lists'!$B$10),2)),"")</f>
        <v/>
      </c>
      <c r="AC133" s="51" t="n"/>
      <c r="AD133" s="53">
        <f>IFERROR(IF(A133="","",MAX(0,ROUND(Z133-AC133,2))),"")</f>
        <v/>
      </c>
      <c r="AE133" s="32">
        <f>IFERROR(IF(A133="","",IF(AD133=0,"Paid",IF(AC133&gt;=AB133,"Deposit Met",IF(AC133&gt;0,"Partial Payment","Unpaid")))),"")</f>
        <v/>
      </c>
      <c r="AF133" s="54">
        <f>IFERROR(IF(OR(A133="",G133=""),"",G133-('Setup &amp; Lists'!$B$11/24)),"")</f>
        <v/>
      </c>
      <c r="AG133" s="25" t="n"/>
      <c r="AH133" s="25" t="n"/>
      <c r="AI133" s="50" t="n"/>
      <c r="AJ133" s="32">
        <f>IFERROR(IF(A133="","",IF(H133&lt;=G133,"Departure must be after arrival",IF(OR(J133="",J133&lt;1),"Rooms must be at least 1",IF(D133="","Guest name missing",IF(COUNTIF($A$2:$A$251,A133)&gt;1,"Duplicate reservation ID",IF(AND(P133="Confirmed",G133&gt;=TODAY(),G133&lt;=TODAY()+'Setup &amp; Lists'!$B$12,Q133=""),"Assign room for near-term arrival",IF(AND(G133&lt;TODAY(),P133="Confirmed"),"Past-due confirmed arrival",IF(AND(G133&gt;TODAY(),P133="Confirmed",AC133&lt;AB133),"Deposit shortfall",IF(AND(H133&lt;TODAY(),AD133&gt;0,P133&lt;&gt;"Cancelled"),"Balance remains after departure",IF(R133&lt;0,"Nightly rate is negative",IF(AC133&gt;Z133,"Deposit paid exceeds total value",""))))))))))),"")</f>
        <v/>
      </c>
    </row>
    <row r="134">
      <c r="A134" s="25" t="n"/>
      <c r="B134" s="25" t="n"/>
      <c r="C134" s="50" t="n"/>
      <c r="D134" s="25" t="n"/>
      <c r="E134" s="25" t="n"/>
      <c r="F134" s="25" t="n"/>
      <c r="G134" s="50" t="n"/>
      <c r="H134" s="50" t="n"/>
      <c r="I134" s="27">
        <f>IFERROR(IF(A134="","",MAX(0,H134-G134)),"")</f>
        <v/>
      </c>
      <c r="J134" s="28" t="n"/>
      <c r="K134" s="28" t="n"/>
      <c r="L134" s="28" t="n"/>
      <c r="M134" s="25" t="n"/>
      <c r="N134" s="25" t="n"/>
      <c r="O134" s="25" t="n"/>
      <c r="P134" s="25" t="n"/>
      <c r="Q134" s="25" t="n"/>
      <c r="R134" s="51" t="n"/>
      <c r="S134" s="52" t="n"/>
      <c r="T134" s="51" t="n"/>
      <c r="U134" s="52" t="n"/>
      <c r="V134" s="52" t="n"/>
      <c r="W134" s="53">
        <f>IFERROR(IF(A134="","",ROUND(I134*J134*R134*(1-S134),2)),"")</f>
        <v/>
      </c>
      <c r="X134" s="53">
        <f>IFERROR(IF(A134="","",ROUND(W134*IF(V134="",'Setup &amp; Lists'!$B$7,V134),2)),"")</f>
        <v/>
      </c>
      <c r="Y134" s="53">
        <f>IFERROR(IF(A134="","",ROUND((W134+IF('Setup &amp; Lists'!$B$8="Yes",T134,0)+IF('Setup &amp; Lists'!$B$9="Yes",X134,0))*IF(U134="",'Setup &amp; Lists'!$B$6,U134),2)),"")</f>
        <v/>
      </c>
      <c r="Z134" s="53">
        <f>IFERROR(IF(A134="","",ROUND(W134+T134+X134+Y134,2)),"")</f>
        <v/>
      </c>
      <c r="AA134" s="51" t="n"/>
      <c r="AB134" s="53">
        <f>IFERROR(IF(A134="","",ROUND(IF(AA134&lt;&gt;"",AA134,Z134*'Setup &amp; Lists'!$B$10),2)),"")</f>
        <v/>
      </c>
      <c r="AC134" s="51" t="n"/>
      <c r="AD134" s="53">
        <f>IFERROR(IF(A134="","",MAX(0,ROUND(Z134-AC134,2))),"")</f>
        <v/>
      </c>
      <c r="AE134" s="32">
        <f>IFERROR(IF(A134="","",IF(AD134=0,"Paid",IF(AC134&gt;=AB134,"Deposit Met",IF(AC134&gt;0,"Partial Payment","Unpaid")))),"")</f>
        <v/>
      </c>
      <c r="AF134" s="54">
        <f>IFERROR(IF(OR(A134="",G134=""),"",G134-('Setup &amp; Lists'!$B$11/24)),"")</f>
        <v/>
      </c>
      <c r="AG134" s="25" t="n"/>
      <c r="AH134" s="25" t="n"/>
      <c r="AI134" s="50" t="n"/>
      <c r="AJ134" s="32">
        <f>IFERROR(IF(A134="","",IF(H134&lt;=G134,"Departure must be after arrival",IF(OR(J134="",J134&lt;1),"Rooms must be at least 1",IF(D134="","Guest name missing",IF(COUNTIF($A$2:$A$251,A134)&gt;1,"Duplicate reservation ID",IF(AND(P134="Confirmed",G134&gt;=TODAY(),G134&lt;=TODAY()+'Setup &amp; Lists'!$B$12,Q134=""),"Assign room for near-term arrival",IF(AND(G134&lt;TODAY(),P134="Confirmed"),"Past-due confirmed arrival",IF(AND(G134&gt;TODAY(),P134="Confirmed",AC134&lt;AB134),"Deposit shortfall",IF(AND(H134&lt;TODAY(),AD134&gt;0,P134&lt;&gt;"Cancelled"),"Balance remains after departure",IF(R134&lt;0,"Nightly rate is negative",IF(AC134&gt;Z134,"Deposit paid exceeds total value",""))))))))))),"")</f>
        <v/>
      </c>
    </row>
    <row r="135">
      <c r="A135" s="25" t="n"/>
      <c r="B135" s="25" t="n"/>
      <c r="C135" s="50" t="n"/>
      <c r="D135" s="25" t="n"/>
      <c r="E135" s="25" t="n"/>
      <c r="F135" s="25" t="n"/>
      <c r="G135" s="50" t="n"/>
      <c r="H135" s="50" t="n"/>
      <c r="I135" s="27">
        <f>IFERROR(IF(A135="","",MAX(0,H135-G135)),"")</f>
        <v/>
      </c>
      <c r="J135" s="28" t="n"/>
      <c r="K135" s="28" t="n"/>
      <c r="L135" s="28" t="n"/>
      <c r="M135" s="25" t="n"/>
      <c r="N135" s="25" t="n"/>
      <c r="O135" s="25" t="n"/>
      <c r="P135" s="25" t="n"/>
      <c r="Q135" s="25" t="n"/>
      <c r="R135" s="51" t="n"/>
      <c r="S135" s="52" t="n"/>
      <c r="T135" s="51" t="n"/>
      <c r="U135" s="52" t="n"/>
      <c r="V135" s="52" t="n"/>
      <c r="W135" s="53">
        <f>IFERROR(IF(A135="","",ROUND(I135*J135*R135*(1-S135),2)),"")</f>
        <v/>
      </c>
      <c r="X135" s="53">
        <f>IFERROR(IF(A135="","",ROUND(W135*IF(V135="",'Setup &amp; Lists'!$B$7,V135),2)),"")</f>
        <v/>
      </c>
      <c r="Y135" s="53">
        <f>IFERROR(IF(A135="","",ROUND((W135+IF('Setup &amp; Lists'!$B$8="Yes",T135,0)+IF('Setup &amp; Lists'!$B$9="Yes",X135,0))*IF(U135="",'Setup &amp; Lists'!$B$6,U135),2)),"")</f>
        <v/>
      </c>
      <c r="Z135" s="53">
        <f>IFERROR(IF(A135="","",ROUND(W135+T135+X135+Y135,2)),"")</f>
        <v/>
      </c>
      <c r="AA135" s="51" t="n"/>
      <c r="AB135" s="53">
        <f>IFERROR(IF(A135="","",ROUND(IF(AA135&lt;&gt;"",AA135,Z135*'Setup &amp; Lists'!$B$10),2)),"")</f>
        <v/>
      </c>
      <c r="AC135" s="51" t="n"/>
      <c r="AD135" s="53">
        <f>IFERROR(IF(A135="","",MAX(0,ROUND(Z135-AC135,2))),"")</f>
        <v/>
      </c>
      <c r="AE135" s="32">
        <f>IFERROR(IF(A135="","",IF(AD135=0,"Paid",IF(AC135&gt;=AB135,"Deposit Met",IF(AC135&gt;0,"Partial Payment","Unpaid")))),"")</f>
        <v/>
      </c>
      <c r="AF135" s="54">
        <f>IFERROR(IF(OR(A135="",G135=""),"",G135-('Setup &amp; Lists'!$B$11/24)),"")</f>
        <v/>
      </c>
      <c r="AG135" s="25" t="n"/>
      <c r="AH135" s="25" t="n"/>
      <c r="AI135" s="50" t="n"/>
      <c r="AJ135" s="32">
        <f>IFERROR(IF(A135="","",IF(H135&lt;=G135,"Departure must be after arrival",IF(OR(J135="",J135&lt;1),"Rooms must be at least 1",IF(D135="","Guest name missing",IF(COUNTIF($A$2:$A$251,A135)&gt;1,"Duplicate reservation ID",IF(AND(P135="Confirmed",G135&gt;=TODAY(),G135&lt;=TODAY()+'Setup &amp; Lists'!$B$12,Q135=""),"Assign room for near-term arrival",IF(AND(G135&lt;TODAY(),P135="Confirmed"),"Past-due confirmed arrival",IF(AND(G135&gt;TODAY(),P135="Confirmed",AC135&lt;AB135),"Deposit shortfall",IF(AND(H135&lt;TODAY(),AD135&gt;0,P135&lt;&gt;"Cancelled"),"Balance remains after departure",IF(R135&lt;0,"Nightly rate is negative",IF(AC135&gt;Z135,"Deposit paid exceeds total value",""))))))))))),"")</f>
        <v/>
      </c>
    </row>
    <row r="136">
      <c r="A136" s="25" t="n"/>
      <c r="B136" s="25" t="n"/>
      <c r="C136" s="50" t="n"/>
      <c r="D136" s="25" t="n"/>
      <c r="E136" s="25" t="n"/>
      <c r="F136" s="25" t="n"/>
      <c r="G136" s="50" t="n"/>
      <c r="H136" s="50" t="n"/>
      <c r="I136" s="27">
        <f>IFERROR(IF(A136="","",MAX(0,H136-G136)),"")</f>
        <v/>
      </c>
      <c r="J136" s="28" t="n"/>
      <c r="K136" s="28" t="n"/>
      <c r="L136" s="28" t="n"/>
      <c r="M136" s="25" t="n"/>
      <c r="N136" s="25" t="n"/>
      <c r="O136" s="25" t="n"/>
      <c r="P136" s="25" t="n"/>
      <c r="Q136" s="25" t="n"/>
      <c r="R136" s="51" t="n"/>
      <c r="S136" s="52" t="n"/>
      <c r="T136" s="51" t="n"/>
      <c r="U136" s="52" t="n"/>
      <c r="V136" s="52" t="n"/>
      <c r="W136" s="53">
        <f>IFERROR(IF(A136="","",ROUND(I136*J136*R136*(1-S136),2)),"")</f>
        <v/>
      </c>
      <c r="X136" s="53">
        <f>IFERROR(IF(A136="","",ROUND(W136*IF(V136="",'Setup &amp; Lists'!$B$7,V136),2)),"")</f>
        <v/>
      </c>
      <c r="Y136" s="53">
        <f>IFERROR(IF(A136="","",ROUND((W136+IF('Setup &amp; Lists'!$B$8="Yes",T136,0)+IF('Setup &amp; Lists'!$B$9="Yes",X136,0))*IF(U136="",'Setup &amp; Lists'!$B$6,U136),2)),"")</f>
        <v/>
      </c>
      <c r="Z136" s="53">
        <f>IFERROR(IF(A136="","",ROUND(W136+T136+X136+Y136,2)),"")</f>
        <v/>
      </c>
      <c r="AA136" s="51" t="n"/>
      <c r="AB136" s="53">
        <f>IFERROR(IF(A136="","",ROUND(IF(AA136&lt;&gt;"",AA136,Z136*'Setup &amp; Lists'!$B$10),2)),"")</f>
        <v/>
      </c>
      <c r="AC136" s="51" t="n"/>
      <c r="AD136" s="53">
        <f>IFERROR(IF(A136="","",MAX(0,ROUND(Z136-AC136,2))),"")</f>
        <v/>
      </c>
      <c r="AE136" s="32">
        <f>IFERROR(IF(A136="","",IF(AD136=0,"Paid",IF(AC136&gt;=AB136,"Deposit Met",IF(AC136&gt;0,"Partial Payment","Unpaid")))),"")</f>
        <v/>
      </c>
      <c r="AF136" s="54">
        <f>IFERROR(IF(OR(A136="",G136=""),"",G136-('Setup &amp; Lists'!$B$11/24)),"")</f>
        <v/>
      </c>
      <c r="AG136" s="25" t="n"/>
      <c r="AH136" s="25" t="n"/>
      <c r="AI136" s="50" t="n"/>
      <c r="AJ136" s="32">
        <f>IFERROR(IF(A136="","",IF(H136&lt;=G136,"Departure must be after arrival",IF(OR(J136="",J136&lt;1),"Rooms must be at least 1",IF(D136="","Guest name missing",IF(COUNTIF($A$2:$A$251,A136)&gt;1,"Duplicate reservation ID",IF(AND(P136="Confirmed",G136&gt;=TODAY(),G136&lt;=TODAY()+'Setup &amp; Lists'!$B$12,Q136=""),"Assign room for near-term arrival",IF(AND(G136&lt;TODAY(),P136="Confirmed"),"Past-due confirmed arrival",IF(AND(G136&gt;TODAY(),P136="Confirmed",AC136&lt;AB136),"Deposit shortfall",IF(AND(H136&lt;TODAY(),AD136&gt;0,P136&lt;&gt;"Cancelled"),"Balance remains after departure",IF(R136&lt;0,"Nightly rate is negative",IF(AC136&gt;Z136,"Deposit paid exceeds total value",""))))))))))),"")</f>
        <v/>
      </c>
    </row>
    <row r="137">
      <c r="A137" s="25" t="n"/>
      <c r="B137" s="25" t="n"/>
      <c r="C137" s="50" t="n"/>
      <c r="D137" s="25" t="n"/>
      <c r="E137" s="25" t="n"/>
      <c r="F137" s="25" t="n"/>
      <c r="G137" s="50" t="n"/>
      <c r="H137" s="50" t="n"/>
      <c r="I137" s="27">
        <f>IFERROR(IF(A137="","",MAX(0,H137-G137)),"")</f>
        <v/>
      </c>
      <c r="J137" s="28" t="n"/>
      <c r="K137" s="28" t="n"/>
      <c r="L137" s="28" t="n"/>
      <c r="M137" s="25" t="n"/>
      <c r="N137" s="25" t="n"/>
      <c r="O137" s="25" t="n"/>
      <c r="P137" s="25" t="n"/>
      <c r="Q137" s="25" t="n"/>
      <c r="R137" s="51" t="n"/>
      <c r="S137" s="52" t="n"/>
      <c r="T137" s="51" t="n"/>
      <c r="U137" s="52" t="n"/>
      <c r="V137" s="52" t="n"/>
      <c r="W137" s="53">
        <f>IFERROR(IF(A137="","",ROUND(I137*J137*R137*(1-S137),2)),"")</f>
        <v/>
      </c>
      <c r="X137" s="53">
        <f>IFERROR(IF(A137="","",ROUND(W137*IF(V137="",'Setup &amp; Lists'!$B$7,V137),2)),"")</f>
        <v/>
      </c>
      <c r="Y137" s="53">
        <f>IFERROR(IF(A137="","",ROUND((W137+IF('Setup &amp; Lists'!$B$8="Yes",T137,0)+IF('Setup &amp; Lists'!$B$9="Yes",X137,0))*IF(U137="",'Setup &amp; Lists'!$B$6,U137),2)),"")</f>
        <v/>
      </c>
      <c r="Z137" s="53">
        <f>IFERROR(IF(A137="","",ROUND(W137+T137+X137+Y137,2)),"")</f>
        <v/>
      </c>
      <c r="AA137" s="51" t="n"/>
      <c r="AB137" s="53">
        <f>IFERROR(IF(A137="","",ROUND(IF(AA137&lt;&gt;"",AA137,Z137*'Setup &amp; Lists'!$B$10),2)),"")</f>
        <v/>
      </c>
      <c r="AC137" s="51" t="n"/>
      <c r="AD137" s="53">
        <f>IFERROR(IF(A137="","",MAX(0,ROUND(Z137-AC137,2))),"")</f>
        <v/>
      </c>
      <c r="AE137" s="32">
        <f>IFERROR(IF(A137="","",IF(AD137=0,"Paid",IF(AC137&gt;=AB137,"Deposit Met",IF(AC137&gt;0,"Partial Payment","Unpaid")))),"")</f>
        <v/>
      </c>
      <c r="AF137" s="54">
        <f>IFERROR(IF(OR(A137="",G137=""),"",G137-('Setup &amp; Lists'!$B$11/24)),"")</f>
        <v/>
      </c>
      <c r="AG137" s="25" t="n"/>
      <c r="AH137" s="25" t="n"/>
      <c r="AI137" s="50" t="n"/>
      <c r="AJ137" s="32">
        <f>IFERROR(IF(A137="","",IF(H137&lt;=G137,"Departure must be after arrival",IF(OR(J137="",J137&lt;1),"Rooms must be at least 1",IF(D137="","Guest name missing",IF(COUNTIF($A$2:$A$251,A137)&gt;1,"Duplicate reservation ID",IF(AND(P137="Confirmed",G137&gt;=TODAY(),G137&lt;=TODAY()+'Setup &amp; Lists'!$B$12,Q137=""),"Assign room for near-term arrival",IF(AND(G137&lt;TODAY(),P137="Confirmed"),"Past-due confirmed arrival",IF(AND(G137&gt;TODAY(),P137="Confirmed",AC137&lt;AB137),"Deposit shortfall",IF(AND(H137&lt;TODAY(),AD137&gt;0,P137&lt;&gt;"Cancelled"),"Balance remains after departure",IF(R137&lt;0,"Nightly rate is negative",IF(AC137&gt;Z137,"Deposit paid exceeds total value",""))))))))))),"")</f>
        <v/>
      </c>
    </row>
    <row r="138">
      <c r="A138" s="25" t="n"/>
      <c r="B138" s="25" t="n"/>
      <c r="C138" s="50" t="n"/>
      <c r="D138" s="25" t="n"/>
      <c r="E138" s="25" t="n"/>
      <c r="F138" s="25" t="n"/>
      <c r="G138" s="50" t="n"/>
      <c r="H138" s="50" t="n"/>
      <c r="I138" s="27">
        <f>IFERROR(IF(A138="","",MAX(0,H138-G138)),"")</f>
        <v/>
      </c>
      <c r="J138" s="28" t="n"/>
      <c r="K138" s="28" t="n"/>
      <c r="L138" s="28" t="n"/>
      <c r="M138" s="25" t="n"/>
      <c r="N138" s="25" t="n"/>
      <c r="O138" s="25" t="n"/>
      <c r="P138" s="25" t="n"/>
      <c r="Q138" s="25" t="n"/>
      <c r="R138" s="51" t="n"/>
      <c r="S138" s="52" t="n"/>
      <c r="T138" s="51" t="n"/>
      <c r="U138" s="52" t="n"/>
      <c r="V138" s="52" t="n"/>
      <c r="W138" s="53">
        <f>IFERROR(IF(A138="","",ROUND(I138*J138*R138*(1-S138),2)),"")</f>
        <v/>
      </c>
      <c r="X138" s="53">
        <f>IFERROR(IF(A138="","",ROUND(W138*IF(V138="",'Setup &amp; Lists'!$B$7,V138),2)),"")</f>
        <v/>
      </c>
      <c r="Y138" s="53">
        <f>IFERROR(IF(A138="","",ROUND((W138+IF('Setup &amp; Lists'!$B$8="Yes",T138,0)+IF('Setup &amp; Lists'!$B$9="Yes",X138,0))*IF(U138="",'Setup &amp; Lists'!$B$6,U138),2)),"")</f>
        <v/>
      </c>
      <c r="Z138" s="53">
        <f>IFERROR(IF(A138="","",ROUND(W138+T138+X138+Y138,2)),"")</f>
        <v/>
      </c>
      <c r="AA138" s="51" t="n"/>
      <c r="AB138" s="53">
        <f>IFERROR(IF(A138="","",ROUND(IF(AA138&lt;&gt;"",AA138,Z138*'Setup &amp; Lists'!$B$10),2)),"")</f>
        <v/>
      </c>
      <c r="AC138" s="51" t="n"/>
      <c r="AD138" s="53">
        <f>IFERROR(IF(A138="","",MAX(0,ROUND(Z138-AC138,2))),"")</f>
        <v/>
      </c>
      <c r="AE138" s="32">
        <f>IFERROR(IF(A138="","",IF(AD138=0,"Paid",IF(AC138&gt;=AB138,"Deposit Met",IF(AC138&gt;0,"Partial Payment","Unpaid")))),"")</f>
        <v/>
      </c>
      <c r="AF138" s="54">
        <f>IFERROR(IF(OR(A138="",G138=""),"",G138-('Setup &amp; Lists'!$B$11/24)),"")</f>
        <v/>
      </c>
      <c r="AG138" s="25" t="n"/>
      <c r="AH138" s="25" t="n"/>
      <c r="AI138" s="50" t="n"/>
      <c r="AJ138" s="32">
        <f>IFERROR(IF(A138="","",IF(H138&lt;=G138,"Departure must be after arrival",IF(OR(J138="",J138&lt;1),"Rooms must be at least 1",IF(D138="","Guest name missing",IF(COUNTIF($A$2:$A$251,A138)&gt;1,"Duplicate reservation ID",IF(AND(P138="Confirmed",G138&gt;=TODAY(),G138&lt;=TODAY()+'Setup &amp; Lists'!$B$12,Q138=""),"Assign room for near-term arrival",IF(AND(G138&lt;TODAY(),P138="Confirmed"),"Past-due confirmed arrival",IF(AND(G138&gt;TODAY(),P138="Confirmed",AC138&lt;AB138),"Deposit shortfall",IF(AND(H138&lt;TODAY(),AD138&gt;0,P138&lt;&gt;"Cancelled"),"Balance remains after departure",IF(R138&lt;0,"Nightly rate is negative",IF(AC138&gt;Z138,"Deposit paid exceeds total value",""))))))))))),"")</f>
        <v/>
      </c>
    </row>
    <row r="139">
      <c r="A139" s="25" t="n"/>
      <c r="B139" s="25" t="n"/>
      <c r="C139" s="50" t="n"/>
      <c r="D139" s="25" t="n"/>
      <c r="E139" s="25" t="n"/>
      <c r="F139" s="25" t="n"/>
      <c r="G139" s="50" t="n"/>
      <c r="H139" s="50" t="n"/>
      <c r="I139" s="27">
        <f>IFERROR(IF(A139="","",MAX(0,H139-G139)),"")</f>
        <v/>
      </c>
      <c r="J139" s="28" t="n"/>
      <c r="K139" s="28" t="n"/>
      <c r="L139" s="28" t="n"/>
      <c r="M139" s="25" t="n"/>
      <c r="N139" s="25" t="n"/>
      <c r="O139" s="25" t="n"/>
      <c r="P139" s="25" t="n"/>
      <c r="Q139" s="25" t="n"/>
      <c r="R139" s="51" t="n"/>
      <c r="S139" s="52" t="n"/>
      <c r="T139" s="51" t="n"/>
      <c r="U139" s="52" t="n"/>
      <c r="V139" s="52" t="n"/>
      <c r="W139" s="53">
        <f>IFERROR(IF(A139="","",ROUND(I139*J139*R139*(1-S139),2)),"")</f>
        <v/>
      </c>
      <c r="X139" s="53">
        <f>IFERROR(IF(A139="","",ROUND(W139*IF(V139="",'Setup &amp; Lists'!$B$7,V139),2)),"")</f>
        <v/>
      </c>
      <c r="Y139" s="53">
        <f>IFERROR(IF(A139="","",ROUND((W139+IF('Setup &amp; Lists'!$B$8="Yes",T139,0)+IF('Setup &amp; Lists'!$B$9="Yes",X139,0))*IF(U139="",'Setup &amp; Lists'!$B$6,U139),2)),"")</f>
        <v/>
      </c>
      <c r="Z139" s="53">
        <f>IFERROR(IF(A139="","",ROUND(W139+T139+X139+Y139,2)),"")</f>
        <v/>
      </c>
      <c r="AA139" s="51" t="n"/>
      <c r="AB139" s="53">
        <f>IFERROR(IF(A139="","",ROUND(IF(AA139&lt;&gt;"",AA139,Z139*'Setup &amp; Lists'!$B$10),2)),"")</f>
        <v/>
      </c>
      <c r="AC139" s="51" t="n"/>
      <c r="AD139" s="53">
        <f>IFERROR(IF(A139="","",MAX(0,ROUND(Z139-AC139,2))),"")</f>
        <v/>
      </c>
      <c r="AE139" s="32">
        <f>IFERROR(IF(A139="","",IF(AD139=0,"Paid",IF(AC139&gt;=AB139,"Deposit Met",IF(AC139&gt;0,"Partial Payment","Unpaid")))),"")</f>
        <v/>
      </c>
      <c r="AF139" s="54">
        <f>IFERROR(IF(OR(A139="",G139=""),"",G139-('Setup &amp; Lists'!$B$11/24)),"")</f>
        <v/>
      </c>
      <c r="AG139" s="25" t="n"/>
      <c r="AH139" s="25" t="n"/>
      <c r="AI139" s="50" t="n"/>
      <c r="AJ139" s="32">
        <f>IFERROR(IF(A139="","",IF(H139&lt;=G139,"Departure must be after arrival",IF(OR(J139="",J139&lt;1),"Rooms must be at least 1",IF(D139="","Guest name missing",IF(COUNTIF($A$2:$A$251,A139)&gt;1,"Duplicate reservation ID",IF(AND(P139="Confirmed",G139&gt;=TODAY(),G139&lt;=TODAY()+'Setup &amp; Lists'!$B$12,Q139=""),"Assign room for near-term arrival",IF(AND(G139&lt;TODAY(),P139="Confirmed"),"Past-due confirmed arrival",IF(AND(G139&gt;TODAY(),P139="Confirmed",AC139&lt;AB139),"Deposit shortfall",IF(AND(H139&lt;TODAY(),AD139&gt;0,P139&lt;&gt;"Cancelled"),"Balance remains after departure",IF(R139&lt;0,"Nightly rate is negative",IF(AC139&gt;Z139,"Deposit paid exceeds total value",""))))))))))),"")</f>
        <v/>
      </c>
    </row>
    <row r="140">
      <c r="A140" s="25" t="n"/>
      <c r="B140" s="25" t="n"/>
      <c r="C140" s="50" t="n"/>
      <c r="D140" s="25" t="n"/>
      <c r="E140" s="25" t="n"/>
      <c r="F140" s="25" t="n"/>
      <c r="G140" s="50" t="n"/>
      <c r="H140" s="50" t="n"/>
      <c r="I140" s="27">
        <f>IFERROR(IF(A140="","",MAX(0,H140-G140)),"")</f>
        <v/>
      </c>
      <c r="J140" s="28" t="n"/>
      <c r="K140" s="28" t="n"/>
      <c r="L140" s="28" t="n"/>
      <c r="M140" s="25" t="n"/>
      <c r="N140" s="25" t="n"/>
      <c r="O140" s="25" t="n"/>
      <c r="P140" s="25" t="n"/>
      <c r="Q140" s="25" t="n"/>
      <c r="R140" s="51" t="n"/>
      <c r="S140" s="52" t="n"/>
      <c r="T140" s="51" t="n"/>
      <c r="U140" s="52" t="n"/>
      <c r="V140" s="52" t="n"/>
      <c r="W140" s="53">
        <f>IFERROR(IF(A140="","",ROUND(I140*J140*R140*(1-S140),2)),"")</f>
        <v/>
      </c>
      <c r="X140" s="53">
        <f>IFERROR(IF(A140="","",ROUND(W140*IF(V140="",'Setup &amp; Lists'!$B$7,V140),2)),"")</f>
        <v/>
      </c>
      <c r="Y140" s="53">
        <f>IFERROR(IF(A140="","",ROUND((W140+IF('Setup &amp; Lists'!$B$8="Yes",T140,0)+IF('Setup &amp; Lists'!$B$9="Yes",X140,0))*IF(U140="",'Setup &amp; Lists'!$B$6,U140),2)),"")</f>
        <v/>
      </c>
      <c r="Z140" s="53">
        <f>IFERROR(IF(A140="","",ROUND(W140+T140+X140+Y140,2)),"")</f>
        <v/>
      </c>
      <c r="AA140" s="51" t="n"/>
      <c r="AB140" s="53">
        <f>IFERROR(IF(A140="","",ROUND(IF(AA140&lt;&gt;"",AA140,Z140*'Setup &amp; Lists'!$B$10),2)),"")</f>
        <v/>
      </c>
      <c r="AC140" s="51" t="n"/>
      <c r="AD140" s="53">
        <f>IFERROR(IF(A140="","",MAX(0,ROUND(Z140-AC140,2))),"")</f>
        <v/>
      </c>
      <c r="AE140" s="32">
        <f>IFERROR(IF(A140="","",IF(AD140=0,"Paid",IF(AC140&gt;=AB140,"Deposit Met",IF(AC140&gt;0,"Partial Payment","Unpaid")))),"")</f>
        <v/>
      </c>
      <c r="AF140" s="54">
        <f>IFERROR(IF(OR(A140="",G140=""),"",G140-('Setup &amp; Lists'!$B$11/24)),"")</f>
        <v/>
      </c>
      <c r="AG140" s="25" t="n"/>
      <c r="AH140" s="25" t="n"/>
      <c r="AI140" s="50" t="n"/>
      <c r="AJ140" s="32">
        <f>IFERROR(IF(A140="","",IF(H140&lt;=G140,"Departure must be after arrival",IF(OR(J140="",J140&lt;1),"Rooms must be at least 1",IF(D140="","Guest name missing",IF(COUNTIF($A$2:$A$251,A140)&gt;1,"Duplicate reservation ID",IF(AND(P140="Confirmed",G140&gt;=TODAY(),G140&lt;=TODAY()+'Setup &amp; Lists'!$B$12,Q140=""),"Assign room for near-term arrival",IF(AND(G140&lt;TODAY(),P140="Confirmed"),"Past-due confirmed arrival",IF(AND(G140&gt;TODAY(),P140="Confirmed",AC140&lt;AB140),"Deposit shortfall",IF(AND(H140&lt;TODAY(),AD140&gt;0,P140&lt;&gt;"Cancelled"),"Balance remains after departure",IF(R140&lt;0,"Nightly rate is negative",IF(AC140&gt;Z140,"Deposit paid exceeds total value",""))))))))))),"")</f>
        <v/>
      </c>
    </row>
    <row r="141">
      <c r="A141" s="25" t="n"/>
      <c r="B141" s="25" t="n"/>
      <c r="C141" s="50" t="n"/>
      <c r="D141" s="25" t="n"/>
      <c r="E141" s="25" t="n"/>
      <c r="F141" s="25" t="n"/>
      <c r="G141" s="50" t="n"/>
      <c r="H141" s="50" t="n"/>
      <c r="I141" s="27">
        <f>IFERROR(IF(A141="","",MAX(0,H141-G141)),"")</f>
        <v/>
      </c>
      <c r="J141" s="28" t="n"/>
      <c r="K141" s="28" t="n"/>
      <c r="L141" s="28" t="n"/>
      <c r="M141" s="25" t="n"/>
      <c r="N141" s="25" t="n"/>
      <c r="O141" s="25" t="n"/>
      <c r="P141" s="25" t="n"/>
      <c r="Q141" s="25" t="n"/>
      <c r="R141" s="51" t="n"/>
      <c r="S141" s="52" t="n"/>
      <c r="T141" s="51" t="n"/>
      <c r="U141" s="52" t="n"/>
      <c r="V141" s="52" t="n"/>
      <c r="W141" s="53">
        <f>IFERROR(IF(A141="","",ROUND(I141*J141*R141*(1-S141),2)),"")</f>
        <v/>
      </c>
      <c r="X141" s="53">
        <f>IFERROR(IF(A141="","",ROUND(W141*IF(V141="",'Setup &amp; Lists'!$B$7,V141),2)),"")</f>
        <v/>
      </c>
      <c r="Y141" s="53">
        <f>IFERROR(IF(A141="","",ROUND((W141+IF('Setup &amp; Lists'!$B$8="Yes",T141,0)+IF('Setup &amp; Lists'!$B$9="Yes",X141,0))*IF(U141="",'Setup &amp; Lists'!$B$6,U141),2)),"")</f>
        <v/>
      </c>
      <c r="Z141" s="53">
        <f>IFERROR(IF(A141="","",ROUND(W141+T141+X141+Y141,2)),"")</f>
        <v/>
      </c>
      <c r="AA141" s="51" t="n"/>
      <c r="AB141" s="53">
        <f>IFERROR(IF(A141="","",ROUND(IF(AA141&lt;&gt;"",AA141,Z141*'Setup &amp; Lists'!$B$10),2)),"")</f>
        <v/>
      </c>
      <c r="AC141" s="51" t="n"/>
      <c r="AD141" s="53">
        <f>IFERROR(IF(A141="","",MAX(0,ROUND(Z141-AC141,2))),"")</f>
        <v/>
      </c>
      <c r="AE141" s="32">
        <f>IFERROR(IF(A141="","",IF(AD141=0,"Paid",IF(AC141&gt;=AB141,"Deposit Met",IF(AC141&gt;0,"Partial Payment","Unpaid")))),"")</f>
        <v/>
      </c>
      <c r="AF141" s="54">
        <f>IFERROR(IF(OR(A141="",G141=""),"",G141-('Setup &amp; Lists'!$B$11/24)),"")</f>
        <v/>
      </c>
      <c r="AG141" s="25" t="n"/>
      <c r="AH141" s="25" t="n"/>
      <c r="AI141" s="50" t="n"/>
      <c r="AJ141" s="32">
        <f>IFERROR(IF(A141="","",IF(H141&lt;=G141,"Departure must be after arrival",IF(OR(J141="",J141&lt;1),"Rooms must be at least 1",IF(D141="","Guest name missing",IF(COUNTIF($A$2:$A$251,A141)&gt;1,"Duplicate reservation ID",IF(AND(P141="Confirmed",G141&gt;=TODAY(),G141&lt;=TODAY()+'Setup &amp; Lists'!$B$12,Q141=""),"Assign room for near-term arrival",IF(AND(G141&lt;TODAY(),P141="Confirmed"),"Past-due confirmed arrival",IF(AND(G141&gt;TODAY(),P141="Confirmed",AC141&lt;AB141),"Deposit shortfall",IF(AND(H141&lt;TODAY(),AD141&gt;0,P141&lt;&gt;"Cancelled"),"Balance remains after departure",IF(R141&lt;0,"Nightly rate is negative",IF(AC141&gt;Z141,"Deposit paid exceeds total value",""))))))))))),"")</f>
        <v/>
      </c>
    </row>
    <row r="142">
      <c r="A142" s="25" t="n"/>
      <c r="B142" s="25" t="n"/>
      <c r="C142" s="50" t="n"/>
      <c r="D142" s="25" t="n"/>
      <c r="E142" s="25" t="n"/>
      <c r="F142" s="25" t="n"/>
      <c r="G142" s="50" t="n"/>
      <c r="H142" s="50" t="n"/>
      <c r="I142" s="27">
        <f>IFERROR(IF(A142="","",MAX(0,H142-G142)),"")</f>
        <v/>
      </c>
      <c r="J142" s="28" t="n"/>
      <c r="K142" s="28" t="n"/>
      <c r="L142" s="28" t="n"/>
      <c r="M142" s="25" t="n"/>
      <c r="N142" s="25" t="n"/>
      <c r="O142" s="25" t="n"/>
      <c r="P142" s="25" t="n"/>
      <c r="Q142" s="25" t="n"/>
      <c r="R142" s="51" t="n"/>
      <c r="S142" s="52" t="n"/>
      <c r="T142" s="51" t="n"/>
      <c r="U142" s="52" t="n"/>
      <c r="V142" s="52" t="n"/>
      <c r="W142" s="53">
        <f>IFERROR(IF(A142="","",ROUND(I142*J142*R142*(1-S142),2)),"")</f>
        <v/>
      </c>
      <c r="X142" s="53">
        <f>IFERROR(IF(A142="","",ROUND(W142*IF(V142="",'Setup &amp; Lists'!$B$7,V142),2)),"")</f>
        <v/>
      </c>
      <c r="Y142" s="53">
        <f>IFERROR(IF(A142="","",ROUND((W142+IF('Setup &amp; Lists'!$B$8="Yes",T142,0)+IF('Setup &amp; Lists'!$B$9="Yes",X142,0))*IF(U142="",'Setup &amp; Lists'!$B$6,U142),2)),"")</f>
        <v/>
      </c>
      <c r="Z142" s="53">
        <f>IFERROR(IF(A142="","",ROUND(W142+T142+X142+Y142,2)),"")</f>
        <v/>
      </c>
      <c r="AA142" s="51" t="n"/>
      <c r="AB142" s="53">
        <f>IFERROR(IF(A142="","",ROUND(IF(AA142&lt;&gt;"",AA142,Z142*'Setup &amp; Lists'!$B$10),2)),"")</f>
        <v/>
      </c>
      <c r="AC142" s="51" t="n"/>
      <c r="AD142" s="53">
        <f>IFERROR(IF(A142="","",MAX(0,ROUND(Z142-AC142,2))),"")</f>
        <v/>
      </c>
      <c r="AE142" s="32">
        <f>IFERROR(IF(A142="","",IF(AD142=0,"Paid",IF(AC142&gt;=AB142,"Deposit Met",IF(AC142&gt;0,"Partial Payment","Unpaid")))),"")</f>
        <v/>
      </c>
      <c r="AF142" s="54">
        <f>IFERROR(IF(OR(A142="",G142=""),"",G142-('Setup &amp; Lists'!$B$11/24)),"")</f>
        <v/>
      </c>
      <c r="AG142" s="25" t="n"/>
      <c r="AH142" s="25" t="n"/>
      <c r="AI142" s="50" t="n"/>
      <c r="AJ142" s="32">
        <f>IFERROR(IF(A142="","",IF(H142&lt;=G142,"Departure must be after arrival",IF(OR(J142="",J142&lt;1),"Rooms must be at least 1",IF(D142="","Guest name missing",IF(COUNTIF($A$2:$A$251,A142)&gt;1,"Duplicate reservation ID",IF(AND(P142="Confirmed",G142&gt;=TODAY(),G142&lt;=TODAY()+'Setup &amp; Lists'!$B$12,Q142=""),"Assign room for near-term arrival",IF(AND(G142&lt;TODAY(),P142="Confirmed"),"Past-due confirmed arrival",IF(AND(G142&gt;TODAY(),P142="Confirmed",AC142&lt;AB142),"Deposit shortfall",IF(AND(H142&lt;TODAY(),AD142&gt;0,P142&lt;&gt;"Cancelled"),"Balance remains after departure",IF(R142&lt;0,"Nightly rate is negative",IF(AC142&gt;Z142,"Deposit paid exceeds total value",""))))))))))),"")</f>
        <v/>
      </c>
    </row>
    <row r="143">
      <c r="A143" s="25" t="n"/>
      <c r="B143" s="25" t="n"/>
      <c r="C143" s="50" t="n"/>
      <c r="D143" s="25" t="n"/>
      <c r="E143" s="25" t="n"/>
      <c r="F143" s="25" t="n"/>
      <c r="G143" s="50" t="n"/>
      <c r="H143" s="50" t="n"/>
      <c r="I143" s="27">
        <f>IFERROR(IF(A143="","",MAX(0,H143-G143)),"")</f>
        <v/>
      </c>
      <c r="J143" s="28" t="n"/>
      <c r="K143" s="28" t="n"/>
      <c r="L143" s="28" t="n"/>
      <c r="M143" s="25" t="n"/>
      <c r="N143" s="25" t="n"/>
      <c r="O143" s="25" t="n"/>
      <c r="P143" s="25" t="n"/>
      <c r="Q143" s="25" t="n"/>
      <c r="R143" s="51" t="n"/>
      <c r="S143" s="52" t="n"/>
      <c r="T143" s="51" t="n"/>
      <c r="U143" s="52" t="n"/>
      <c r="V143" s="52" t="n"/>
      <c r="W143" s="53">
        <f>IFERROR(IF(A143="","",ROUND(I143*J143*R143*(1-S143),2)),"")</f>
        <v/>
      </c>
      <c r="X143" s="53">
        <f>IFERROR(IF(A143="","",ROUND(W143*IF(V143="",'Setup &amp; Lists'!$B$7,V143),2)),"")</f>
        <v/>
      </c>
      <c r="Y143" s="53">
        <f>IFERROR(IF(A143="","",ROUND((W143+IF('Setup &amp; Lists'!$B$8="Yes",T143,0)+IF('Setup &amp; Lists'!$B$9="Yes",X143,0))*IF(U143="",'Setup &amp; Lists'!$B$6,U143),2)),"")</f>
        <v/>
      </c>
      <c r="Z143" s="53">
        <f>IFERROR(IF(A143="","",ROUND(W143+T143+X143+Y143,2)),"")</f>
        <v/>
      </c>
      <c r="AA143" s="51" t="n"/>
      <c r="AB143" s="53">
        <f>IFERROR(IF(A143="","",ROUND(IF(AA143&lt;&gt;"",AA143,Z143*'Setup &amp; Lists'!$B$10),2)),"")</f>
        <v/>
      </c>
      <c r="AC143" s="51" t="n"/>
      <c r="AD143" s="53">
        <f>IFERROR(IF(A143="","",MAX(0,ROUND(Z143-AC143,2))),"")</f>
        <v/>
      </c>
      <c r="AE143" s="32">
        <f>IFERROR(IF(A143="","",IF(AD143=0,"Paid",IF(AC143&gt;=AB143,"Deposit Met",IF(AC143&gt;0,"Partial Payment","Unpaid")))),"")</f>
        <v/>
      </c>
      <c r="AF143" s="54">
        <f>IFERROR(IF(OR(A143="",G143=""),"",G143-('Setup &amp; Lists'!$B$11/24)),"")</f>
        <v/>
      </c>
      <c r="AG143" s="25" t="n"/>
      <c r="AH143" s="25" t="n"/>
      <c r="AI143" s="50" t="n"/>
      <c r="AJ143" s="32">
        <f>IFERROR(IF(A143="","",IF(H143&lt;=G143,"Departure must be after arrival",IF(OR(J143="",J143&lt;1),"Rooms must be at least 1",IF(D143="","Guest name missing",IF(COUNTIF($A$2:$A$251,A143)&gt;1,"Duplicate reservation ID",IF(AND(P143="Confirmed",G143&gt;=TODAY(),G143&lt;=TODAY()+'Setup &amp; Lists'!$B$12,Q143=""),"Assign room for near-term arrival",IF(AND(G143&lt;TODAY(),P143="Confirmed"),"Past-due confirmed arrival",IF(AND(G143&gt;TODAY(),P143="Confirmed",AC143&lt;AB143),"Deposit shortfall",IF(AND(H143&lt;TODAY(),AD143&gt;0,P143&lt;&gt;"Cancelled"),"Balance remains after departure",IF(R143&lt;0,"Nightly rate is negative",IF(AC143&gt;Z143,"Deposit paid exceeds total value",""))))))))))),"")</f>
        <v/>
      </c>
    </row>
    <row r="144">
      <c r="A144" s="25" t="n"/>
      <c r="B144" s="25" t="n"/>
      <c r="C144" s="50" t="n"/>
      <c r="D144" s="25" t="n"/>
      <c r="E144" s="25" t="n"/>
      <c r="F144" s="25" t="n"/>
      <c r="G144" s="50" t="n"/>
      <c r="H144" s="50" t="n"/>
      <c r="I144" s="27">
        <f>IFERROR(IF(A144="","",MAX(0,H144-G144)),"")</f>
        <v/>
      </c>
      <c r="J144" s="28" t="n"/>
      <c r="K144" s="28" t="n"/>
      <c r="L144" s="28" t="n"/>
      <c r="M144" s="25" t="n"/>
      <c r="N144" s="25" t="n"/>
      <c r="O144" s="25" t="n"/>
      <c r="P144" s="25" t="n"/>
      <c r="Q144" s="25" t="n"/>
      <c r="R144" s="51" t="n"/>
      <c r="S144" s="52" t="n"/>
      <c r="T144" s="51" t="n"/>
      <c r="U144" s="52" t="n"/>
      <c r="V144" s="52" t="n"/>
      <c r="W144" s="53">
        <f>IFERROR(IF(A144="","",ROUND(I144*J144*R144*(1-S144),2)),"")</f>
        <v/>
      </c>
      <c r="X144" s="53">
        <f>IFERROR(IF(A144="","",ROUND(W144*IF(V144="",'Setup &amp; Lists'!$B$7,V144),2)),"")</f>
        <v/>
      </c>
      <c r="Y144" s="53">
        <f>IFERROR(IF(A144="","",ROUND((W144+IF('Setup &amp; Lists'!$B$8="Yes",T144,0)+IF('Setup &amp; Lists'!$B$9="Yes",X144,0))*IF(U144="",'Setup &amp; Lists'!$B$6,U144),2)),"")</f>
        <v/>
      </c>
      <c r="Z144" s="53">
        <f>IFERROR(IF(A144="","",ROUND(W144+T144+X144+Y144,2)),"")</f>
        <v/>
      </c>
      <c r="AA144" s="51" t="n"/>
      <c r="AB144" s="53">
        <f>IFERROR(IF(A144="","",ROUND(IF(AA144&lt;&gt;"",AA144,Z144*'Setup &amp; Lists'!$B$10),2)),"")</f>
        <v/>
      </c>
      <c r="AC144" s="51" t="n"/>
      <c r="AD144" s="53">
        <f>IFERROR(IF(A144="","",MAX(0,ROUND(Z144-AC144,2))),"")</f>
        <v/>
      </c>
      <c r="AE144" s="32">
        <f>IFERROR(IF(A144="","",IF(AD144=0,"Paid",IF(AC144&gt;=AB144,"Deposit Met",IF(AC144&gt;0,"Partial Payment","Unpaid")))),"")</f>
        <v/>
      </c>
      <c r="AF144" s="54">
        <f>IFERROR(IF(OR(A144="",G144=""),"",G144-('Setup &amp; Lists'!$B$11/24)),"")</f>
        <v/>
      </c>
      <c r="AG144" s="25" t="n"/>
      <c r="AH144" s="25" t="n"/>
      <c r="AI144" s="50" t="n"/>
      <c r="AJ144" s="32">
        <f>IFERROR(IF(A144="","",IF(H144&lt;=G144,"Departure must be after arrival",IF(OR(J144="",J144&lt;1),"Rooms must be at least 1",IF(D144="","Guest name missing",IF(COUNTIF($A$2:$A$251,A144)&gt;1,"Duplicate reservation ID",IF(AND(P144="Confirmed",G144&gt;=TODAY(),G144&lt;=TODAY()+'Setup &amp; Lists'!$B$12,Q144=""),"Assign room for near-term arrival",IF(AND(G144&lt;TODAY(),P144="Confirmed"),"Past-due confirmed arrival",IF(AND(G144&gt;TODAY(),P144="Confirmed",AC144&lt;AB144),"Deposit shortfall",IF(AND(H144&lt;TODAY(),AD144&gt;0,P144&lt;&gt;"Cancelled"),"Balance remains after departure",IF(R144&lt;0,"Nightly rate is negative",IF(AC144&gt;Z144,"Deposit paid exceeds total value",""))))))))))),"")</f>
        <v/>
      </c>
    </row>
    <row r="145">
      <c r="A145" s="25" t="n"/>
      <c r="B145" s="25" t="n"/>
      <c r="C145" s="50" t="n"/>
      <c r="D145" s="25" t="n"/>
      <c r="E145" s="25" t="n"/>
      <c r="F145" s="25" t="n"/>
      <c r="G145" s="50" t="n"/>
      <c r="H145" s="50" t="n"/>
      <c r="I145" s="27">
        <f>IFERROR(IF(A145="","",MAX(0,H145-G145)),"")</f>
        <v/>
      </c>
      <c r="J145" s="28" t="n"/>
      <c r="K145" s="28" t="n"/>
      <c r="L145" s="28" t="n"/>
      <c r="M145" s="25" t="n"/>
      <c r="N145" s="25" t="n"/>
      <c r="O145" s="25" t="n"/>
      <c r="P145" s="25" t="n"/>
      <c r="Q145" s="25" t="n"/>
      <c r="R145" s="51" t="n"/>
      <c r="S145" s="52" t="n"/>
      <c r="T145" s="51" t="n"/>
      <c r="U145" s="52" t="n"/>
      <c r="V145" s="52" t="n"/>
      <c r="W145" s="53">
        <f>IFERROR(IF(A145="","",ROUND(I145*J145*R145*(1-S145),2)),"")</f>
        <v/>
      </c>
      <c r="X145" s="53">
        <f>IFERROR(IF(A145="","",ROUND(W145*IF(V145="",'Setup &amp; Lists'!$B$7,V145),2)),"")</f>
        <v/>
      </c>
      <c r="Y145" s="53">
        <f>IFERROR(IF(A145="","",ROUND((W145+IF('Setup &amp; Lists'!$B$8="Yes",T145,0)+IF('Setup &amp; Lists'!$B$9="Yes",X145,0))*IF(U145="",'Setup &amp; Lists'!$B$6,U145),2)),"")</f>
        <v/>
      </c>
      <c r="Z145" s="53">
        <f>IFERROR(IF(A145="","",ROUND(W145+T145+X145+Y145,2)),"")</f>
        <v/>
      </c>
      <c r="AA145" s="51" t="n"/>
      <c r="AB145" s="53">
        <f>IFERROR(IF(A145="","",ROUND(IF(AA145&lt;&gt;"",AA145,Z145*'Setup &amp; Lists'!$B$10),2)),"")</f>
        <v/>
      </c>
      <c r="AC145" s="51" t="n"/>
      <c r="AD145" s="53">
        <f>IFERROR(IF(A145="","",MAX(0,ROUND(Z145-AC145,2))),"")</f>
        <v/>
      </c>
      <c r="AE145" s="32">
        <f>IFERROR(IF(A145="","",IF(AD145=0,"Paid",IF(AC145&gt;=AB145,"Deposit Met",IF(AC145&gt;0,"Partial Payment","Unpaid")))),"")</f>
        <v/>
      </c>
      <c r="AF145" s="54">
        <f>IFERROR(IF(OR(A145="",G145=""),"",G145-('Setup &amp; Lists'!$B$11/24)),"")</f>
        <v/>
      </c>
      <c r="AG145" s="25" t="n"/>
      <c r="AH145" s="25" t="n"/>
      <c r="AI145" s="50" t="n"/>
      <c r="AJ145" s="32">
        <f>IFERROR(IF(A145="","",IF(H145&lt;=G145,"Departure must be after arrival",IF(OR(J145="",J145&lt;1),"Rooms must be at least 1",IF(D145="","Guest name missing",IF(COUNTIF($A$2:$A$251,A145)&gt;1,"Duplicate reservation ID",IF(AND(P145="Confirmed",G145&gt;=TODAY(),G145&lt;=TODAY()+'Setup &amp; Lists'!$B$12,Q145=""),"Assign room for near-term arrival",IF(AND(G145&lt;TODAY(),P145="Confirmed"),"Past-due confirmed arrival",IF(AND(G145&gt;TODAY(),P145="Confirmed",AC145&lt;AB145),"Deposit shortfall",IF(AND(H145&lt;TODAY(),AD145&gt;0,P145&lt;&gt;"Cancelled"),"Balance remains after departure",IF(R145&lt;0,"Nightly rate is negative",IF(AC145&gt;Z145,"Deposit paid exceeds total value",""))))))))))),"")</f>
        <v/>
      </c>
    </row>
    <row r="146">
      <c r="A146" s="25" t="n"/>
      <c r="B146" s="25" t="n"/>
      <c r="C146" s="50" t="n"/>
      <c r="D146" s="25" t="n"/>
      <c r="E146" s="25" t="n"/>
      <c r="F146" s="25" t="n"/>
      <c r="G146" s="50" t="n"/>
      <c r="H146" s="50" t="n"/>
      <c r="I146" s="27">
        <f>IFERROR(IF(A146="","",MAX(0,H146-G146)),"")</f>
        <v/>
      </c>
      <c r="J146" s="28" t="n"/>
      <c r="K146" s="28" t="n"/>
      <c r="L146" s="28" t="n"/>
      <c r="M146" s="25" t="n"/>
      <c r="N146" s="25" t="n"/>
      <c r="O146" s="25" t="n"/>
      <c r="P146" s="25" t="n"/>
      <c r="Q146" s="25" t="n"/>
      <c r="R146" s="51" t="n"/>
      <c r="S146" s="52" t="n"/>
      <c r="T146" s="51" t="n"/>
      <c r="U146" s="52" t="n"/>
      <c r="V146" s="52" t="n"/>
      <c r="W146" s="53">
        <f>IFERROR(IF(A146="","",ROUND(I146*J146*R146*(1-S146),2)),"")</f>
        <v/>
      </c>
      <c r="X146" s="53">
        <f>IFERROR(IF(A146="","",ROUND(W146*IF(V146="",'Setup &amp; Lists'!$B$7,V146),2)),"")</f>
        <v/>
      </c>
      <c r="Y146" s="53">
        <f>IFERROR(IF(A146="","",ROUND((W146+IF('Setup &amp; Lists'!$B$8="Yes",T146,0)+IF('Setup &amp; Lists'!$B$9="Yes",X146,0))*IF(U146="",'Setup &amp; Lists'!$B$6,U146),2)),"")</f>
        <v/>
      </c>
      <c r="Z146" s="53">
        <f>IFERROR(IF(A146="","",ROUND(W146+T146+X146+Y146,2)),"")</f>
        <v/>
      </c>
      <c r="AA146" s="51" t="n"/>
      <c r="AB146" s="53">
        <f>IFERROR(IF(A146="","",ROUND(IF(AA146&lt;&gt;"",AA146,Z146*'Setup &amp; Lists'!$B$10),2)),"")</f>
        <v/>
      </c>
      <c r="AC146" s="51" t="n"/>
      <c r="AD146" s="53">
        <f>IFERROR(IF(A146="","",MAX(0,ROUND(Z146-AC146,2))),"")</f>
        <v/>
      </c>
      <c r="AE146" s="32">
        <f>IFERROR(IF(A146="","",IF(AD146=0,"Paid",IF(AC146&gt;=AB146,"Deposit Met",IF(AC146&gt;0,"Partial Payment","Unpaid")))),"")</f>
        <v/>
      </c>
      <c r="AF146" s="54">
        <f>IFERROR(IF(OR(A146="",G146=""),"",G146-('Setup &amp; Lists'!$B$11/24)),"")</f>
        <v/>
      </c>
      <c r="AG146" s="25" t="n"/>
      <c r="AH146" s="25" t="n"/>
      <c r="AI146" s="50" t="n"/>
      <c r="AJ146" s="32">
        <f>IFERROR(IF(A146="","",IF(H146&lt;=G146,"Departure must be after arrival",IF(OR(J146="",J146&lt;1),"Rooms must be at least 1",IF(D146="","Guest name missing",IF(COUNTIF($A$2:$A$251,A146)&gt;1,"Duplicate reservation ID",IF(AND(P146="Confirmed",G146&gt;=TODAY(),G146&lt;=TODAY()+'Setup &amp; Lists'!$B$12,Q146=""),"Assign room for near-term arrival",IF(AND(G146&lt;TODAY(),P146="Confirmed"),"Past-due confirmed arrival",IF(AND(G146&gt;TODAY(),P146="Confirmed",AC146&lt;AB146),"Deposit shortfall",IF(AND(H146&lt;TODAY(),AD146&gt;0,P146&lt;&gt;"Cancelled"),"Balance remains after departure",IF(R146&lt;0,"Nightly rate is negative",IF(AC146&gt;Z146,"Deposit paid exceeds total value",""))))))))))),"")</f>
        <v/>
      </c>
    </row>
    <row r="147">
      <c r="A147" s="25" t="n"/>
      <c r="B147" s="25" t="n"/>
      <c r="C147" s="50" t="n"/>
      <c r="D147" s="25" t="n"/>
      <c r="E147" s="25" t="n"/>
      <c r="F147" s="25" t="n"/>
      <c r="G147" s="50" t="n"/>
      <c r="H147" s="50" t="n"/>
      <c r="I147" s="27">
        <f>IFERROR(IF(A147="","",MAX(0,H147-G147)),"")</f>
        <v/>
      </c>
      <c r="J147" s="28" t="n"/>
      <c r="K147" s="28" t="n"/>
      <c r="L147" s="28" t="n"/>
      <c r="M147" s="25" t="n"/>
      <c r="N147" s="25" t="n"/>
      <c r="O147" s="25" t="n"/>
      <c r="P147" s="25" t="n"/>
      <c r="Q147" s="25" t="n"/>
      <c r="R147" s="51" t="n"/>
      <c r="S147" s="52" t="n"/>
      <c r="T147" s="51" t="n"/>
      <c r="U147" s="52" t="n"/>
      <c r="V147" s="52" t="n"/>
      <c r="W147" s="53">
        <f>IFERROR(IF(A147="","",ROUND(I147*J147*R147*(1-S147),2)),"")</f>
        <v/>
      </c>
      <c r="X147" s="53">
        <f>IFERROR(IF(A147="","",ROUND(W147*IF(V147="",'Setup &amp; Lists'!$B$7,V147),2)),"")</f>
        <v/>
      </c>
      <c r="Y147" s="53">
        <f>IFERROR(IF(A147="","",ROUND((W147+IF('Setup &amp; Lists'!$B$8="Yes",T147,0)+IF('Setup &amp; Lists'!$B$9="Yes",X147,0))*IF(U147="",'Setup &amp; Lists'!$B$6,U147),2)),"")</f>
        <v/>
      </c>
      <c r="Z147" s="53">
        <f>IFERROR(IF(A147="","",ROUND(W147+T147+X147+Y147,2)),"")</f>
        <v/>
      </c>
      <c r="AA147" s="51" t="n"/>
      <c r="AB147" s="53">
        <f>IFERROR(IF(A147="","",ROUND(IF(AA147&lt;&gt;"",AA147,Z147*'Setup &amp; Lists'!$B$10),2)),"")</f>
        <v/>
      </c>
      <c r="AC147" s="51" t="n"/>
      <c r="AD147" s="53">
        <f>IFERROR(IF(A147="","",MAX(0,ROUND(Z147-AC147,2))),"")</f>
        <v/>
      </c>
      <c r="AE147" s="32">
        <f>IFERROR(IF(A147="","",IF(AD147=0,"Paid",IF(AC147&gt;=AB147,"Deposit Met",IF(AC147&gt;0,"Partial Payment","Unpaid")))),"")</f>
        <v/>
      </c>
      <c r="AF147" s="54">
        <f>IFERROR(IF(OR(A147="",G147=""),"",G147-('Setup &amp; Lists'!$B$11/24)),"")</f>
        <v/>
      </c>
      <c r="AG147" s="25" t="n"/>
      <c r="AH147" s="25" t="n"/>
      <c r="AI147" s="50" t="n"/>
      <c r="AJ147" s="32">
        <f>IFERROR(IF(A147="","",IF(H147&lt;=G147,"Departure must be after arrival",IF(OR(J147="",J147&lt;1),"Rooms must be at least 1",IF(D147="","Guest name missing",IF(COUNTIF($A$2:$A$251,A147)&gt;1,"Duplicate reservation ID",IF(AND(P147="Confirmed",G147&gt;=TODAY(),G147&lt;=TODAY()+'Setup &amp; Lists'!$B$12,Q147=""),"Assign room for near-term arrival",IF(AND(G147&lt;TODAY(),P147="Confirmed"),"Past-due confirmed arrival",IF(AND(G147&gt;TODAY(),P147="Confirmed",AC147&lt;AB147),"Deposit shortfall",IF(AND(H147&lt;TODAY(),AD147&gt;0,P147&lt;&gt;"Cancelled"),"Balance remains after departure",IF(R147&lt;0,"Nightly rate is negative",IF(AC147&gt;Z147,"Deposit paid exceeds total value",""))))))))))),"")</f>
        <v/>
      </c>
    </row>
    <row r="148">
      <c r="A148" s="25" t="n"/>
      <c r="B148" s="25" t="n"/>
      <c r="C148" s="50" t="n"/>
      <c r="D148" s="25" t="n"/>
      <c r="E148" s="25" t="n"/>
      <c r="F148" s="25" t="n"/>
      <c r="G148" s="50" t="n"/>
      <c r="H148" s="50" t="n"/>
      <c r="I148" s="27">
        <f>IFERROR(IF(A148="","",MAX(0,H148-G148)),"")</f>
        <v/>
      </c>
      <c r="J148" s="28" t="n"/>
      <c r="K148" s="28" t="n"/>
      <c r="L148" s="28" t="n"/>
      <c r="M148" s="25" t="n"/>
      <c r="N148" s="25" t="n"/>
      <c r="O148" s="25" t="n"/>
      <c r="P148" s="25" t="n"/>
      <c r="Q148" s="25" t="n"/>
      <c r="R148" s="51" t="n"/>
      <c r="S148" s="52" t="n"/>
      <c r="T148" s="51" t="n"/>
      <c r="U148" s="52" t="n"/>
      <c r="V148" s="52" t="n"/>
      <c r="W148" s="53">
        <f>IFERROR(IF(A148="","",ROUND(I148*J148*R148*(1-S148),2)),"")</f>
        <v/>
      </c>
      <c r="X148" s="53">
        <f>IFERROR(IF(A148="","",ROUND(W148*IF(V148="",'Setup &amp; Lists'!$B$7,V148),2)),"")</f>
        <v/>
      </c>
      <c r="Y148" s="53">
        <f>IFERROR(IF(A148="","",ROUND((W148+IF('Setup &amp; Lists'!$B$8="Yes",T148,0)+IF('Setup &amp; Lists'!$B$9="Yes",X148,0))*IF(U148="",'Setup &amp; Lists'!$B$6,U148),2)),"")</f>
        <v/>
      </c>
      <c r="Z148" s="53">
        <f>IFERROR(IF(A148="","",ROUND(W148+T148+X148+Y148,2)),"")</f>
        <v/>
      </c>
      <c r="AA148" s="51" t="n"/>
      <c r="AB148" s="53">
        <f>IFERROR(IF(A148="","",ROUND(IF(AA148&lt;&gt;"",AA148,Z148*'Setup &amp; Lists'!$B$10),2)),"")</f>
        <v/>
      </c>
      <c r="AC148" s="51" t="n"/>
      <c r="AD148" s="53">
        <f>IFERROR(IF(A148="","",MAX(0,ROUND(Z148-AC148,2))),"")</f>
        <v/>
      </c>
      <c r="AE148" s="32">
        <f>IFERROR(IF(A148="","",IF(AD148=0,"Paid",IF(AC148&gt;=AB148,"Deposit Met",IF(AC148&gt;0,"Partial Payment","Unpaid")))),"")</f>
        <v/>
      </c>
      <c r="AF148" s="54">
        <f>IFERROR(IF(OR(A148="",G148=""),"",G148-('Setup &amp; Lists'!$B$11/24)),"")</f>
        <v/>
      </c>
      <c r="AG148" s="25" t="n"/>
      <c r="AH148" s="25" t="n"/>
      <c r="AI148" s="50" t="n"/>
      <c r="AJ148" s="32">
        <f>IFERROR(IF(A148="","",IF(H148&lt;=G148,"Departure must be after arrival",IF(OR(J148="",J148&lt;1),"Rooms must be at least 1",IF(D148="","Guest name missing",IF(COUNTIF($A$2:$A$251,A148)&gt;1,"Duplicate reservation ID",IF(AND(P148="Confirmed",G148&gt;=TODAY(),G148&lt;=TODAY()+'Setup &amp; Lists'!$B$12,Q148=""),"Assign room for near-term arrival",IF(AND(G148&lt;TODAY(),P148="Confirmed"),"Past-due confirmed arrival",IF(AND(G148&gt;TODAY(),P148="Confirmed",AC148&lt;AB148),"Deposit shortfall",IF(AND(H148&lt;TODAY(),AD148&gt;0,P148&lt;&gt;"Cancelled"),"Balance remains after departure",IF(R148&lt;0,"Nightly rate is negative",IF(AC148&gt;Z148,"Deposit paid exceeds total value",""))))))))))),"")</f>
        <v/>
      </c>
    </row>
    <row r="149">
      <c r="A149" s="25" t="n"/>
      <c r="B149" s="25" t="n"/>
      <c r="C149" s="50" t="n"/>
      <c r="D149" s="25" t="n"/>
      <c r="E149" s="25" t="n"/>
      <c r="F149" s="25" t="n"/>
      <c r="G149" s="50" t="n"/>
      <c r="H149" s="50" t="n"/>
      <c r="I149" s="27">
        <f>IFERROR(IF(A149="","",MAX(0,H149-G149)),"")</f>
        <v/>
      </c>
      <c r="J149" s="28" t="n"/>
      <c r="K149" s="28" t="n"/>
      <c r="L149" s="28" t="n"/>
      <c r="M149" s="25" t="n"/>
      <c r="N149" s="25" t="n"/>
      <c r="O149" s="25" t="n"/>
      <c r="P149" s="25" t="n"/>
      <c r="Q149" s="25" t="n"/>
      <c r="R149" s="51" t="n"/>
      <c r="S149" s="52" t="n"/>
      <c r="T149" s="51" t="n"/>
      <c r="U149" s="52" t="n"/>
      <c r="V149" s="52" t="n"/>
      <c r="W149" s="53">
        <f>IFERROR(IF(A149="","",ROUND(I149*J149*R149*(1-S149),2)),"")</f>
        <v/>
      </c>
      <c r="X149" s="53">
        <f>IFERROR(IF(A149="","",ROUND(W149*IF(V149="",'Setup &amp; Lists'!$B$7,V149),2)),"")</f>
        <v/>
      </c>
      <c r="Y149" s="53">
        <f>IFERROR(IF(A149="","",ROUND((W149+IF('Setup &amp; Lists'!$B$8="Yes",T149,0)+IF('Setup &amp; Lists'!$B$9="Yes",X149,0))*IF(U149="",'Setup &amp; Lists'!$B$6,U149),2)),"")</f>
        <v/>
      </c>
      <c r="Z149" s="53">
        <f>IFERROR(IF(A149="","",ROUND(W149+T149+X149+Y149,2)),"")</f>
        <v/>
      </c>
      <c r="AA149" s="51" t="n"/>
      <c r="AB149" s="53">
        <f>IFERROR(IF(A149="","",ROUND(IF(AA149&lt;&gt;"",AA149,Z149*'Setup &amp; Lists'!$B$10),2)),"")</f>
        <v/>
      </c>
      <c r="AC149" s="51" t="n"/>
      <c r="AD149" s="53">
        <f>IFERROR(IF(A149="","",MAX(0,ROUND(Z149-AC149,2))),"")</f>
        <v/>
      </c>
      <c r="AE149" s="32">
        <f>IFERROR(IF(A149="","",IF(AD149=0,"Paid",IF(AC149&gt;=AB149,"Deposit Met",IF(AC149&gt;0,"Partial Payment","Unpaid")))),"")</f>
        <v/>
      </c>
      <c r="AF149" s="54">
        <f>IFERROR(IF(OR(A149="",G149=""),"",G149-('Setup &amp; Lists'!$B$11/24)),"")</f>
        <v/>
      </c>
      <c r="AG149" s="25" t="n"/>
      <c r="AH149" s="25" t="n"/>
      <c r="AI149" s="50" t="n"/>
      <c r="AJ149" s="32">
        <f>IFERROR(IF(A149="","",IF(H149&lt;=G149,"Departure must be after arrival",IF(OR(J149="",J149&lt;1),"Rooms must be at least 1",IF(D149="","Guest name missing",IF(COUNTIF($A$2:$A$251,A149)&gt;1,"Duplicate reservation ID",IF(AND(P149="Confirmed",G149&gt;=TODAY(),G149&lt;=TODAY()+'Setup &amp; Lists'!$B$12,Q149=""),"Assign room for near-term arrival",IF(AND(G149&lt;TODAY(),P149="Confirmed"),"Past-due confirmed arrival",IF(AND(G149&gt;TODAY(),P149="Confirmed",AC149&lt;AB149),"Deposit shortfall",IF(AND(H149&lt;TODAY(),AD149&gt;0,P149&lt;&gt;"Cancelled"),"Balance remains after departure",IF(R149&lt;0,"Nightly rate is negative",IF(AC149&gt;Z149,"Deposit paid exceeds total value",""))))))))))),"")</f>
        <v/>
      </c>
    </row>
    <row r="150">
      <c r="A150" s="25" t="n"/>
      <c r="B150" s="25" t="n"/>
      <c r="C150" s="50" t="n"/>
      <c r="D150" s="25" t="n"/>
      <c r="E150" s="25" t="n"/>
      <c r="F150" s="25" t="n"/>
      <c r="G150" s="50" t="n"/>
      <c r="H150" s="50" t="n"/>
      <c r="I150" s="27">
        <f>IFERROR(IF(A150="","",MAX(0,H150-G150)),"")</f>
        <v/>
      </c>
      <c r="J150" s="28" t="n"/>
      <c r="K150" s="28" t="n"/>
      <c r="L150" s="28" t="n"/>
      <c r="M150" s="25" t="n"/>
      <c r="N150" s="25" t="n"/>
      <c r="O150" s="25" t="n"/>
      <c r="P150" s="25" t="n"/>
      <c r="Q150" s="25" t="n"/>
      <c r="R150" s="51" t="n"/>
      <c r="S150" s="52" t="n"/>
      <c r="T150" s="51" t="n"/>
      <c r="U150" s="52" t="n"/>
      <c r="V150" s="52" t="n"/>
      <c r="W150" s="53">
        <f>IFERROR(IF(A150="","",ROUND(I150*J150*R150*(1-S150),2)),"")</f>
        <v/>
      </c>
      <c r="X150" s="53">
        <f>IFERROR(IF(A150="","",ROUND(W150*IF(V150="",'Setup &amp; Lists'!$B$7,V150),2)),"")</f>
        <v/>
      </c>
      <c r="Y150" s="53">
        <f>IFERROR(IF(A150="","",ROUND((W150+IF('Setup &amp; Lists'!$B$8="Yes",T150,0)+IF('Setup &amp; Lists'!$B$9="Yes",X150,0))*IF(U150="",'Setup &amp; Lists'!$B$6,U150),2)),"")</f>
        <v/>
      </c>
      <c r="Z150" s="53">
        <f>IFERROR(IF(A150="","",ROUND(W150+T150+X150+Y150,2)),"")</f>
        <v/>
      </c>
      <c r="AA150" s="51" t="n"/>
      <c r="AB150" s="53">
        <f>IFERROR(IF(A150="","",ROUND(IF(AA150&lt;&gt;"",AA150,Z150*'Setup &amp; Lists'!$B$10),2)),"")</f>
        <v/>
      </c>
      <c r="AC150" s="51" t="n"/>
      <c r="AD150" s="53">
        <f>IFERROR(IF(A150="","",MAX(0,ROUND(Z150-AC150,2))),"")</f>
        <v/>
      </c>
      <c r="AE150" s="32">
        <f>IFERROR(IF(A150="","",IF(AD150=0,"Paid",IF(AC150&gt;=AB150,"Deposit Met",IF(AC150&gt;0,"Partial Payment","Unpaid")))),"")</f>
        <v/>
      </c>
      <c r="AF150" s="54">
        <f>IFERROR(IF(OR(A150="",G150=""),"",G150-('Setup &amp; Lists'!$B$11/24)),"")</f>
        <v/>
      </c>
      <c r="AG150" s="25" t="n"/>
      <c r="AH150" s="25" t="n"/>
      <c r="AI150" s="50" t="n"/>
      <c r="AJ150" s="32">
        <f>IFERROR(IF(A150="","",IF(H150&lt;=G150,"Departure must be after arrival",IF(OR(J150="",J150&lt;1),"Rooms must be at least 1",IF(D150="","Guest name missing",IF(COUNTIF($A$2:$A$251,A150)&gt;1,"Duplicate reservation ID",IF(AND(P150="Confirmed",G150&gt;=TODAY(),G150&lt;=TODAY()+'Setup &amp; Lists'!$B$12,Q150=""),"Assign room for near-term arrival",IF(AND(G150&lt;TODAY(),P150="Confirmed"),"Past-due confirmed arrival",IF(AND(G150&gt;TODAY(),P150="Confirmed",AC150&lt;AB150),"Deposit shortfall",IF(AND(H150&lt;TODAY(),AD150&gt;0,P150&lt;&gt;"Cancelled"),"Balance remains after departure",IF(R150&lt;0,"Nightly rate is negative",IF(AC150&gt;Z150,"Deposit paid exceeds total value",""))))))))))),"")</f>
        <v/>
      </c>
    </row>
    <row r="151">
      <c r="A151" s="25" t="n"/>
      <c r="B151" s="25" t="n"/>
      <c r="C151" s="50" t="n"/>
      <c r="D151" s="25" t="n"/>
      <c r="E151" s="25" t="n"/>
      <c r="F151" s="25" t="n"/>
      <c r="G151" s="50" t="n"/>
      <c r="H151" s="50" t="n"/>
      <c r="I151" s="27">
        <f>IFERROR(IF(A151="","",MAX(0,H151-G151)),"")</f>
        <v/>
      </c>
      <c r="J151" s="28" t="n"/>
      <c r="K151" s="28" t="n"/>
      <c r="L151" s="28" t="n"/>
      <c r="M151" s="25" t="n"/>
      <c r="N151" s="25" t="n"/>
      <c r="O151" s="25" t="n"/>
      <c r="P151" s="25" t="n"/>
      <c r="Q151" s="25" t="n"/>
      <c r="R151" s="51" t="n"/>
      <c r="S151" s="52" t="n"/>
      <c r="T151" s="51" t="n"/>
      <c r="U151" s="52" t="n"/>
      <c r="V151" s="52" t="n"/>
      <c r="W151" s="53">
        <f>IFERROR(IF(A151="","",ROUND(I151*J151*R151*(1-S151),2)),"")</f>
        <v/>
      </c>
      <c r="X151" s="53">
        <f>IFERROR(IF(A151="","",ROUND(W151*IF(V151="",'Setup &amp; Lists'!$B$7,V151),2)),"")</f>
        <v/>
      </c>
      <c r="Y151" s="53">
        <f>IFERROR(IF(A151="","",ROUND((W151+IF('Setup &amp; Lists'!$B$8="Yes",T151,0)+IF('Setup &amp; Lists'!$B$9="Yes",X151,0))*IF(U151="",'Setup &amp; Lists'!$B$6,U151),2)),"")</f>
        <v/>
      </c>
      <c r="Z151" s="53">
        <f>IFERROR(IF(A151="","",ROUND(W151+T151+X151+Y151,2)),"")</f>
        <v/>
      </c>
      <c r="AA151" s="51" t="n"/>
      <c r="AB151" s="53">
        <f>IFERROR(IF(A151="","",ROUND(IF(AA151&lt;&gt;"",AA151,Z151*'Setup &amp; Lists'!$B$10),2)),"")</f>
        <v/>
      </c>
      <c r="AC151" s="51" t="n"/>
      <c r="AD151" s="53">
        <f>IFERROR(IF(A151="","",MAX(0,ROUND(Z151-AC151,2))),"")</f>
        <v/>
      </c>
      <c r="AE151" s="32">
        <f>IFERROR(IF(A151="","",IF(AD151=0,"Paid",IF(AC151&gt;=AB151,"Deposit Met",IF(AC151&gt;0,"Partial Payment","Unpaid")))),"")</f>
        <v/>
      </c>
      <c r="AF151" s="54">
        <f>IFERROR(IF(OR(A151="",G151=""),"",G151-('Setup &amp; Lists'!$B$11/24)),"")</f>
        <v/>
      </c>
      <c r="AG151" s="25" t="n"/>
      <c r="AH151" s="25" t="n"/>
      <c r="AI151" s="50" t="n"/>
      <c r="AJ151" s="32">
        <f>IFERROR(IF(A151="","",IF(H151&lt;=G151,"Departure must be after arrival",IF(OR(J151="",J151&lt;1),"Rooms must be at least 1",IF(D151="","Guest name missing",IF(COUNTIF($A$2:$A$251,A151)&gt;1,"Duplicate reservation ID",IF(AND(P151="Confirmed",G151&gt;=TODAY(),G151&lt;=TODAY()+'Setup &amp; Lists'!$B$12,Q151=""),"Assign room for near-term arrival",IF(AND(G151&lt;TODAY(),P151="Confirmed"),"Past-due confirmed arrival",IF(AND(G151&gt;TODAY(),P151="Confirmed",AC151&lt;AB151),"Deposit shortfall",IF(AND(H151&lt;TODAY(),AD151&gt;0,P151&lt;&gt;"Cancelled"),"Balance remains after departure",IF(R151&lt;0,"Nightly rate is negative",IF(AC151&gt;Z151,"Deposit paid exceeds total value",""))))))))))),"")</f>
        <v/>
      </c>
    </row>
    <row r="152">
      <c r="A152" s="25" t="n"/>
      <c r="B152" s="25" t="n"/>
      <c r="C152" s="50" t="n"/>
      <c r="D152" s="25" t="n"/>
      <c r="E152" s="25" t="n"/>
      <c r="F152" s="25" t="n"/>
      <c r="G152" s="50" t="n"/>
      <c r="H152" s="50" t="n"/>
      <c r="I152" s="27">
        <f>IFERROR(IF(A152="","",MAX(0,H152-G152)),"")</f>
        <v/>
      </c>
      <c r="J152" s="28" t="n"/>
      <c r="K152" s="28" t="n"/>
      <c r="L152" s="28" t="n"/>
      <c r="M152" s="25" t="n"/>
      <c r="N152" s="25" t="n"/>
      <c r="O152" s="25" t="n"/>
      <c r="P152" s="25" t="n"/>
      <c r="Q152" s="25" t="n"/>
      <c r="R152" s="51" t="n"/>
      <c r="S152" s="52" t="n"/>
      <c r="T152" s="51" t="n"/>
      <c r="U152" s="52" t="n"/>
      <c r="V152" s="52" t="n"/>
      <c r="W152" s="53">
        <f>IFERROR(IF(A152="","",ROUND(I152*J152*R152*(1-S152),2)),"")</f>
        <v/>
      </c>
      <c r="X152" s="53">
        <f>IFERROR(IF(A152="","",ROUND(W152*IF(V152="",'Setup &amp; Lists'!$B$7,V152),2)),"")</f>
        <v/>
      </c>
      <c r="Y152" s="53">
        <f>IFERROR(IF(A152="","",ROUND((W152+IF('Setup &amp; Lists'!$B$8="Yes",T152,0)+IF('Setup &amp; Lists'!$B$9="Yes",X152,0))*IF(U152="",'Setup &amp; Lists'!$B$6,U152),2)),"")</f>
        <v/>
      </c>
      <c r="Z152" s="53">
        <f>IFERROR(IF(A152="","",ROUND(W152+T152+X152+Y152,2)),"")</f>
        <v/>
      </c>
      <c r="AA152" s="51" t="n"/>
      <c r="AB152" s="53">
        <f>IFERROR(IF(A152="","",ROUND(IF(AA152&lt;&gt;"",AA152,Z152*'Setup &amp; Lists'!$B$10),2)),"")</f>
        <v/>
      </c>
      <c r="AC152" s="51" t="n"/>
      <c r="AD152" s="53">
        <f>IFERROR(IF(A152="","",MAX(0,ROUND(Z152-AC152,2))),"")</f>
        <v/>
      </c>
      <c r="AE152" s="32">
        <f>IFERROR(IF(A152="","",IF(AD152=0,"Paid",IF(AC152&gt;=AB152,"Deposit Met",IF(AC152&gt;0,"Partial Payment","Unpaid")))),"")</f>
        <v/>
      </c>
      <c r="AF152" s="54">
        <f>IFERROR(IF(OR(A152="",G152=""),"",G152-('Setup &amp; Lists'!$B$11/24)),"")</f>
        <v/>
      </c>
      <c r="AG152" s="25" t="n"/>
      <c r="AH152" s="25" t="n"/>
      <c r="AI152" s="50" t="n"/>
      <c r="AJ152" s="32">
        <f>IFERROR(IF(A152="","",IF(H152&lt;=G152,"Departure must be after arrival",IF(OR(J152="",J152&lt;1),"Rooms must be at least 1",IF(D152="","Guest name missing",IF(COUNTIF($A$2:$A$251,A152)&gt;1,"Duplicate reservation ID",IF(AND(P152="Confirmed",G152&gt;=TODAY(),G152&lt;=TODAY()+'Setup &amp; Lists'!$B$12,Q152=""),"Assign room for near-term arrival",IF(AND(G152&lt;TODAY(),P152="Confirmed"),"Past-due confirmed arrival",IF(AND(G152&gt;TODAY(),P152="Confirmed",AC152&lt;AB152),"Deposit shortfall",IF(AND(H152&lt;TODAY(),AD152&gt;0,P152&lt;&gt;"Cancelled"),"Balance remains after departure",IF(R152&lt;0,"Nightly rate is negative",IF(AC152&gt;Z152,"Deposit paid exceeds total value",""))))))))))),"")</f>
        <v/>
      </c>
    </row>
    <row r="153">
      <c r="A153" s="25" t="n"/>
      <c r="B153" s="25" t="n"/>
      <c r="C153" s="50" t="n"/>
      <c r="D153" s="25" t="n"/>
      <c r="E153" s="25" t="n"/>
      <c r="F153" s="25" t="n"/>
      <c r="G153" s="50" t="n"/>
      <c r="H153" s="50" t="n"/>
      <c r="I153" s="27">
        <f>IFERROR(IF(A153="","",MAX(0,H153-G153)),"")</f>
        <v/>
      </c>
      <c r="J153" s="28" t="n"/>
      <c r="K153" s="28" t="n"/>
      <c r="L153" s="28" t="n"/>
      <c r="M153" s="25" t="n"/>
      <c r="N153" s="25" t="n"/>
      <c r="O153" s="25" t="n"/>
      <c r="P153" s="25" t="n"/>
      <c r="Q153" s="25" t="n"/>
      <c r="R153" s="51" t="n"/>
      <c r="S153" s="52" t="n"/>
      <c r="T153" s="51" t="n"/>
      <c r="U153" s="52" t="n"/>
      <c r="V153" s="52" t="n"/>
      <c r="W153" s="53">
        <f>IFERROR(IF(A153="","",ROUND(I153*J153*R153*(1-S153),2)),"")</f>
        <v/>
      </c>
      <c r="X153" s="53">
        <f>IFERROR(IF(A153="","",ROUND(W153*IF(V153="",'Setup &amp; Lists'!$B$7,V153),2)),"")</f>
        <v/>
      </c>
      <c r="Y153" s="53">
        <f>IFERROR(IF(A153="","",ROUND((W153+IF('Setup &amp; Lists'!$B$8="Yes",T153,0)+IF('Setup &amp; Lists'!$B$9="Yes",X153,0))*IF(U153="",'Setup &amp; Lists'!$B$6,U153),2)),"")</f>
        <v/>
      </c>
      <c r="Z153" s="53">
        <f>IFERROR(IF(A153="","",ROUND(W153+T153+X153+Y153,2)),"")</f>
        <v/>
      </c>
      <c r="AA153" s="51" t="n"/>
      <c r="AB153" s="53">
        <f>IFERROR(IF(A153="","",ROUND(IF(AA153&lt;&gt;"",AA153,Z153*'Setup &amp; Lists'!$B$10),2)),"")</f>
        <v/>
      </c>
      <c r="AC153" s="51" t="n"/>
      <c r="AD153" s="53">
        <f>IFERROR(IF(A153="","",MAX(0,ROUND(Z153-AC153,2))),"")</f>
        <v/>
      </c>
      <c r="AE153" s="32">
        <f>IFERROR(IF(A153="","",IF(AD153=0,"Paid",IF(AC153&gt;=AB153,"Deposit Met",IF(AC153&gt;0,"Partial Payment","Unpaid")))),"")</f>
        <v/>
      </c>
      <c r="AF153" s="54">
        <f>IFERROR(IF(OR(A153="",G153=""),"",G153-('Setup &amp; Lists'!$B$11/24)),"")</f>
        <v/>
      </c>
      <c r="AG153" s="25" t="n"/>
      <c r="AH153" s="25" t="n"/>
      <c r="AI153" s="50" t="n"/>
      <c r="AJ153" s="32">
        <f>IFERROR(IF(A153="","",IF(H153&lt;=G153,"Departure must be after arrival",IF(OR(J153="",J153&lt;1),"Rooms must be at least 1",IF(D153="","Guest name missing",IF(COUNTIF($A$2:$A$251,A153)&gt;1,"Duplicate reservation ID",IF(AND(P153="Confirmed",G153&gt;=TODAY(),G153&lt;=TODAY()+'Setup &amp; Lists'!$B$12,Q153=""),"Assign room for near-term arrival",IF(AND(G153&lt;TODAY(),P153="Confirmed"),"Past-due confirmed arrival",IF(AND(G153&gt;TODAY(),P153="Confirmed",AC153&lt;AB153),"Deposit shortfall",IF(AND(H153&lt;TODAY(),AD153&gt;0,P153&lt;&gt;"Cancelled"),"Balance remains after departure",IF(R153&lt;0,"Nightly rate is negative",IF(AC153&gt;Z153,"Deposit paid exceeds total value",""))))))))))),"")</f>
        <v/>
      </c>
    </row>
    <row r="154">
      <c r="A154" s="25" t="n"/>
      <c r="B154" s="25" t="n"/>
      <c r="C154" s="50" t="n"/>
      <c r="D154" s="25" t="n"/>
      <c r="E154" s="25" t="n"/>
      <c r="F154" s="25" t="n"/>
      <c r="G154" s="50" t="n"/>
      <c r="H154" s="50" t="n"/>
      <c r="I154" s="27">
        <f>IFERROR(IF(A154="","",MAX(0,H154-G154)),"")</f>
        <v/>
      </c>
      <c r="J154" s="28" t="n"/>
      <c r="K154" s="28" t="n"/>
      <c r="L154" s="28" t="n"/>
      <c r="M154" s="25" t="n"/>
      <c r="N154" s="25" t="n"/>
      <c r="O154" s="25" t="n"/>
      <c r="P154" s="25" t="n"/>
      <c r="Q154" s="25" t="n"/>
      <c r="R154" s="51" t="n"/>
      <c r="S154" s="52" t="n"/>
      <c r="T154" s="51" t="n"/>
      <c r="U154" s="52" t="n"/>
      <c r="V154" s="52" t="n"/>
      <c r="W154" s="53">
        <f>IFERROR(IF(A154="","",ROUND(I154*J154*R154*(1-S154),2)),"")</f>
        <v/>
      </c>
      <c r="X154" s="53">
        <f>IFERROR(IF(A154="","",ROUND(W154*IF(V154="",'Setup &amp; Lists'!$B$7,V154),2)),"")</f>
        <v/>
      </c>
      <c r="Y154" s="53">
        <f>IFERROR(IF(A154="","",ROUND((W154+IF('Setup &amp; Lists'!$B$8="Yes",T154,0)+IF('Setup &amp; Lists'!$B$9="Yes",X154,0))*IF(U154="",'Setup &amp; Lists'!$B$6,U154),2)),"")</f>
        <v/>
      </c>
      <c r="Z154" s="53">
        <f>IFERROR(IF(A154="","",ROUND(W154+T154+X154+Y154,2)),"")</f>
        <v/>
      </c>
      <c r="AA154" s="51" t="n"/>
      <c r="AB154" s="53">
        <f>IFERROR(IF(A154="","",ROUND(IF(AA154&lt;&gt;"",AA154,Z154*'Setup &amp; Lists'!$B$10),2)),"")</f>
        <v/>
      </c>
      <c r="AC154" s="51" t="n"/>
      <c r="AD154" s="53">
        <f>IFERROR(IF(A154="","",MAX(0,ROUND(Z154-AC154,2))),"")</f>
        <v/>
      </c>
      <c r="AE154" s="32">
        <f>IFERROR(IF(A154="","",IF(AD154=0,"Paid",IF(AC154&gt;=AB154,"Deposit Met",IF(AC154&gt;0,"Partial Payment","Unpaid")))),"")</f>
        <v/>
      </c>
      <c r="AF154" s="54">
        <f>IFERROR(IF(OR(A154="",G154=""),"",G154-('Setup &amp; Lists'!$B$11/24)),"")</f>
        <v/>
      </c>
      <c r="AG154" s="25" t="n"/>
      <c r="AH154" s="25" t="n"/>
      <c r="AI154" s="50" t="n"/>
      <c r="AJ154" s="32">
        <f>IFERROR(IF(A154="","",IF(H154&lt;=G154,"Departure must be after arrival",IF(OR(J154="",J154&lt;1),"Rooms must be at least 1",IF(D154="","Guest name missing",IF(COUNTIF($A$2:$A$251,A154)&gt;1,"Duplicate reservation ID",IF(AND(P154="Confirmed",G154&gt;=TODAY(),G154&lt;=TODAY()+'Setup &amp; Lists'!$B$12,Q154=""),"Assign room for near-term arrival",IF(AND(G154&lt;TODAY(),P154="Confirmed"),"Past-due confirmed arrival",IF(AND(G154&gt;TODAY(),P154="Confirmed",AC154&lt;AB154),"Deposit shortfall",IF(AND(H154&lt;TODAY(),AD154&gt;0,P154&lt;&gt;"Cancelled"),"Balance remains after departure",IF(R154&lt;0,"Nightly rate is negative",IF(AC154&gt;Z154,"Deposit paid exceeds total value",""))))))))))),"")</f>
        <v/>
      </c>
    </row>
    <row r="155">
      <c r="A155" s="25" t="n"/>
      <c r="B155" s="25" t="n"/>
      <c r="C155" s="50" t="n"/>
      <c r="D155" s="25" t="n"/>
      <c r="E155" s="25" t="n"/>
      <c r="F155" s="25" t="n"/>
      <c r="G155" s="50" t="n"/>
      <c r="H155" s="50" t="n"/>
      <c r="I155" s="27">
        <f>IFERROR(IF(A155="","",MAX(0,H155-G155)),"")</f>
        <v/>
      </c>
      <c r="J155" s="28" t="n"/>
      <c r="K155" s="28" t="n"/>
      <c r="L155" s="28" t="n"/>
      <c r="M155" s="25" t="n"/>
      <c r="N155" s="25" t="n"/>
      <c r="O155" s="25" t="n"/>
      <c r="P155" s="25" t="n"/>
      <c r="Q155" s="25" t="n"/>
      <c r="R155" s="51" t="n"/>
      <c r="S155" s="52" t="n"/>
      <c r="T155" s="51" t="n"/>
      <c r="U155" s="52" t="n"/>
      <c r="V155" s="52" t="n"/>
      <c r="W155" s="53">
        <f>IFERROR(IF(A155="","",ROUND(I155*J155*R155*(1-S155),2)),"")</f>
        <v/>
      </c>
      <c r="X155" s="53">
        <f>IFERROR(IF(A155="","",ROUND(W155*IF(V155="",'Setup &amp; Lists'!$B$7,V155),2)),"")</f>
        <v/>
      </c>
      <c r="Y155" s="53">
        <f>IFERROR(IF(A155="","",ROUND((W155+IF('Setup &amp; Lists'!$B$8="Yes",T155,0)+IF('Setup &amp; Lists'!$B$9="Yes",X155,0))*IF(U155="",'Setup &amp; Lists'!$B$6,U155),2)),"")</f>
        <v/>
      </c>
      <c r="Z155" s="53">
        <f>IFERROR(IF(A155="","",ROUND(W155+T155+X155+Y155,2)),"")</f>
        <v/>
      </c>
      <c r="AA155" s="51" t="n"/>
      <c r="AB155" s="53">
        <f>IFERROR(IF(A155="","",ROUND(IF(AA155&lt;&gt;"",AA155,Z155*'Setup &amp; Lists'!$B$10),2)),"")</f>
        <v/>
      </c>
      <c r="AC155" s="51" t="n"/>
      <c r="AD155" s="53">
        <f>IFERROR(IF(A155="","",MAX(0,ROUND(Z155-AC155,2))),"")</f>
        <v/>
      </c>
      <c r="AE155" s="32">
        <f>IFERROR(IF(A155="","",IF(AD155=0,"Paid",IF(AC155&gt;=AB155,"Deposit Met",IF(AC155&gt;0,"Partial Payment","Unpaid")))),"")</f>
        <v/>
      </c>
      <c r="AF155" s="54">
        <f>IFERROR(IF(OR(A155="",G155=""),"",G155-('Setup &amp; Lists'!$B$11/24)),"")</f>
        <v/>
      </c>
      <c r="AG155" s="25" t="n"/>
      <c r="AH155" s="25" t="n"/>
      <c r="AI155" s="50" t="n"/>
      <c r="AJ155" s="32">
        <f>IFERROR(IF(A155="","",IF(H155&lt;=G155,"Departure must be after arrival",IF(OR(J155="",J155&lt;1),"Rooms must be at least 1",IF(D155="","Guest name missing",IF(COUNTIF($A$2:$A$251,A155)&gt;1,"Duplicate reservation ID",IF(AND(P155="Confirmed",G155&gt;=TODAY(),G155&lt;=TODAY()+'Setup &amp; Lists'!$B$12,Q155=""),"Assign room for near-term arrival",IF(AND(G155&lt;TODAY(),P155="Confirmed"),"Past-due confirmed arrival",IF(AND(G155&gt;TODAY(),P155="Confirmed",AC155&lt;AB155),"Deposit shortfall",IF(AND(H155&lt;TODAY(),AD155&gt;0,P155&lt;&gt;"Cancelled"),"Balance remains after departure",IF(R155&lt;0,"Nightly rate is negative",IF(AC155&gt;Z155,"Deposit paid exceeds total value",""))))))))))),"")</f>
        <v/>
      </c>
    </row>
    <row r="156">
      <c r="A156" s="25" t="n"/>
      <c r="B156" s="25" t="n"/>
      <c r="C156" s="50" t="n"/>
      <c r="D156" s="25" t="n"/>
      <c r="E156" s="25" t="n"/>
      <c r="F156" s="25" t="n"/>
      <c r="G156" s="50" t="n"/>
      <c r="H156" s="50" t="n"/>
      <c r="I156" s="27">
        <f>IFERROR(IF(A156="","",MAX(0,H156-G156)),"")</f>
        <v/>
      </c>
      <c r="J156" s="28" t="n"/>
      <c r="K156" s="28" t="n"/>
      <c r="L156" s="28" t="n"/>
      <c r="M156" s="25" t="n"/>
      <c r="N156" s="25" t="n"/>
      <c r="O156" s="25" t="n"/>
      <c r="P156" s="25" t="n"/>
      <c r="Q156" s="25" t="n"/>
      <c r="R156" s="51" t="n"/>
      <c r="S156" s="52" t="n"/>
      <c r="T156" s="51" t="n"/>
      <c r="U156" s="52" t="n"/>
      <c r="V156" s="52" t="n"/>
      <c r="W156" s="53">
        <f>IFERROR(IF(A156="","",ROUND(I156*J156*R156*(1-S156),2)),"")</f>
        <v/>
      </c>
      <c r="X156" s="53">
        <f>IFERROR(IF(A156="","",ROUND(W156*IF(V156="",'Setup &amp; Lists'!$B$7,V156),2)),"")</f>
        <v/>
      </c>
      <c r="Y156" s="53">
        <f>IFERROR(IF(A156="","",ROUND((W156+IF('Setup &amp; Lists'!$B$8="Yes",T156,0)+IF('Setup &amp; Lists'!$B$9="Yes",X156,0))*IF(U156="",'Setup &amp; Lists'!$B$6,U156),2)),"")</f>
        <v/>
      </c>
      <c r="Z156" s="53">
        <f>IFERROR(IF(A156="","",ROUND(W156+T156+X156+Y156,2)),"")</f>
        <v/>
      </c>
      <c r="AA156" s="51" t="n"/>
      <c r="AB156" s="53">
        <f>IFERROR(IF(A156="","",ROUND(IF(AA156&lt;&gt;"",AA156,Z156*'Setup &amp; Lists'!$B$10),2)),"")</f>
        <v/>
      </c>
      <c r="AC156" s="51" t="n"/>
      <c r="AD156" s="53">
        <f>IFERROR(IF(A156="","",MAX(0,ROUND(Z156-AC156,2))),"")</f>
        <v/>
      </c>
      <c r="AE156" s="32">
        <f>IFERROR(IF(A156="","",IF(AD156=0,"Paid",IF(AC156&gt;=AB156,"Deposit Met",IF(AC156&gt;0,"Partial Payment","Unpaid")))),"")</f>
        <v/>
      </c>
      <c r="AF156" s="54">
        <f>IFERROR(IF(OR(A156="",G156=""),"",G156-('Setup &amp; Lists'!$B$11/24)),"")</f>
        <v/>
      </c>
      <c r="AG156" s="25" t="n"/>
      <c r="AH156" s="25" t="n"/>
      <c r="AI156" s="50" t="n"/>
      <c r="AJ156" s="32">
        <f>IFERROR(IF(A156="","",IF(H156&lt;=G156,"Departure must be after arrival",IF(OR(J156="",J156&lt;1),"Rooms must be at least 1",IF(D156="","Guest name missing",IF(COUNTIF($A$2:$A$251,A156)&gt;1,"Duplicate reservation ID",IF(AND(P156="Confirmed",G156&gt;=TODAY(),G156&lt;=TODAY()+'Setup &amp; Lists'!$B$12,Q156=""),"Assign room for near-term arrival",IF(AND(G156&lt;TODAY(),P156="Confirmed"),"Past-due confirmed arrival",IF(AND(G156&gt;TODAY(),P156="Confirmed",AC156&lt;AB156),"Deposit shortfall",IF(AND(H156&lt;TODAY(),AD156&gt;0,P156&lt;&gt;"Cancelled"),"Balance remains after departure",IF(R156&lt;0,"Nightly rate is negative",IF(AC156&gt;Z156,"Deposit paid exceeds total value",""))))))))))),"")</f>
        <v/>
      </c>
    </row>
    <row r="157">
      <c r="A157" s="25" t="n"/>
      <c r="B157" s="25" t="n"/>
      <c r="C157" s="50" t="n"/>
      <c r="D157" s="25" t="n"/>
      <c r="E157" s="25" t="n"/>
      <c r="F157" s="25" t="n"/>
      <c r="G157" s="50" t="n"/>
      <c r="H157" s="50" t="n"/>
      <c r="I157" s="27">
        <f>IFERROR(IF(A157="","",MAX(0,H157-G157)),"")</f>
        <v/>
      </c>
      <c r="J157" s="28" t="n"/>
      <c r="K157" s="28" t="n"/>
      <c r="L157" s="28" t="n"/>
      <c r="M157" s="25" t="n"/>
      <c r="N157" s="25" t="n"/>
      <c r="O157" s="25" t="n"/>
      <c r="P157" s="25" t="n"/>
      <c r="Q157" s="25" t="n"/>
      <c r="R157" s="51" t="n"/>
      <c r="S157" s="52" t="n"/>
      <c r="T157" s="51" t="n"/>
      <c r="U157" s="52" t="n"/>
      <c r="V157" s="52" t="n"/>
      <c r="W157" s="53">
        <f>IFERROR(IF(A157="","",ROUND(I157*J157*R157*(1-S157),2)),"")</f>
        <v/>
      </c>
      <c r="X157" s="53">
        <f>IFERROR(IF(A157="","",ROUND(W157*IF(V157="",'Setup &amp; Lists'!$B$7,V157),2)),"")</f>
        <v/>
      </c>
      <c r="Y157" s="53">
        <f>IFERROR(IF(A157="","",ROUND((W157+IF('Setup &amp; Lists'!$B$8="Yes",T157,0)+IF('Setup &amp; Lists'!$B$9="Yes",X157,0))*IF(U157="",'Setup &amp; Lists'!$B$6,U157),2)),"")</f>
        <v/>
      </c>
      <c r="Z157" s="53">
        <f>IFERROR(IF(A157="","",ROUND(W157+T157+X157+Y157,2)),"")</f>
        <v/>
      </c>
      <c r="AA157" s="51" t="n"/>
      <c r="AB157" s="53">
        <f>IFERROR(IF(A157="","",ROUND(IF(AA157&lt;&gt;"",AA157,Z157*'Setup &amp; Lists'!$B$10),2)),"")</f>
        <v/>
      </c>
      <c r="AC157" s="51" t="n"/>
      <c r="AD157" s="53">
        <f>IFERROR(IF(A157="","",MAX(0,ROUND(Z157-AC157,2))),"")</f>
        <v/>
      </c>
      <c r="AE157" s="32">
        <f>IFERROR(IF(A157="","",IF(AD157=0,"Paid",IF(AC157&gt;=AB157,"Deposit Met",IF(AC157&gt;0,"Partial Payment","Unpaid")))),"")</f>
        <v/>
      </c>
      <c r="AF157" s="54">
        <f>IFERROR(IF(OR(A157="",G157=""),"",G157-('Setup &amp; Lists'!$B$11/24)),"")</f>
        <v/>
      </c>
      <c r="AG157" s="25" t="n"/>
      <c r="AH157" s="25" t="n"/>
      <c r="AI157" s="50" t="n"/>
      <c r="AJ157" s="32">
        <f>IFERROR(IF(A157="","",IF(H157&lt;=G157,"Departure must be after arrival",IF(OR(J157="",J157&lt;1),"Rooms must be at least 1",IF(D157="","Guest name missing",IF(COUNTIF($A$2:$A$251,A157)&gt;1,"Duplicate reservation ID",IF(AND(P157="Confirmed",G157&gt;=TODAY(),G157&lt;=TODAY()+'Setup &amp; Lists'!$B$12,Q157=""),"Assign room for near-term arrival",IF(AND(G157&lt;TODAY(),P157="Confirmed"),"Past-due confirmed arrival",IF(AND(G157&gt;TODAY(),P157="Confirmed",AC157&lt;AB157),"Deposit shortfall",IF(AND(H157&lt;TODAY(),AD157&gt;0,P157&lt;&gt;"Cancelled"),"Balance remains after departure",IF(R157&lt;0,"Nightly rate is negative",IF(AC157&gt;Z157,"Deposit paid exceeds total value",""))))))))))),"")</f>
        <v/>
      </c>
    </row>
    <row r="158">
      <c r="A158" s="25" t="n"/>
      <c r="B158" s="25" t="n"/>
      <c r="C158" s="50" t="n"/>
      <c r="D158" s="25" t="n"/>
      <c r="E158" s="25" t="n"/>
      <c r="F158" s="25" t="n"/>
      <c r="G158" s="50" t="n"/>
      <c r="H158" s="50" t="n"/>
      <c r="I158" s="27">
        <f>IFERROR(IF(A158="","",MAX(0,H158-G158)),"")</f>
        <v/>
      </c>
      <c r="J158" s="28" t="n"/>
      <c r="K158" s="28" t="n"/>
      <c r="L158" s="28" t="n"/>
      <c r="M158" s="25" t="n"/>
      <c r="N158" s="25" t="n"/>
      <c r="O158" s="25" t="n"/>
      <c r="P158" s="25" t="n"/>
      <c r="Q158" s="25" t="n"/>
      <c r="R158" s="51" t="n"/>
      <c r="S158" s="52" t="n"/>
      <c r="T158" s="51" t="n"/>
      <c r="U158" s="52" t="n"/>
      <c r="V158" s="52" t="n"/>
      <c r="W158" s="53">
        <f>IFERROR(IF(A158="","",ROUND(I158*J158*R158*(1-S158),2)),"")</f>
        <v/>
      </c>
      <c r="X158" s="53">
        <f>IFERROR(IF(A158="","",ROUND(W158*IF(V158="",'Setup &amp; Lists'!$B$7,V158),2)),"")</f>
        <v/>
      </c>
      <c r="Y158" s="53">
        <f>IFERROR(IF(A158="","",ROUND((W158+IF('Setup &amp; Lists'!$B$8="Yes",T158,0)+IF('Setup &amp; Lists'!$B$9="Yes",X158,0))*IF(U158="",'Setup &amp; Lists'!$B$6,U158),2)),"")</f>
        <v/>
      </c>
      <c r="Z158" s="53">
        <f>IFERROR(IF(A158="","",ROUND(W158+T158+X158+Y158,2)),"")</f>
        <v/>
      </c>
      <c r="AA158" s="51" t="n"/>
      <c r="AB158" s="53">
        <f>IFERROR(IF(A158="","",ROUND(IF(AA158&lt;&gt;"",AA158,Z158*'Setup &amp; Lists'!$B$10),2)),"")</f>
        <v/>
      </c>
      <c r="AC158" s="51" t="n"/>
      <c r="AD158" s="53">
        <f>IFERROR(IF(A158="","",MAX(0,ROUND(Z158-AC158,2))),"")</f>
        <v/>
      </c>
      <c r="AE158" s="32">
        <f>IFERROR(IF(A158="","",IF(AD158=0,"Paid",IF(AC158&gt;=AB158,"Deposit Met",IF(AC158&gt;0,"Partial Payment","Unpaid")))),"")</f>
        <v/>
      </c>
      <c r="AF158" s="54">
        <f>IFERROR(IF(OR(A158="",G158=""),"",G158-('Setup &amp; Lists'!$B$11/24)),"")</f>
        <v/>
      </c>
      <c r="AG158" s="25" t="n"/>
      <c r="AH158" s="25" t="n"/>
      <c r="AI158" s="50" t="n"/>
      <c r="AJ158" s="32">
        <f>IFERROR(IF(A158="","",IF(H158&lt;=G158,"Departure must be after arrival",IF(OR(J158="",J158&lt;1),"Rooms must be at least 1",IF(D158="","Guest name missing",IF(COUNTIF($A$2:$A$251,A158)&gt;1,"Duplicate reservation ID",IF(AND(P158="Confirmed",G158&gt;=TODAY(),G158&lt;=TODAY()+'Setup &amp; Lists'!$B$12,Q158=""),"Assign room for near-term arrival",IF(AND(G158&lt;TODAY(),P158="Confirmed"),"Past-due confirmed arrival",IF(AND(G158&gt;TODAY(),P158="Confirmed",AC158&lt;AB158),"Deposit shortfall",IF(AND(H158&lt;TODAY(),AD158&gt;0,P158&lt;&gt;"Cancelled"),"Balance remains after departure",IF(R158&lt;0,"Nightly rate is negative",IF(AC158&gt;Z158,"Deposit paid exceeds total value",""))))))))))),"")</f>
        <v/>
      </c>
    </row>
    <row r="159">
      <c r="A159" s="25" t="n"/>
      <c r="B159" s="25" t="n"/>
      <c r="C159" s="50" t="n"/>
      <c r="D159" s="25" t="n"/>
      <c r="E159" s="25" t="n"/>
      <c r="F159" s="25" t="n"/>
      <c r="G159" s="50" t="n"/>
      <c r="H159" s="50" t="n"/>
      <c r="I159" s="27">
        <f>IFERROR(IF(A159="","",MAX(0,H159-G159)),"")</f>
        <v/>
      </c>
      <c r="J159" s="28" t="n"/>
      <c r="K159" s="28" t="n"/>
      <c r="L159" s="28" t="n"/>
      <c r="M159" s="25" t="n"/>
      <c r="N159" s="25" t="n"/>
      <c r="O159" s="25" t="n"/>
      <c r="P159" s="25" t="n"/>
      <c r="Q159" s="25" t="n"/>
      <c r="R159" s="51" t="n"/>
      <c r="S159" s="52" t="n"/>
      <c r="T159" s="51" t="n"/>
      <c r="U159" s="52" t="n"/>
      <c r="V159" s="52" t="n"/>
      <c r="W159" s="53">
        <f>IFERROR(IF(A159="","",ROUND(I159*J159*R159*(1-S159),2)),"")</f>
        <v/>
      </c>
      <c r="X159" s="53">
        <f>IFERROR(IF(A159="","",ROUND(W159*IF(V159="",'Setup &amp; Lists'!$B$7,V159),2)),"")</f>
        <v/>
      </c>
      <c r="Y159" s="53">
        <f>IFERROR(IF(A159="","",ROUND((W159+IF('Setup &amp; Lists'!$B$8="Yes",T159,0)+IF('Setup &amp; Lists'!$B$9="Yes",X159,0))*IF(U159="",'Setup &amp; Lists'!$B$6,U159),2)),"")</f>
        <v/>
      </c>
      <c r="Z159" s="53">
        <f>IFERROR(IF(A159="","",ROUND(W159+T159+X159+Y159,2)),"")</f>
        <v/>
      </c>
      <c r="AA159" s="51" t="n"/>
      <c r="AB159" s="53">
        <f>IFERROR(IF(A159="","",ROUND(IF(AA159&lt;&gt;"",AA159,Z159*'Setup &amp; Lists'!$B$10),2)),"")</f>
        <v/>
      </c>
      <c r="AC159" s="51" t="n"/>
      <c r="AD159" s="53">
        <f>IFERROR(IF(A159="","",MAX(0,ROUND(Z159-AC159,2))),"")</f>
        <v/>
      </c>
      <c r="AE159" s="32">
        <f>IFERROR(IF(A159="","",IF(AD159=0,"Paid",IF(AC159&gt;=AB159,"Deposit Met",IF(AC159&gt;0,"Partial Payment","Unpaid")))),"")</f>
        <v/>
      </c>
      <c r="AF159" s="54">
        <f>IFERROR(IF(OR(A159="",G159=""),"",G159-('Setup &amp; Lists'!$B$11/24)),"")</f>
        <v/>
      </c>
      <c r="AG159" s="25" t="n"/>
      <c r="AH159" s="25" t="n"/>
      <c r="AI159" s="50" t="n"/>
      <c r="AJ159" s="32">
        <f>IFERROR(IF(A159="","",IF(H159&lt;=G159,"Departure must be after arrival",IF(OR(J159="",J159&lt;1),"Rooms must be at least 1",IF(D159="","Guest name missing",IF(COUNTIF($A$2:$A$251,A159)&gt;1,"Duplicate reservation ID",IF(AND(P159="Confirmed",G159&gt;=TODAY(),G159&lt;=TODAY()+'Setup &amp; Lists'!$B$12,Q159=""),"Assign room for near-term arrival",IF(AND(G159&lt;TODAY(),P159="Confirmed"),"Past-due confirmed arrival",IF(AND(G159&gt;TODAY(),P159="Confirmed",AC159&lt;AB159),"Deposit shortfall",IF(AND(H159&lt;TODAY(),AD159&gt;0,P159&lt;&gt;"Cancelled"),"Balance remains after departure",IF(R159&lt;0,"Nightly rate is negative",IF(AC159&gt;Z159,"Deposit paid exceeds total value",""))))))))))),"")</f>
        <v/>
      </c>
    </row>
    <row r="160">
      <c r="A160" s="25" t="n"/>
      <c r="B160" s="25" t="n"/>
      <c r="C160" s="50" t="n"/>
      <c r="D160" s="25" t="n"/>
      <c r="E160" s="25" t="n"/>
      <c r="F160" s="25" t="n"/>
      <c r="G160" s="50" t="n"/>
      <c r="H160" s="50" t="n"/>
      <c r="I160" s="27">
        <f>IFERROR(IF(A160="","",MAX(0,H160-G160)),"")</f>
        <v/>
      </c>
      <c r="J160" s="28" t="n"/>
      <c r="K160" s="28" t="n"/>
      <c r="L160" s="28" t="n"/>
      <c r="M160" s="25" t="n"/>
      <c r="N160" s="25" t="n"/>
      <c r="O160" s="25" t="n"/>
      <c r="P160" s="25" t="n"/>
      <c r="Q160" s="25" t="n"/>
      <c r="R160" s="51" t="n"/>
      <c r="S160" s="52" t="n"/>
      <c r="T160" s="51" t="n"/>
      <c r="U160" s="52" t="n"/>
      <c r="V160" s="52" t="n"/>
      <c r="W160" s="53">
        <f>IFERROR(IF(A160="","",ROUND(I160*J160*R160*(1-S160),2)),"")</f>
        <v/>
      </c>
      <c r="X160" s="53">
        <f>IFERROR(IF(A160="","",ROUND(W160*IF(V160="",'Setup &amp; Lists'!$B$7,V160),2)),"")</f>
        <v/>
      </c>
      <c r="Y160" s="53">
        <f>IFERROR(IF(A160="","",ROUND((W160+IF('Setup &amp; Lists'!$B$8="Yes",T160,0)+IF('Setup &amp; Lists'!$B$9="Yes",X160,0))*IF(U160="",'Setup &amp; Lists'!$B$6,U160),2)),"")</f>
        <v/>
      </c>
      <c r="Z160" s="53">
        <f>IFERROR(IF(A160="","",ROUND(W160+T160+X160+Y160,2)),"")</f>
        <v/>
      </c>
      <c r="AA160" s="51" t="n"/>
      <c r="AB160" s="53">
        <f>IFERROR(IF(A160="","",ROUND(IF(AA160&lt;&gt;"",AA160,Z160*'Setup &amp; Lists'!$B$10),2)),"")</f>
        <v/>
      </c>
      <c r="AC160" s="51" t="n"/>
      <c r="AD160" s="53">
        <f>IFERROR(IF(A160="","",MAX(0,ROUND(Z160-AC160,2))),"")</f>
        <v/>
      </c>
      <c r="AE160" s="32">
        <f>IFERROR(IF(A160="","",IF(AD160=0,"Paid",IF(AC160&gt;=AB160,"Deposit Met",IF(AC160&gt;0,"Partial Payment","Unpaid")))),"")</f>
        <v/>
      </c>
      <c r="AF160" s="54">
        <f>IFERROR(IF(OR(A160="",G160=""),"",G160-('Setup &amp; Lists'!$B$11/24)),"")</f>
        <v/>
      </c>
      <c r="AG160" s="25" t="n"/>
      <c r="AH160" s="25" t="n"/>
      <c r="AI160" s="50" t="n"/>
      <c r="AJ160" s="32">
        <f>IFERROR(IF(A160="","",IF(H160&lt;=G160,"Departure must be after arrival",IF(OR(J160="",J160&lt;1),"Rooms must be at least 1",IF(D160="","Guest name missing",IF(COUNTIF($A$2:$A$251,A160)&gt;1,"Duplicate reservation ID",IF(AND(P160="Confirmed",G160&gt;=TODAY(),G160&lt;=TODAY()+'Setup &amp; Lists'!$B$12,Q160=""),"Assign room for near-term arrival",IF(AND(G160&lt;TODAY(),P160="Confirmed"),"Past-due confirmed arrival",IF(AND(G160&gt;TODAY(),P160="Confirmed",AC160&lt;AB160),"Deposit shortfall",IF(AND(H160&lt;TODAY(),AD160&gt;0,P160&lt;&gt;"Cancelled"),"Balance remains after departure",IF(R160&lt;0,"Nightly rate is negative",IF(AC160&gt;Z160,"Deposit paid exceeds total value",""))))))))))),"")</f>
        <v/>
      </c>
    </row>
    <row r="161">
      <c r="A161" s="25" t="n"/>
      <c r="B161" s="25" t="n"/>
      <c r="C161" s="50" t="n"/>
      <c r="D161" s="25" t="n"/>
      <c r="E161" s="25" t="n"/>
      <c r="F161" s="25" t="n"/>
      <c r="G161" s="50" t="n"/>
      <c r="H161" s="50" t="n"/>
      <c r="I161" s="27">
        <f>IFERROR(IF(A161="","",MAX(0,H161-G161)),"")</f>
        <v/>
      </c>
      <c r="J161" s="28" t="n"/>
      <c r="K161" s="28" t="n"/>
      <c r="L161" s="28" t="n"/>
      <c r="M161" s="25" t="n"/>
      <c r="N161" s="25" t="n"/>
      <c r="O161" s="25" t="n"/>
      <c r="P161" s="25" t="n"/>
      <c r="Q161" s="25" t="n"/>
      <c r="R161" s="51" t="n"/>
      <c r="S161" s="52" t="n"/>
      <c r="T161" s="51" t="n"/>
      <c r="U161" s="52" t="n"/>
      <c r="V161" s="52" t="n"/>
      <c r="W161" s="53">
        <f>IFERROR(IF(A161="","",ROUND(I161*J161*R161*(1-S161),2)),"")</f>
        <v/>
      </c>
      <c r="X161" s="53">
        <f>IFERROR(IF(A161="","",ROUND(W161*IF(V161="",'Setup &amp; Lists'!$B$7,V161),2)),"")</f>
        <v/>
      </c>
      <c r="Y161" s="53">
        <f>IFERROR(IF(A161="","",ROUND((W161+IF('Setup &amp; Lists'!$B$8="Yes",T161,0)+IF('Setup &amp; Lists'!$B$9="Yes",X161,0))*IF(U161="",'Setup &amp; Lists'!$B$6,U161),2)),"")</f>
        <v/>
      </c>
      <c r="Z161" s="53">
        <f>IFERROR(IF(A161="","",ROUND(W161+T161+X161+Y161,2)),"")</f>
        <v/>
      </c>
      <c r="AA161" s="51" t="n"/>
      <c r="AB161" s="53">
        <f>IFERROR(IF(A161="","",ROUND(IF(AA161&lt;&gt;"",AA161,Z161*'Setup &amp; Lists'!$B$10),2)),"")</f>
        <v/>
      </c>
      <c r="AC161" s="51" t="n"/>
      <c r="AD161" s="53">
        <f>IFERROR(IF(A161="","",MAX(0,ROUND(Z161-AC161,2))),"")</f>
        <v/>
      </c>
      <c r="AE161" s="32">
        <f>IFERROR(IF(A161="","",IF(AD161=0,"Paid",IF(AC161&gt;=AB161,"Deposit Met",IF(AC161&gt;0,"Partial Payment","Unpaid")))),"")</f>
        <v/>
      </c>
      <c r="AF161" s="54">
        <f>IFERROR(IF(OR(A161="",G161=""),"",G161-('Setup &amp; Lists'!$B$11/24)),"")</f>
        <v/>
      </c>
      <c r="AG161" s="25" t="n"/>
      <c r="AH161" s="25" t="n"/>
      <c r="AI161" s="50" t="n"/>
      <c r="AJ161" s="32">
        <f>IFERROR(IF(A161="","",IF(H161&lt;=G161,"Departure must be after arrival",IF(OR(J161="",J161&lt;1),"Rooms must be at least 1",IF(D161="","Guest name missing",IF(COUNTIF($A$2:$A$251,A161)&gt;1,"Duplicate reservation ID",IF(AND(P161="Confirmed",G161&gt;=TODAY(),G161&lt;=TODAY()+'Setup &amp; Lists'!$B$12,Q161=""),"Assign room for near-term arrival",IF(AND(G161&lt;TODAY(),P161="Confirmed"),"Past-due confirmed arrival",IF(AND(G161&gt;TODAY(),P161="Confirmed",AC161&lt;AB161),"Deposit shortfall",IF(AND(H161&lt;TODAY(),AD161&gt;0,P161&lt;&gt;"Cancelled"),"Balance remains after departure",IF(R161&lt;0,"Nightly rate is negative",IF(AC161&gt;Z161,"Deposit paid exceeds total value",""))))))))))),"")</f>
        <v/>
      </c>
    </row>
    <row r="162">
      <c r="A162" s="25" t="n"/>
      <c r="B162" s="25" t="n"/>
      <c r="C162" s="50" t="n"/>
      <c r="D162" s="25" t="n"/>
      <c r="E162" s="25" t="n"/>
      <c r="F162" s="25" t="n"/>
      <c r="G162" s="50" t="n"/>
      <c r="H162" s="50" t="n"/>
      <c r="I162" s="27">
        <f>IFERROR(IF(A162="","",MAX(0,H162-G162)),"")</f>
        <v/>
      </c>
      <c r="J162" s="28" t="n"/>
      <c r="K162" s="28" t="n"/>
      <c r="L162" s="28" t="n"/>
      <c r="M162" s="25" t="n"/>
      <c r="N162" s="25" t="n"/>
      <c r="O162" s="25" t="n"/>
      <c r="P162" s="25" t="n"/>
      <c r="Q162" s="25" t="n"/>
      <c r="R162" s="51" t="n"/>
      <c r="S162" s="52" t="n"/>
      <c r="T162" s="51" t="n"/>
      <c r="U162" s="52" t="n"/>
      <c r="V162" s="52" t="n"/>
      <c r="W162" s="53">
        <f>IFERROR(IF(A162="","",ROUND(I162*J162*R162*(1-S162),2)),"")</f>
        <v/>
      </c>
      <c r="X162" s="53">
        <f>IFERROR(IF(A162="","",ROUND(W162*IF(V162="",'Setup &amp; Lists'!$B$7,V162),2)),"")</f>
        <v/>
      </c>
      <c r="Y162" s="53">
        <f>IFERROR(IF(A162="","",ROUND((W162+IF('Setup &amp; Lists'!$B$8="Yes",T162,0)+IF('Setup &amp; Lists'!$B$9="Yes",X162,0))*IF(U162="",'Setup &amp; Lists'!$B$6,U162),2)),"")</f>
        <v/>
      </c>
      <c r="Z162" s="53">
        <f>IFERROR(IF(A162="","",ROUND(W162+T162+X162+Y162,2)),"")</f>
        <v/>
      </c>
      <c r="AA162" s="51" t="n"/>
      <c r="AB162" s="53">
        <f>IFERROR(IF(A162="","",ROUND(IF(AA162&lt;&gt;"",AA162,Z162*'Setup &amp; Lists'!$B$10),2)),"")</f>
        <v/>
      </c>
      <c r="AC162" s="51" t="n"/>
      <c r="AD162" s="53">
        <f>IFERROR(IF(A162="","",MAX(0,ROUND(Z162-AC162,2))),"")</f>
        <v/>
      </c>
      <c r="AE162" s="32">
        <f>IFERROR(IF(A162="","",IF(AD162=0,"Paid",IF(AC162&gt;=AB162,"Deposit Met",IF(AC162&gt;0,"Partial Payment","Unpaid")))),"")</f>
        <v/>
      </c>
      <c r="AF162" s="54">
        <f>IFERROR(IF(OR(A162="",G162=""),"",G162-('Setup &amp; Lists'!$B$11/24)),"")</f>
        <v/>
      </c>
      <c r="AG162" s="25" t="n"/>
      <c r="AH162" s="25" t="n"/>
      <c r="AI162" s="50" t="n"/>
      <c r="AJ162" s="32">
        <f>IFERROR(IF(A162="","",IF(H162&lt;=G162,"Departure must be after arrival",IF(OR(J162="",J162&lt;1),"Rooms must be at least 1",IF(D162="","Guest name missing",IF(COUNTIF($A$2:$A$251,A162)&gt;1,"Duplicate reservation ID",IF(AND(P162="Confirmed",G162&gt;=TODAY(),G162&lt;=TODAY()+'Setup &amp; Lists'!$B$12,Q162=""),"Assign room for near-term arrival",IF(AND(G162&lt;TODAY(),P162="Confirmed"),"Past-due confirmed arrival",IF(AND(G162&gt;TODAY(),P162="Confirmed",AC162&lt;AB162),"Deposit shortfall",IF(AND(H162&lt;TODAY(),AD162&gt;0,P162&lt;&gt;"Cancelled"),"Balance remains after departure",IF(R162&lt;0,"Nightly rate is negative",IF(AC162&gt;Z162,"Deposit paid exceeds total value",""))))))))))),"")</f>
        <v/>
      </c>
    </row>
    <row r="163">
      <c r="A163" s="25" t="n"/>
      <c r="B163" s="25" t="n"/>
      <c r="C163" s="50" t="n"/>
      <c r="D163" s="25" t="n"/>
      <c r="E163" s="25" t="n"/>
      <c r="F163" s="25" t="n"/>
      <c r="G163" s="50" t="n"/>
      <c r="H163" s="50" t="n"/>
      <c r="I163" s="27">
        <f>IFERROR(IF(A163="","",MAX(0,H163-G163)),"")</f>
        <v/>
      </c>
      <c r="J163" s="28" t="n"/>
      <c r="K163" s="28" t="n"/>
      <c r="L163" s="28" t="n"/>
      <c r="M163" s="25" t="n"/>
      <c r="N163" s="25" t="n"/>
      <c r="O163" s="25" t="n"/>
      <c r="P163" s="25" t="n"/>
      <c r="Q163" s="25" t="n"/>
      <c r="R163" s="51" t="n"/>
      <c r="S163" s="52" t="n"/>
      <c r="T163" s="51" t="n"/>
      <c r="U163" s="52" t="n"/>
      <c r="V163" s="52" t="n"/>
      <c r="W163" s="53">
        <f>IFERROR(IF(A163="","",ROUND(I163*J163*R163*(1-S163),2)),"")</f>
        <v/>
      </c>
      <c r="X163" s="53">
        <f>IFERROR(IF(A163="","",ROUND(W163*IF(V163="",'Setup &amp; Lists'!$B$7,V163),2)),"")</f>
        <v/>
      </c>
      <c r="Y163" s="53">
        <f>IFERROR(IF(A163="","",ROUND((W163+IF('Setup &amp; Lists'!$B$8="Yes",T163,0)+IF('Setup &amp; Lists'!$B$9="Yes",X163,0))*IF(U163="",'Setup &amp; Lists'!$B$6,U163),2)),"")</f>
        <v/>
      </c>
      <c r="Z163" s="53">
        <f>IFERROR(IF(A163="","",ROUND(W163+T163+X163+Y163,2)),"")</f>
        <v/>
      </c>
      <c r="AA163" s="51" t="n"/>
      <c r="AB163" s="53">
        <f>IFERROR(IF(A163="","",ROUND(IF(AA163&lt;&gt;"",AA163,Z163*'Setup &amp; Lists'!$B$10),2)),"")</f>
        <v/>
      </c>
      <c r="AC163" s="51" t="n"/>
      <c r="AD163" s="53">
        <f>IFERROR(IF(A163="","",MAX(0,ROUND(Z163-AC163,2))),"")</f>
        <v/>
      </c>
      <c r="AE163" s="32">
        <f>IFERROR(IF(A163="","",IF(AD163=0,"Paid",IF(AC163&gt;=AB163,"Deposit Met",IF(AC163&gt;0,"Partial Payment","Unpaid")))),"")</f>
        <v/>
      </c>
      <c r="AF163" s="54">
        <f>IFERROR(IF(OR(A163="",G163=""),"",G163-('Setup &amp; Lists'!$B$11/24)),"")</f>
        <v/>
      </c>
      <c r="AG163" s="25" t="n"/>
      <c r="AH163" s="25" t="n"/>
      <c r="AI163" s="50" t="n"/>
      <c r="AJ163" s="32">
        <f>IFERROR(IF(A163="","",IF(H163&lt;=G163,"Departure must be after arrival",IF(OR(J163="",J163&lt;1),"Rooms must be at least 1",IF(D163="","Guest name missing",IF(COUNTIF($A$2:$A$251,A163)&gt;1,"Duplicate reservation ID",IF(AND(P163="Confirmed",G163&gt;=TODAY(),G163&lt;=TODAY()+'Setup &amp; Lists'!$B$12,Q163=""),"Assign room for near-term arrival",IF(AND(G163&lt;TODAY(),P163="Confirmed"),"Past-due confirmed arrival",IF(AND(G163&gt;TODAY(),P163="Confirmed",AC163&lt;AB163),"Deposit shortfall",IF(AND(H163&lt;TODAY(),AD163&gt;0,P163&lt;&gt;"Cancelled"),"Balance remains after departure",IF(R163&lt;0,"Nightly rate is negative",IF(AC163&gt;Z163,"Deposit paid exceeds total value",""))))))))))),"")</f>
        <v/>
      </c>
    </row>
    <row r="164">
      <c r="A164" s="25" t="n"/>
      <c r="B164" s="25" t="n"/>
      <c r="C164" s="50" t="n"/>
      <c r="D164" s="25" t="n"/>
      <c r="E164" s="25" t="n"/>
      <c r="F164" s="25" t="n"/>
      <c r="G164" s="50" t="n"/>
      <c r="H164" s="50" t="n"/>
      <c r="I164" s="27">
        <f>IFERROR(IF(A164="","",MAX(0,H164-G164)),"")</f>
        <v/>
      </c>
      <c r="J164" s="28" t="n"/>
      <c r="K164" s="28" t="n"/>
      <c r="L164" s="28" t="n"/>
      <c r="M164" s="25" t="n"/>
      <c r="N164" s="25" t="n"/>
      <c r="O164" s="25" t="n"/>
      <c r="P164" s="25" t="n"/>
      <c r="Q164" s="25" t="n"/>
      <c r="R164" s="51" t="n"/>
      <c r="S164" s="52" t="n"/>
      <c r="T164" s="51" t="n"/>
      <c r="U164" s="52" t="n"/>
      <c r="V164" s="52" t="n"/>
      <c r="W164" s="53">
        <f>IFERROR(IF(A164="","",ROUND(I164*J164*R164*(1-S164),2)),"")</f>
        <v/>
      </c>
      <c r="X164" s="53">
        <f>IFERROR(IF(A164="","",ROUND(W164*IF(V164="",'Setup &amp; Lists'!$B$7,V164),2)),"")</f>
        <v/>
      </c>
      <c r="Y164" s="53">
        <f>IFERROR(IF(A164="","",ROUND((W164+IF('Setup &amp; Lists'!$B$8="Yes",T164,0)+IF('Setup &amp; Lists'!$B$9="Yes",X164,0))*IF(U164="",'Setup &amp; Lists'!$B$6,U164),2)),"")</f>
        <v/>
      </c>
      <c r="Z164" s="53">
        <f>IFERROR(IF(A164="","",ROUND(W164+T164+X164+Y164,2)),"")</f>
        <v/>
      </c>
      <c r="AA164" s="51" t="n"/>
      <c r="AB164" s="53">
        <f>IFERROR(IF(A164="","",ROUND(IF(AA164&lt;&gt;"",AA164,Z164*'Setup &amp; Lists'!$B$10),2)),"")</f>
        <v/>
      </c>
      <c r="AC164" s="51" t="n"/>
      <c r="AD164" s="53">
        <f>IFERROR(IF(A164="","",MAX(0,ROUND(Z164-AC164,2))),"")</f>
        <v/>
      </c>
      <c r="AE164" s="32">
        <f>IFERROR(IF(A164="","",IF(AD164=0,"Paid",IF(AC164&gt;=AB164,"Deposit Met",IF(AC164&gt;0,"Partial Payment","Unpaid")))),"")</f>
        <v/>
      </c>
      <c r="AF164" s="54">
        <f>IFERROR(IF(OR(A164="",G164=""),"",G164-('Setup &amp; Lists'!$B$11/24)),"")</f>
        <v/>
      </c>
      <c r="AG164" s="25" t="n"/>
      <c r="AH164" s="25" t="n"/>
      <c r="AI164" s="50" t="n"/>
      <c r="AJ164" s="32">
        <f>IFERROR(IF(A164="","",IF(H164&lt;=G164,"Departure must be after arrival",IF(OR(J164="",J164&lt;1),"Rooms must be at least 1",IF(D164="","Guest name missing",IF(COUNTIF($A$2:$A$251,A164)&gt;1,"Duplicate reservation ID",IF(AND(P164="Confirmed",G164&gt;=TODAY(),G164&lt;=TODAY()+'Setup &amp; Lists'!$B$12,Q164=""),"Assign room for near-term arrival",IF(AND(G164&lt;TODAY(),P164="Confirmed"),"Past-due confirmed arrival",IF(AND(G164&gt;TODAY(),P164="Confirmed",AC164&lt;AB164),"Deposit shortfall",IF(AND(H164&lt;TODAY(),AD164&gt;0,P164&lt;&gt;"Cancelled"),"Balance remains after departure",IF(R164&lt;0,"Nightly rate is negative",IF(AC164&gt;Z164,"Deposit paid exceeds total value",""))))))))))),"")</f>
        <v/>
      </c>
    </row>
    <row r="165">
      <c r="A165" s="25" t="n"/>
      <c r="B165" s="25" t="n"/>
      <c r="C165" s="50" t="n"/>
      <c r="D165" s="25" t="n"/>
      <c r="E165" s="25" t="n"/>
      <c r="F165" s="25" t="n"/>
      <c r="G165" s="50" t="n"/>
      <c r="H165" s="50" t="n"/>
      <c r="I165" s="27">
        <f>IFERROR(IF(A165="","",MAX(0,H165-G165)),"")</f>
        <v/>
      </c>
      <c r="J165" s="28" t="n"/>
      <c r="K165" s="28" t="n"/>
      <c r="L165" s="28" t="n"/>
      <c r="M165" s="25" t="n"/>
      <c r="N165" s="25" t="n"/>
      <c r="O165" s="25" t="n"/>
      <c r="P165" s="25" t="n"/>
      <c r="Q165" s="25" t="n"/>
      <c r="R165" s="51" t="n"/>
      <c r="S165" s="52" t="n"/>
      <c r="T165" s="51" t="n"/>
      <c r="U165" s="52" t="n"/>
      <c r="V165" s="52" t="n"/>
      <c r="W165" s="53">
        <f>IFERROR(IF(A165="","",ROUND(I165*J165*R165*(1-S165),2)),"")</f>
        <v/>
      </c>
      <c r="X165" s="53">
        <f>IFERROR(IF(A165="","",ROUND(W165*IF(V165="",'Setup &amp; Lists'!$B$7,V165),2)),"")</f>
        <v/>
      </c>
      <c r="Y165" s="53">
        <f>IFERROR(IF(A165="","",ROUND((W165+IF('Setup &amp; Lists'!$B$8="Yes",T165,0)+IF('Setup &amp; Lists'!$B$9="Yes",X165,0))*IF(U165="",'Setup &amp; Lists'!$B$6,U165),2)),"")</f>
        <v/>
      </c>
      <c r="Z165" s="53">
        <f>IFERROR(IF(A165="","",ROUND(W165+T165+X165+Y165,2)),"")</f>
        <v/>
      </c>
      <c r="AA165" s="51" t="n"/>
      <c r="AB165" s="53">
        <f>IFERROR(IF(A165="","",ROUND(IF(AA165&lt;&gt;"",AA165,Z165*'Setup &amp; Lists'!$B$10),2)),"")</f>
        <v/>
      </c>
      <c r="AC165" s="51" t="n"/>
      <c r="AD165" s="53">
        <f>IFERROR(IF(A165="","",MAX(0,ROUND(Z165-AC165,2))),"")</f>
        <v/>
      </c>
      <c r="AE165" s="32">
        <f>IFERROR(IF(A165="","",IF(AD165=0,"Paid",IF(AC165&gt;=AB165,"Deposit Met",IF(AC165&gt;0,"Partial Payment","Unpaid")))),"")</f>
        <v/>
      </c>
      <c r="AF165" s="54">
        <f>IFERROR(IF(OR(A165="",G165=""),"",G165-('Setup &amp; Lists'!$B$11/24)),"")</f>
        <v/>
      </c>
      <c r="AG165" s="25" t="n"/>
      <c r="AH165" s="25" t="n"/>
      <c r="AI165" s="50" t="n"/>
      <c r="AJ165" s="32">
        <f>IFERROR(IF(A165="","",IF(H165&lt;=G165,"Departure must be after arrival",IF(OR(J165="",J165&lt;1),"Rooms must be at least 1",IF(D165="","Guest name missing",IF(COUNTIF($A$2:$A$251,A165)&gt;1,"Duplicate reservation ID",IF(AND(P165="Confirmed",G165&gt;=TODAY(),G165&lt;=TODAY()+'Setup &amp; Lists'!$B$12,Q165=""),"Assign room for near-term arrival",IF(AND(G165&lt;TODAY(),P165="Confirmed"),"Past-due confirmed arrival",IF(AND(G165&gt;TODAY(),P165="Confirmed",AC165&lt;AB165),"Deposit shortfall",IF(AND(H165&lt;TODAY(),AD165&gt;0,P165&lt;&gt;"Cancelled"),"Balance remains after departure",IF(R165&lt;0,"Nightly rate is negative",IF(AC165&gt;Z165,"Deposit paid exceeds total value",""))))))))))),"")</f>
        <v/>
      </c>
    </row>
    <row r="166">
      <c r="A166" s="25" t="n"/>
      <c r="B166" s="25" t="n"/>
      <c r="C166" s="50" t="n"/>
      <c r="D166" s="25" t="n"/>
      <c r="E166" s="25" t="n"/>
      <c r="F166" s="25" t="n"/>
      <c r="G166" s="50" t="n"/>
      <c r="H166" s="50" t="n"/>
      <c r="I166" s="27">
        <f>IFERROR(IF(A166="","",MAX(0,H166-G166)),"")</f>
        <v/>
      </c>
      <c r="J166" s="28" t="n"/>
      <c r="K166" s="28" t="n"/>
      <c r="L166" s="28" t="n"/>
      <c r="M166" s="25" t="n"/>
      <c r="N166" s="25" t="n"/>
      <c r="O166" s="25" t="n"/>
      <c r="P166" s="25" t="n"/>
      <c r="Q166" s="25" t="n"/>
      <c r="R166" s="51" t="n"/>
      <c r="S166" s="52" t="n"/>
      <c r="T166" s="51" t="n"/>
      <c r="U166" s="52" t="n"/>
      <c r="V166" s="52" t="n"/>
      <c r="W166" s="53">
        <f>IFERROR(IF(A166="","",ROUND(I166*J166*R166*(1-S166),2)),"")</f>
        <v/>
      </c>
      <c r="X166" s="53">
        <f>IFERROR(IF(A166="","",ROUND(W166*IF(V166="",'Setup &amp; Lists'!$B$7,V166),2)),"")</f>
        <v/>
      </c>
      <c r="Y166" s="53">
        <f>IFERROR(IF(A166="","",ROUND((W166+IF('Setup &amp; Lists'!$B$8="Yes",T166,0)+IF('Setup &amp; Lists'!$B$9="Yes",X166,0))*IF(U166="",'Setup &amp; Lists'!$B$6,U166),2)),"")</f>
        <v/>
      </c>
      <c r="Z166" s="53">
        <f>IFERROR(IF(A166="","",ROUND(W166+T166+X166+Y166,2)),"")</f>
        <v/>
      </c>
      <c r="AA166" s="51" t="n"/>
      <c r="AB166" s="53">
        <f>IFERROR(IF(A166="","",ROUND(IF(AA166&lt;&gt;"",AA166,Z166*'Setup &amp; Lists'!$B$10),2)),"")</f>
        <v/>
      </c>
      <c r="AC166" s="51" t="n"/>
      <c r="AD166" s="53">
        <f>IFERROR(IF(A166="","",MAX(0,ROUND(Z166-AC166,2))),"")</f>
        <v/>
      </c>
      <c r="AE166" s="32">
        <f>IFERROR(IF(A166="","",IF(AD166=0,"Paid",IF(AC166&gt;=AB166,"Deposit Met",IF(AC166&gt;0,"Partial Payment","Unpaid")))),"")</f>
        <v/>
      </c>
      <c r="AF166" s="54">
        <f>IFERROR(IF(OR(A166="",G166=""),"",G166-('Setup &amp; Lists'!$B$11/24)),"")</f>
        <v/>
      </c>
      <c r="AG166" s="25" t="n"/>
      <c r="AH166" s="25" t="n"/>
      <c r="AI166" s="50" t="n"/>
      <c r="AJ166" s="32">
        <f>IFERROR(IF(A166="","",IF(H166&lt;=G166,"Departure must be after arrival",IF(OR(J166="",J166&lt;1),"Rooms must be at least 1",IF(D166="","Guest name missing",IF(COUNTIF($A$2:$A$251,A166)&gt;1,"Duplicate reservation ID",IF(AND(P166="Confirmed",G166&gt;=TODAY(),G166&lt;=TODAY()+'Setup &amp; Lists'!$B$12,Q166=""),"Assign room for near-term arrival",IF(AND(G166&lt;TODAY(),P166="Confirmed"),"Past-due confirmed arrival",IF(AND(G166&gt;TODAY(),P166="Confirmed",AC166&lt;AB166),"Deposit shortfall",IF(AND(H166&lt;TODAY(),AD166&gt;0,P166&lt;&gt;"Cancelled"),"Balance remains after departure",IF(R166&lt;0,"Nightly rate is negative",IF(AC166&gt;Z166,"Deposit paid exceeds total value",""))))))))))),"")</f>
        <v/>
      </c>
    </row>
    <row r="167">
      <c r="A167" s="25" t="n"/>
      <c r="B167" s="25" t="n"/>
      <c r="C167" s="50" t="n"/>
      <c r="D167" s="25" t="n"/>
      <c r="E167" s="25" t="n"/>
      <c r="F167" s="25" t="n"/>
      <c r="G167" s="50" t="n"/>
      <c r="H167" s="50" t="n"/>
      <c r="I167" s="27">
        <f>IFERROR(IF(A167="","",MAX(0,H167-G167)),"")</f>
        <v/>
      </c>
      <c r="J167" s="28" t="n"/>
      <c r="K167" s="28" t="n"/>
      <c r="L167" s="28" t="n"/>
      <c r="M167" s="25" t="n"/>
      <c r="N167" s="25" t="n"/>
      <c r="O167" s="25" t="n"/>
      <c r="P167" s="25" t="n"/>
      <c r="Q167" s="25" t="n"/>
      <c r="R167" s="51" t="n"/>
      <c r="S167" s="52" t="n"/>
      <c r="T167" s="51" t="n"/>
      <c r="U167" s="52" t="n"/>
      <c r="V167" s="52" t="n"/>
      <c r="W167" s="53">
        <f>IFERROR(IF(A167="","",ROUND(I167*J167*R167*(1-S167),2)),"")</f>
        <v/>
      </c>
      <c r="X167" s="53">
        <f>IFERROR(IF(A167="","",ROUND(W167*IF(V167="",'Setup &amp; Lists'!$B$7,V167),2)),"")</f>
        <v/>
      </c>
      <c r="Y167" s="53">
        <f>IFERROR(IF(A167="","",ROUND((W167+IF('Setup &amp; Lists'!$B$8="Yes",T167,0)+IF('Setup &amp; Lists'!$B$9="Yes",X167,0))*IF(U167="",'Setup &amp; Lists'!$B$6,U167),2)),"")</f>
        <v/>
      </c>
      <c r="Z167" s="53">
        <f>IFERROR(IF(A167="","",ROUND(W167+T167+X167+Y167,2)),"")</f>
        <v/>
      </c>
      <c r="AA167" s="51" t="n"/>
      <c r="AB167" s="53">
        <f>IFERROR(IF(A167="","",ROUND(IF(AA167&lt;&gt;"",AA167,Z167*'Setup &amp; Lists'!$B$10),2)),"")</f>
        <v/>
      </c>
      <c r="AC167" s="51" t="n"/>
      <c r="AD167" s="53">
        <f>IFERROR(IF(A167="","",MAX(0,ROUND(Z167-AC167,2))),"")</f>
        <v/>
      </c>
      <c r="AE167" s="32">
        <f>IFERROR(IF(A167="","",IF(AD167=0,"Paid",IF(AC167&gt;=AB167,"Deposit Met",IF(AC167&gt;0,"Partial Payment","Unpaid")))),"")</f>
        <v/>
      </c>
      <c r="AF167" s="54">
        <f>IFERROR(IF(OR(A167="",G167=""),"",G167-('Setup &amp; Lists'!$B$11/24)),"")</f>
        <v/>
      </c>
      <c r="AG167" s="25" t="n"/>
      <c r="AH167" s="25" t="n"/>
      <c r="AI167" s="50" t="n"/>
      <c r="AJ167" s="32">
        <f>IFERROR(IF(A167="","",IF(H167&lt;=G167,"Departure must be after arrival",IF(OR(J167="",J167&lt;1),"Rooms must be at least 1",IF(D167="","Guest name missing",IF(COUNTIF($A$2:$A$251,A167)&gt;1,"Duplicate reservation ID",IF(AND(P167="Confirmed",G167&gt;=TODAY(),G167&lt;=TODAY()+'Setup &amp; Lists'!$B$12,Q167=""),"Assign room for near-term arrival",IF(AND(G167&lt;TODAY(),P167="Confirmed"),"Past-due confirmed arrival",IF(AND(G167&gt;TODAY(),P167="Confirmed",AC167&lt;AB167),"Deposit shortfall",IF(AND(H167&lt;TODAY(),AD167&gt;0,P167&lt;&gt;"Cancelled"),"Balance remains after departure",IF(R167&lt;0,"Nightly rate is negative",IF(AC167&gt;Z167,"Deposit paid exceeds total value",""))))))))))),"")</f>
        <v/>
      </c>
    </row>
    <row r="168">
      <c r="A168" s="25" t="n"/>
      <c r="B168" s="25" t="n"/>
      <c r="C168" s="50" t="n"/>
      <c r="D168" s="25" t="n"/>
      <c r="E168" s="25" t="n"/>
      <c r="F168" s="25" t="n"/>
      <c r="G168" s="50" t="n"/>
      <c r="H168" s="50" t="n"/>
      <c r="I168" s="27">
        <f>IFERROR(IF(A168="","",MAX(0,H168-G168)),"")</f>
        <v/>
      </c>
      <c r="J168" s="28" t="n"/>
      <c r="K168" s="28" t="n"/>
      <c r="L168" s="28" t="n"/>
      <c r="M168" s="25" t="n"/>
      <c r="N168" s="25" t="n"/>
      <c r="O168" s="25" t="n"/>
      <c r="P168" s="25" t="n"/>
      <c r="Q168" s="25" t="n"/>
      <c r="R168" s="51" t="n"/>
      <c r="S168" s="52" t="n"/>
      <c r="T168" s="51" t="n"/>
      <c r="U168" s="52" t="n"/>
      <c r="V168" s="52" t="n"/>
      <c r="W168" s="53">
        <f>IFERROR(IF(A168="","",ROUND(I168*J168*R168*(1-S168),2)),"")</f>
        <v/>
      </c>
      <c r="X168" s="53">
        <f>IFERROR(IF(A168="","",ROUND(W168*IF(V168="",'Setup &amp; Lists'!$B$7,V168),2)),"")</f>
        <v/>
      </c>
      <c r="Y168" s="53">
        <f>IFERROR(IF(A168="","",ROUND((W168+IF('Setup &amp; Lists'!$B$8="Yes",T168,0)+IF('Setup &amp; Lists'!$B$9="Yes",X168,0))*IF(U168="",'Setup &amp; Lists'!$B$6,U168),2)),"")</f>
        <v/>
      </c>
      <c r="Z168" s="53">
        <f>IFERROR(IF(A168="","",ROUND(W168+T168+X168+Y168,2)),"")</f>
        <v/>
      </c>
      <c r="AA168" s="51" t="n"/>
      <c r="AB168" s="53">
        <f>IFERROR(IF(A168="","",ROUND(IF(AA168&lt;&gt;"",AA168,Z168*'Setup &amp; Lists'!$B$10),2)),"")</f>
        <v/>
      </c>
      <c r="AC168" s="51" t="n"/>
      <c r="AD168" s="53">
        <f>IFERROR(IF(A168="","",MAX(0,ROUND(Z168-AC168,2))),"")</f>
        <v/>
      </c>
      <c r="AE168" s="32">
        <f>IFERROR(IF(A168="","",IF(AD168=0,"Paid",IF(AC168&gt;=AB168,"Deposit Met",IF(AC168&gt;0,"Partial Payment","Unpaid")))),"")</f>
        <v/>
      </c>
      <c r="AF168" s="54">
        <f>IFERROR(IF(OR(A168="",G168=""),"",G168-('Setup &amp; Lists'!$B$11/24)),"")</f>
        <v/>
      </c>
      <c r="AG168" s="25" t="n"/>
      <c r="AH168" s="25" t="n"/>
      <c r="AI168" s="50" t="n"/>
      <c r="AJ168" s="32">
        <f>IFERROR(IF(A168="","",IF(H168&lt;=G168,"Departure must be after arrival",IF(OR(J168="",J168&lt;1),"Rooms must be at least 1",IF(D168="","Guest name missing",IF(COUNTIF($A$2:$A$251,A168)&gt;1,"Duplicate reservation ID",IF(AND(P168="Confirmed",G168&gt;=TODAY(),G168&lt;=TODAY()+'Setup &amp; Lists'!$B$12,Q168=""),"Assign room for near-term arrival",IF(AND(G168&lt;TODAY(),P168="Confirmed"),"Past-due confirmed arrival",IF(AND(G168&gt;TODAY(),P168="Confirmed",AC168&lt;AB168),"Deposit shortfall",IF(AND(H168&lt;TODAY(),AD168&gt;0,P168&lt;&gt;"Cancelled"),"Balance remains after departure",IF(R168&lt;0,"Nightly rate is negative",IF(AC168&gt;Z168,"Deposit paid exceeds total value",""))))))))))),"")</f>
        <v/>
      </c>
    </row>
    <row r="169">
      <c r="A169" s="25" t="n"/>
      <c r="B169" s="25" t="n"/>
      <c r="C169" s="50" t="n"/>
      <c r="D169" s="25" t="n"/>
      <c r="E169" s="25" t="n"/>
      <c r="F169" s="25" t="n"/>
      <c r="G169" s="50" t="n"/>
      <c r="H169" s="50" t="n"/>
      <c r="I169" s="27">
        <f>IFERROR(IF(A169="","",MAX(0,H169-G169)),"")</f>
        <v/>
      </c>
      <c r="J169" s="28" t="n"/>
      <c r="K169" s="28" t="n"/>
      <c r="L169" s="28" t="n"/>
      <c r="M169" s="25" t="n"/>
      <c r="N169" s="25" t="n"/>
      <c r="O169" s="25" t="n"/>
      <c r="P169" s="25" t="n"/>
      <c r="Q169" s="25" t="n"/>
      <c r="R169" s="51" t="n"/>
      <c r="S169" s="52" t="n"/>
      <c r="T169" s="51" t="n"/>
      <c r="U169" s="52" t="n"/>
      <c r="V169" s="52" t="n"/>
      <c r="W169" s="53">
        <f>IFERROR(IF(A169="","",ROUND(I169*J169*R169*(1-S169),2)),"")</f>
        <v/>
      </c>
      <c r="X169" s="53">
        <f>IFERROR(IF(A169="","",ROUND(W169*IF(V169="",'Setup &amp; Lists'!$B$7,V169),2)),"")</f>
        <v/>
      </c>
      <c r="Y169" s="53">
        <f>IFERROR(IF(A169="","",ROUND((W169+IF('Setup &amp; Lists'!$B$8="Yes",T169,0)+IF('Setup &amp; Lists'!$B$9="Yes",X169,0))*IF(U169="",'Setup &amp; Lists'!$B$6,U169),2)),"")</f>
        <v/>
      </c>
      <c r="Z169" s="53">
        <f>IFERROR(IF(A169="","",ROUND(W169+T169+X169+Y169,2)),"")</f>
        <v/>
      </c>
      <c r="AA169" s="51" t="n"/>
      <c r="AB169" s="53">
        <f>IFERROR(IF(A169="","",ROUND(IF(AA169&lt;&gt;"",AA169,Z169*'Setup &amp; Lists'!$B$10),2)),"")</f>
        <v/>
      </c>
      <c r="AC169" s="51" t="n"/>
      <c r="AD169" s="53">
        <f>IFERROR(IF(A169="","",MAX(0,ROUND(Z169-AC169,2))),"")</f>
        <v/>
      </c>
      <c r="AE169" s="32">
        <f>IFERROR(IF(A169="","",IF(AD169=0,"Paid",IF(AC169&gt;=AB169,"Deposit Met",IF(AC169&gt;0,"Partial Payment","Unpaid")))),"")</f>
        <v/>
      </c>
      <c r="AF169" s="54">
        <f>IFERROR(IF(OR(A169="",G169=""),"",G169-('Setup &amp; Lists'!$B$11/24)),"")</f>
        <v/>
      </c>
      <c r="AG169" s="25" t="n"/>
      <c r="AH169" s="25" t="n"/>
      <c r="AI169" s="50" t="n"/>
      <c r="AJ169" s="32">
        <f>IFERROR(IF(A169="","",IF(H169&lt;=G169,"Departure must be after arrival",IF(OR(J169="",J169&lt;1),"Rooms must be at least 1",IF(D169="","Guest name missing",IF(COUNTIF($A$2:$A$251,A169)&gt;1,"Duplicate reservation ID",IF(AND(P169="Confirmed",G169&gt;=TODAY(),G169&lt;=TODAY()+'Setup &amp; Lists'!$B$12,Q169=""),"Assign room for near-term arrival",IF(AND(G169&lt;TODAY(),P169="Confirmed"),"Past-due confirmed arrival",IF(AND(G169&gt;TODAY(),P169="Confirmed",AC169&lt;AB169),"Deposit shortfall",IF(AND(H169&lt;TODAY(),AD169&gt;0,P169&lt;&gt;"Cancelled"),"Balance remains after departure",IF(R169&lt;0,"Nightly rate is negative",IF(AC169&gt;Z169,"Deposit paid exceeds total value",""))))))))))),"")</f>
        <v/>
      </c>
    </row>
    <row r="170">
      <c r="A170" s="25" t="n"/>
      <c r="B170" s="25" t="n"/>
      <c r="C170" s="50" t="n"/>
      <c r="D170" s="25" t="n"/>
      <c r="E170" s="25" t="n"/>
      <c r="F170" s="25" t="n"/>
      <c r="G170" s="50" t="n"/>
      <c r="H170" s="50" t="n"/>
      <c r="I170" s="27">
        <f>IFERROR(IF(A170="","",MAX(0,H170-G170)),"")</f>
        <v/>
      </c>
      <c r="J170" s="28" t="n"/>
      <c r="K170" s="28" t="n"/>
      <c r="L170" s="28" t="n"/>
      <c r="M170" s="25" t="n"/>
      <c r="N170" s="25" t="n"/>
      <c r="O170" s="25" t="n"/>
      <c r="P170" s="25" t="n"/>
      <c r="Q170" s="25" t="n"/>
      <c r="R170" s="51" t="n"/>
      <c r="S170" s="52" t="n"/>
      <c r="T170" s="51" t="n"/>
      <c r="U170" s="52" t="n"/>
      <c r="V170" s="52" t="n"/>
      <c r="W170" s="53">
        <f>IFERROR(IF(A170="","",ROUND(I170*J170*R170*(1-S170),2)),"")</f>
        <v/>
      </c>
      <c r="X170" s="53">
        <f>IFERROR(IF(A170="","",ROUND(W170*IF(V170="",'Setup &amp; Lists'!$B$7,V170),2)),"")</f>
        <v/>
      </c>
      <c r="Y170" s="53">
        <f>IFERROR(IF(A170="","",ROUND((W170+IF('Setup &amp; Lists'!$B$8="Yes",T170,0)+IF('Setup &amp; Lists'!$B$9="Yes",X170,0))*IF(U170="",'Setup &amp; Lists'!$B$6,U170),2)),"")</f>
        <v/>
      </c>
      <c r="Z170" s="53">
        <f>IFERROR(IF(A170="","",ROUND(W170+T170+X170+Y170,2)),"")</f>
        <v/>
      </c>
      <c r="AA170" s="51" t="n"/>
      <c r="AB170" s="53">
        <f>IFERROR(IF(A170="","",ROUND(IF(AA170&lt;&gt;"",AA170,Z170*'Setup &amp; Lists'!$B$10),2)),"")</f>
        <v/>
      </c>
      <c r="AC170" s="51" t="n"/>
      <c r="AD170" s="53">
        <f>IFERROR(IF(A170="","",MAX(0,ROUND(Z170-AC170,2))),"")</f>
        <v/>
      </c>
      <c r="AE170" s="32">
        <f>IFERROR(IF(A170="","",IF(AD170=0,"Paid",IF(AC170&gt;=AB170,"Deposit Met",IF(AC170&gt;0,"Partial Payment","Unpaid")))),"")</f>
        <v/>
      </c>
      <c r="AF170" s="54">
        <f>IFERROR(IF(OR(A170="",G170=""),"",G170-('Setup &amp; Lists'!$B$11/24)),"")</f>
        <v/>
      </c>
      <c r="AG170" s="25" t="n"/>
      <c r="AH170" s="25" t="n"/>
      <c r="AI170" s="50" t="n"/>
      <c r="AJ170" s="32">
        <f>IFERROR(IF(A170="","",IF(H170&lt;=G170,"Departure must be after arrival",IF(OR(J170="",J170&lt;1),"Rooms must be at least 1",IF(D170="","Guest name missing",IF(COUNTIF($A$2:$A$251,A170)&gt;1,"Duplicate reservation ID",IF(AND(P170="Confirmed",G170&gt;=TODAY(),G170&lt;=TODAY()+'Setup &amp; Lists'!$B$12,Q170=""),"Assign room for near-term arrival",IF(AND(G170&lt;TODAY(),P170="Confirmed"),"Past-due confirmed arrival",IF(AND(G170&gt;TODAY(),P170="Confirmed",AC170&lt;AB170),"Deposit shortfall",IF(AND(H170&lt;TODAY(),AD170&gt;0,P170&lt;&gt;"Cancelled"),"Balance remains after departure",IF(R170&lt;0,"Nightly rate is negative",IF(AC170&gt;Z170,"Deposit paid exceeds total value",""))))))))))),"")</f>
        <v/>
      </c>
    </row>
    <row r="171">
      <c r="A171" s="25" t="n"/>
      <c r="B171" s="25" t="n"/>
      <c r="C171" s="50" t="n"/>
      <c r="D171" s="25" t="n"/>
      <c r="E171" s="25" t="n"/>
      <c r="F171" s="25" t="n"/>
      <c r="G171" s="50" t="n"/>
      <c r="H171" s="50" t="n"/>
      <c r="I171" s="27">
        <f>IFERROR(IF(A171="","",MAX(0,H171-G171)),"")</f>
        <v/>
      </c>
      <c r="J171" s="28" t="n"/>
      <c r="K171" s="28" t="n"/>
      <c r="L171" s="28" t="n"/>
      <c r="M171" s="25" t="n"/>
      <c r="N171" s="25" t="n"/>
      <c r="O171" s="25" t="n"/>
      <c r="P171" s="25" t="n"/>
      <c r="Q171" s="25" t="n"/>
      <c r="R171" s="51" t="n"/>
      <c r="S171" s="52" t="n"/>
      <c r="T171" s="51" t="n"/>
      <c r="U171" s="52" t="n"/>
      <c r="V171" s="52" t="n"/>
      <c r="W171" s="53">
        <f>IFERROR(IF(A171="","",ROUND(I171*J171*R171*(1-S171),2)),"")</f>
        <v/>
      </c>
      <c r="X171" s="53">
        <f>IFERROR(IF(A171="","",ROUND(W171*IF(V171="",'Setup &amp; Lists'!$B$7,V171),2)),"")</f>
        <v/>
      </c>
      <c r="Y171" s="53">
        <f>IFERROR(IF(A171="","",ROUND((W171+IF('Setup &amp; Lists'!$B$8="Yes",T171,0)+IF('Setup &amp; Lists'!$B$9="Yes",X171,0))*IF(U171="",'Setup &amp; Lists'!$B$6,U171),2)),"")</f>
        <v/>
      </c>
      <c r="Z171" s="53">
        <f>IFERROR(IF(A171="","",ROUND(W171+T171+X171+Y171,2)),"")</f>
        <v/>
      </c>
      <c r="AA171" s="51" t="n"/>
      <c r="AB171" s="53">
        <f>IFERROR(IF(A171="","",ROUND(IF(AA171&lt;&gt;"",AA171,Z171*'Setup &amp; Lists'!$B$10),2)),"")</f>
        <v/>
      </c>
      <c r="AC171" s="51" t="n"/>
      <c r="AD171" s="53">
        <f>IFERROR(IF(A171="","",MAX(0,ROUND(Z171-AC171,2))),"")</f>
        <v/>
      </c>
      <c r="AE171" s="32">
        <f>IFERROR(IF(A171="","",IF(AD171=0,"Paid",IF(AC171&gt;=AB171,"Deposit Met",IF(AC171&gt;0,"Partial Payment","Unpaid")))),"")</f>
        <v/>
      </c>
      <c r="AF171" s="54">
        <f>IFERROR(IF(OR(A171="",G171=""),"",G171-('Setup &amp; Lists'!$B$11/24)),"")</f>
        <v/>
      </c>
      <c r="AG171" s="25" t="n"/>
      <c r="AH171" s="25" t="n"/>
      <c r="AI171" s="50" t="n"/>
      <c r="AJ171" s="32">
        <f>IFERROR(IF(A171="","",IF(H171&lt;=G171,"Departure must be after arrival",IF(OR(J171="",J171&lt;1),"Rooms must be at least 1",IF(D171="","Guest name missing",IF(COUNTIF($A$2:$A$251,A171)&gt;1,"Duplicate reservation ID",IF(AND(P171="Confirmed",G171&gt;=TODAY(),G171&lt;=TODAY()+'Setup &amp; Lists'!$B$12,Q171=""),"Assign room for near-term arrival",IF(AND(G171&lt;TODAY(),P171="Confirmed"),"Past-due confirmed arrival",IF(AND(G171&gt;TODAY(),P171="Confirmed",AC171&lt;AB171),"Deposit shortfall",IF(AND(H171&lt;TODAY(),AD171&gt;0,P171&lt;&gt;"Cancelled"),"Balance remains after departure",IF(R171&lt;0,"Nightly rate is negative",IF(AC171&gt;Z171,"Deposit paid exceeds total value",""))))))))))),"")</f>
        <v/>
      </c>
    </row>
    <row r="172">
      <c r="A172" s="25" t="n"/>
      <c r="B172" s="25" t="n"/>
      <c r="C172" s="50" t="n"/>
      <c r="D172" s="25" t="n"/>
      <c r="E172" s="25" t="n"/>
      <c r="F172" s="25" t="n"/>
      <c r="G172" s="50" t="n"/>
      <c r="H172" s="50" t="n"/>
      <c r="I172" s="27">
        <f>IFERROR(IF(A172="","",MAX(0,H172-G172)),"")</f>
        <v/>
      </c>
      <c r="J172" s="28" t="n"/>
      <c r="K172" s="28" t="n"/>
      <c r="L172" s="28" t="n"/>
      <c r="M172" s="25" t="n"/>
      <c r="N172" s="25" t="n"/>
      <c r="O172" s="25" t="n"/>
      <c r="P172" s="25" t="n"/>
      <c r="Q172" s="25" t="n"/>
      <c r="R172" s="51" t="n"/>
      <c r="S172" s="52" t="n"/>
      <c r="T172" s="51" t="n"/>
      <c r="U172" s="52" t="n"/>
      <c r="V172" s="52" t="n"/>
      <c r="W172" s="53">
        <f>IFERROR(IF(A172="","",ROUND(I172*J172*R172*(1-S172),2)),"")</f>
        <v/>
      </c>
      <c r="X172" s="53">
        <f>IFERROR(IF(A172="","",ROUND(W172*IF(V172="",'Setup &amp; Lists'!$B$7,V172),2)),"")</f>
        <v/>
      </c>
      <c r="Y172" s="53">
        <f>IFERROR(IF(A172="","",ROUND((W172+IF('Setup &amp; Lists'!$B$8="Yes",T172,0)+IF('Setup &amp; Lists'!$B$9="Yes",X172,0))*IF(U172="",'Setup &amp; Lists'!$B$6,U172),2)),"")</f>
        <v/>
      </c>
      <c r="Z172" s="53">
        <f>IFERROR(IF(A172="","",ROUND(W172+T172+X172+Y172,2)),"")</f>
        <v/>
      </c>
      <c r="AA172" s="51" t="n"/>
      <c r="AB172" s="53">
        <f>IFERROR(IF(A172="","",ROUND(IF(AA172&lt;&gt;"",AA172,Z172*'Setup &amp; Lists'!$B$10),2)),"")</f>
        <v/>
      </c>
      <c r="AC172" s="51" t="n"/>
      <c r="AD172" s="53">
        <f>IFERROR(IF(A172="","",MAX(0,ROUND(Z172-AC172,2))),"")</f>
        <v/>
      </c>
      <c r="AE172" s="32">
        <f>IFERROR(IF(A172="","",IF(AD172=0,"Paid",IF(AC172&gt;=AB172,"Deposit Met",IF(AC172&gt;0,"Partial Payment","Unpaid")))),"")</f>
        <v/>
      </c>
      <c r="AF172" s="54">
        <f>IFERROR(IF(OR(A172="",G172=""),"",G172-('Setup &amp; Lists'!$B$11/24)),"")</f>
        <v/>
      </c>
      <c r="AG172" s="25" t="n"/>
      <c r="AH172" s="25" t="n"/>
      <c r="AI172" s="50" t="n"/>
      <c r="AJ172" s="32">
        <f>IFERROR(IF(A172="","",IF(H172&lt;=G172,"Departure must be after arrival",IF(OR(J172="",J172&lt;1),"Rooms must be at least 1",IF(D172="","Guest name missing",IF(COUNTIF($A$2:$A$251,A172)&gt;1,"Duplicate reservation ID",IF(AND(P172="Confirmed",G172&gt;=TODAY(),G172&lt;=TODAY()+'Setup &amp; Lists'!$B$12,Q172=""),"Assign room for near-term arrival",IF(AND(G172&lt;TODAY(),P172="Confirmed"),"Past-due confirmed arrival",IF(AND(G172&gt;TODAY(),P172="Confirmed",AC172&lt;AB172),"Deposit shortfall",IF(AND(H172&lt;TODAY(),AD172&gt;0,P172&lt;&gt;"Cancelled"),"Balance remains after departure",IF(R172&lt;0,"Nightly rate is negative",IF(AC172&gt;Z172,"Deposit paid exceeds total value",""))))))))))),"")</f>
        <v/>
      </c>
    </row>
    <row r="173">
      <c r="A173" s="25" t="n"/>
      <c r="B173" s="25" t="n"/>
      <c r="C173" s="50" t="n"/>
      <c r="D173" s="25" t="n"/>
      <c r="E173" s="25" t="n"/>
      <c r="F173" s="25" t="n"/>
      <c r="G173" s="50" t="n"/>
      <c r="H173" s="50" t="n"/>
      <c r="I173" s="27">
        <f>IFERROR(IF(A173="","",MAX(0,H173-G173)),"")</f>
        <v/>
      </c>
      <c r="J173" s="28" t="n"/>
      <c r="K173" s="28" t="n"/>
      <c r="L173" s="28" t="n"/>
      <c r="M173" s="25" t="n"/>
      <c r="N173" s="25" t="n"/>
      <c r="O173" s="25" t="n"/>
      <c r="P173" s="25" t="n"/>
      <c r="Q173" s="25" t="n"/>
      <c r="R173" s="51" t="n"/>
      <c r="S173" s="52" t="n"/>
      <c r="T173" s="51" t="n"/>
      <c r="U173" s="52" t="n"/>
      <c r="V173" s="52" t="n"/>
      <c r="W173" s="53">
        <f>IFERROR(IF(A173="","",ROUND(I173*J173*R173*(1-S173),2)),"")</f>
        <v/>
      </c>
      <c r="X173" s="53">
        <f>IFERROR(IF(A173="","",ROUND(W173*IF(V173="",'Setup &amp; Lists'!$B$7,V173),2)),"")</f>
        <v/>
      </c>
      <c r="Y173" s="53">
        <f>IFERROR(IF(A173="","",ROUND((W173+IF('Setup &amp; Lists'!$B$8="Yes",T173,0)+IF('Setup &amp; Lists'!$B$9="Yes",X173,0))*IF(U173="",'Setup &amp; Lists'!$B$6,U173),2)),"")</f>
        <v/>
      </c>
      <c r="Z173" s="53">
        <f>IFERROR(IF(A173="","",ROUND(W173+T173+X173+Y173,2)),"")</f>
        <v/>
      </c>
      <c r="AA173" s="51" t="n"/>
      <c r="AB173" s="53">
        <f>IFERROR(IF(A173="","",ROUND(IF(AA173&lt;&gt;"",AA173,Z173*'Setup &amp; Lists'!$B$10),2)),"")</f>
        <v/>
      </c>
      <c r="AC173" s="51" t="n"/>
      <c r="AD173" s="53">
        <f>IFERROR(IF(A173="","",MAX(0,ROUND(Z173-AC173,2))),"")</f>
        <v/>
      </c>
      <c r="AE173" s="32">
        <f>IFERROR(IF(A173="","",IF(AD173=0,"Paid",IF(AC173&gt;=AB173,"Deposit Met",IF(AC173&gt;0,"Partial Payment","Unpaid")))),"")</f>
        <v/>
      </c>
      <c r="AF173" s="54">
        <f>IFERROR(IF(OR(A173="",G173=""),"",G173-('Setup &amp; Lists'!$B$11/24)),"")</f>
        <v/>
      </c>
      <c r="AG173" s="25" t="n"/>
      <c r="AH173" s="25" t="n"/>
      <c r="AI173" s="50" t="n"/>
      <c r="AJ173" s="32">
        <f>IFERROR(IF(A173="","",IF(H173&lt;=G173,"Departure must be after arrival",IF(OR(J173="",J173&lt;1),"Rooms must be at least 1",IF(D173="","Guest name missing",IF(COUNTIF($A$2:$A$251,A173)&gt;1,"Duplicate reservation ID",IF(AND(P173="Confirmed",G173&gt;=TODAY(),G173&lt;=TODAY()+'Setup &amp; Lists'!$B$12,Q173=""),"Assign room for near-term arrival",IF(AND(G173&lt;TODAY(),P173="Confirmed"),"Past-due confirmed arrival",IF(AND(G173&gt;TODAY(),P173="Confirmed",AC173&lt;AB173),"Deposit shortfall",IF(AND(H173&lt;TODAY(),AD173&gt;0,P173&lt;&gt;"Cancelled"),"Balance remains after departure",IF(R173&lt;0,"Nightly rate is negative",IF(AC173&gt;Z173,"Deposit paid exceeds total value",""))))))))))),"")</f>
        <v/>
      </c>
    </row>
    <row r="174">
      <c r="A174" s="25" t="n"/>
      <c r="B174" s="25" t="n"/>
      <c r="C174" s="50" t="n"/>
      <c r="D174" s="25" t="n"/>
      <c r="E174" s="25" t="n"/>
      <c r="F174" s="25" t="n"/>
      <c r="G174" s="50" t="n"/>
      <c r="H174" s="50" t="n"/>
      <c r="I174" s="27">
        <f>IFERROR(IF(A174="","",MAX(0,H174-G174)),"")</f>
        <v/>
      </c>
      <c r="J174" s="28" t="n"/>
      <c r="K174" s="28" t="n"/>
      <c r="L174" s="28" t="n"/>
      <c r="M174" s="25" t="n"/>
      <c r="N174" s="25" t="n"/>
      <c r="O174" s="25" t="n"/>
      <c r="P174" s="25" t="n"/>
      <c r="Q174" s="25" t="n"/>
      <c r="R174" s="51" t="n"/>
      <c r="S174" s="52" t="n"/>
      <c r="T174" s="51" t="n"/>
      <c r="U174" s="52" t="n"/>
      <c r="V174" s="52" t="n"/>
      <c r="W174" s="53">
        <f>IFERROR(IF(A174="","",ROUND(I174*J174*R174*(1-S174),2)),"")</f>
        <v/>
      </c>
      <c r="X174" s="53">
        <f>IFERROR(IF(A174="","",ROUND(W174*IF(V174="",'Setup &amp; Lists'!$B$7,V174),2)),"")</f>
        <v/>
      </c>
      <c r="Y174" s="53">
        <f>IFERROR(IF(A174="","",ROUND((W174+IF('Setup &amp; Lists'!$B$8="Yes",T174,0)+IF('Setup &amp; Lists'!$B$9="Yes",X174,0))*IF(U174="",'Setup &amp; Lists'!$B$6,U174),2)),"")</f>
        <v/>
      </c>
      <c r="Z174" s="53">
        <f>IFERROR(IF(A174="","",ROUND(W174+T174+X174+Y174,2)),"")</f>
        <v/>
      </c>
      <c r="AA174" s="51" t="n"/>
      <c r="AB174" s="53">
        <f>IFERROR(IF(A174="","",ROUND(IF(AA174&lt;&gt;"",AA174,Z174*'Setup &amp; Lists'!$B$10),2)),"")</f>
        <v/>
      </c>
      <c r="AC174" s="51" t="n"/>
      <c r="AD174" s="53">
        <f>IFERROR(IF(A174="","",MAX(0,ROUND(Z174-AC174,2))),"")</f>
        <v/>
      </c>
      <c r="AE174" s="32">
        <f>IFERROR(IF(A174="","",IF(AD174=0,"Paid",IF(AC174&gt;=AB174,"Deposit Met",IF(AC174&gt;0,"Partial Payment","Unpaid")))),"")</f>
        <v/>
      </c>
      <c r="AF174" s="54">
        <f>IFERROR(IF(OR(A174="",G174=""),"",G174-('Setup &amp; Lists'!$B$11/24)),"")</f>
        <v/>
      </c>
      <c r="AG174" s="25" t="n"/>
      <c r="AH174" s="25" t="n"/>
      <c r="AI174" s="50" t="n"/>
      <c r="AJ174" s="32">
        <f>IFERROR(IF(A174="","",IF(H174&lt;=G174,"Departure must be after arrival",IF(OR(J174="",J174&lt;1),"Rooms must be at least 1",IF(D174="","Guest name missing",IF(COUNTIF($A$2:$A$251,A174)&gt;1,"Duplicate reservation ID",IF(AND(P174="Confirmed",G174&gt;=TODAY(),G174&lt;=TODAY()+'Setup &amp; Lists'!$B$12,Q174=""),"Assign room for near-term arrival",IF(AND(G174&lt;TODAY(),P174="Confirmed"),"Past-due confirmed arrival",IF(AND(G174&gt;TODAY(),P174="Confirmed",AC174&lt;AB174),"Deposit shortfall",IF(AND(H174&lt;TODAY(),AD174&gt;0,P174&lt;&gt;"Cancelled"),"Balance remains after departure",IF(R174&lt;0,"Nightly rate is negative",IF(AC174&gt;Z174,"Deposit paid exceeds total value",""))))))))))),"")</f>
        <v/>
      </c>
    </row>
    <row r="175">
      <c r="A175" s="25" t="n"/>
      <c r="B175" s="25" t="n"/>
      <c r="C175" s="50" t="n"/>
      <c r="D175" s="25" t="n"/>
      <c r="E175" s="25" t="n"/>
      <c r="F175" s="25" t="n"/>
      <c r="G175" s="50" t="n"/>
      <c r="H175" s="50" t="n"/>
      <c r="I175" s="27">
        <f>IFERROR(IF(A175="","",MAX(0,H175-G175)),"")</f>
        <v/>
      </c>
      <c r="J175" s="28" t="n"/>
      <c r="K175" s="28" t="n"/>
      <c r="L175" s="28" t="n"/>
      <c r="M175" s="25" t="n"/>
      <c r="N175" s="25" t="n"/>
      <c r="O175" s="25" t="n"/>
      <c r="P175" s="25" t="n"/>
      <c r="Q175" s="25" t="n"/>
      <c r="R175" s="51" t="n"/>
      <c r="S175" s="52" t="n"/>
      <c r="T175" s="51" t="n"/>
      <c r="U175" s="52" t="n"/>
      <c r="V175" s="52" t="n"/>
      <c r="W175" s="53">
        <f>IFERROR(IF(A175="","",ROUND(I175*J175*R175*(1-S175),2)),"")</f>
        <v/>
      </c>
      <c r="X175" s="53">
        <f>IFERROR(IF(A175="","",ROUND(W175*IF(V175="",'Setup &amp; Lists'!$B$7,V175),2)),"")</f>
        <v/>
      </c>
      <c r="Y175" s="53">
        <f>IFERROR(IF(A175="","",ROUND((W175+IF('Setup &amp; Lists'!$B$8="Yes",T175,0)+IF('Setup &amp; Lists'!$B$9="Yes",X175,0))*IF(U175="",'Setup &amp; Lists'!$B$6,U175),2)),"")</f>
        <v/>
      </c>
      <c r="Z175" s="53">
        <f>IFERROR(IF(A175="","",ROUND(W175+T175+X175+Y175,2)),"")</f>
        <v/>
      </c>
      <c r="AA175" s="51" t="n"/>
      <c r="AB175" s="53">
        <f>IFERROR(IF(A175="","",ROUND(IF(AA175&lt;&gt;"",AA175,Z175*'Setup &amp; Lists'!$B$10),2)),"")</f>
        <v/>
      </c>
      <c r="AC175" s="51" t="n"/>
      <c r="AD175" s="53">
        <f>IFERROR(IF(A175="","",MAX(0,ROUND(Z175-AC175,2))),"")</f>
        <v/>
      </c>
      <c r="AE175" s="32">
        <f>IFERROR(IF(A175="","",IF(AD175=0,"Paid",IF(AC175&gt;=AB175,"Deposit Met",IF(AC175&gt;0,"Partial Payment","Unpaid")))),"")</f>
        <v/>
      </c>
      <c r="AF175" s="54">
        <f>IFERROR(IF(OR(A175="",G175=""),"",G175-('Setup &amp; Lists'!$B$11/24)),"")</f>
        <v/>
      </c>
      <c r="AG175" s="25" t="n"/>
      <c r="AH175" s="25" t="n"/>
      <c r="AI175" s="50" t="n"/>
      <c r="AJ175" s="32">
        <f>IFERROR(IF(A175="","",IF(H175&lt;=G175,"Departure must be after arrival",IF(OR(J175="",J175&lt;1),"Rooms must be at least 1",IF(D175="","Guest name missing",IF(COUNTIF($A$2:$A$251,A175)&gt;1,"Duplicate reservation ID",IF(AND(P175="Confirmed",G175&gt;=TODAY(),G175&lt;=TODAY()+'Setup &amp; Lists'!$B$12,Q175=""),"Assign room for near-term arrival",IF(AND(G175&lt;TODAY(),P175="Confirmed"),"Past-due confirmed arrival",IF(AND(G175&gt;TODAY(),P175="Confirmed",AC175&lt;AB175),"Deposit shortfall",IF(AND(H175&lt;TODAY(),AD175&gt;0,P175&lt;&gt;"Cancelled"),"Balance remains after departure",IF(R175&lt;0,"Nightly rate is negative",IF(AC175&gt;Z175,"Deposit paid exceeds total value",""))))))))))),"")</f>
        <v/>
      </c>
    </row>
    <row r="176">
      <c r="A176" s="25" t="n"/>
      <c r="B176" s="25" t="n"/>
      <c r="C176" s="50" t="n"/>
      <c r="D176" s="25" t="n"/>
      <c r="E176" s="25" t="n"/>
      <c r="F176" s="25" t="n"/>
      <c r="G176" s="50" t="n"/>
      <c r="H176" s="50" t="n"/>
      <c r="I176" s="27">
        <f>IFERROR(IF(A176="","",MAX(0,H176-G176)),"")</f>
        <v/>
      </c>
      <c r="J176" s="28" t="n"/>
      <c r="K176" s="28" t="n"/>
      <c r="L176" s="28" t="n"/>
      <c r="M176" s="25" t="n"/>
      <c r="N176" s="25" t="n"/>
      <c r="O176" s="25" t="n"/>
      <c r="P176" s="25" t="n"/>
      <c r="Q176" s="25" t="n"/>
      <c r="R176" s="51" t="n"/>
      <c r="S176" s="52" t="n"/>
      <c r="T176" s="51" t="n"/>
      <c r="U176" s="52" t="n"/>
      <c r="V176" s="52" t="n"/>
      <c r="W176" s="53">
        <f>IFERROR(IF(A176="","",ROUND(I176*J176*R176*(1-S176),2)),"")</f>
        <v/>
      </c>
      <c r="X176" s="53">
        <f>IFERROR(IF(A176="","",ROUND(W176*IF(V176="",'Setup &amp; Lists'!$B$7,V176),2)),"")</f>
        <v/>
      </c>
      <c r="Y176" s="53">
        <f>IFERROR(IF(A176="","",ROUND((W176+IF('Setup &amp; Lists'!$B$8="Yes",T176,0)+IF('Setup &amp; Lists'!$B$9="Yes",X176,0))*IF(U176="",'Setup &amp; Lists'!$B$6,U176),2)),"")</f>
        <v/>
      </c>
      <c r="Z176" s="53">
        <f>IFERROR(IF(A176="","",ROUND(W176+T176+X176+Y176,2)),"")</f>
        <v/>
      </c>
      <c r="AA176" s="51" t="n"/>
      <c r="AB176" s="53">
        <f>IFERROR(IF(A176="","",ROUND(IF(AA176&lt;&gt;"",AA176,Z176*'Setup &amp; Lists'!$B$10),2)),"")</f>
        <v/>
      </c>
      <c r="AC176" s="51" t="n"/>
      <c r="AD176" s="53">
        <f>IFERROR(IF(A176="","",MAX(0,ROUND(Z176-AC176,2))),"")</f>
        <v/>
      </c>
      <c r="AE176" s="32">
        <f>IFERROR(IF(A176="","",IF(AD176=0,"Paid",IF(AC176&gt;=AB176,"Deposit Met",IF(AC176&gt;0,"Partial Payment","Unpaid")))),"")</f>
        <v/>
      </c>
      <c r="AF176" s="54">
        <f>IFERROR(IF(OR(A176="",G176=""),"",G176-('Setup &amp; Lists'!$B$11/24)),"")</f>
        <v/>
      </c>
      <c r="AG176" s="25" t="n"/>
      <c r="AH176" s="25" t="n"/>
      <c r="AI176" s="50" t="n"/>
      <c r="AJ176" s="32">
        <f>IFERROR(IF(A176="","",IF(H176&lt;=G176,"Departure must be after arrival",IF(OR(J176="",J176&lt;1),"Rooms must be at least 1",IF(D176="","Guest name missing",IF(COUNTIF($A$2:$A$251,A176)&gt;1,"Duplicate reservation ID",IF(AND(P176="Confirmed",G176&gt;=TODAY(),G176&lt;=TODAY()+'Setup &amp; Lists'!$B$12,Q176=""),"Assign room for near-term arrival",IF(AND(G176&lt;TODAY(),P176="Confirmed"),"Past-due confirmed arrival",IF(AND(G176&gt;TODAY(),P176="Confirmed",AC176&lt;AB176),"Deposit shortfall",IF(AND(H176&lt;TODAY(),AD176&gt;0,P176&lt;&gt;"Cancelled"),"Balance remains after departure",IF(R176&lt;0,"Nightly rate is negative",IF(AC176&gt;Z176,"Deposit paid exceeds total value",""))))))))))),"")</f>
        <v/>
      </c>
    </row>
    <row r="177">
      <c r="A177" s="25" t="n"/>
      <c r="B177" s="25" t="n"/>
      <c r="C177" s="50" t="n"/>
      <c r="D177" s="25" t="n"/>
      <c r="E177" s="25" t="n"/>
      <c r="F177" s="25" t="n"/>
      <c r="G177" s="50" t="n"/>
      <c r="H177" s="50" t="n"/>
      <c r="I177" s="27">
        <f>IFERROR(IF(A177="","",MAX(0,H177-G177)),"")</f>
        <v/>
      </c>
      <c r="J177" s="28" t="n"/>
      <c r="K177" s="28" t="n"/>
      <c r="L177" s="28" t="n"/>
      <c r="M177" s="25" t="n"/>
      <c r="N177" s="25" t="n"/>
      <c r="O177" s="25" t="n"/>
      <c r="P177" s="25" t="n"/>
      <c r="Q177" s="25" t="n"/>
      <c r="R177" s="51" t="n"/>
      <c r="S177" s="52" t="n"/>
      <c r="T177" s="51" t="n"/>
      <c r="U177" s="52" t="n"/>
      <c r="V177" s="52" t="n"/>
      <c r="W177" s="53">
        <f>IFERROR(IF(A177="","",ROUND(I177*J177*R177*(1-S177),2)),"")</f>
        <v/>
      </c>
      <c r="X177" s="53">
        <f>IFERROR(IF(A177="","",ROUND(W177*IF(V177="",'Setup &amp; Lists'!$B$7,V177),2)),"")</f>
        <v/>
      </c>
      <c r="Y177" s="53">
        <f>IFERROR(IF(A177="","",ROUND((W177+IF('Setup &amp; Lists'!$B$8="Yes",T177,0)+IF('Setup &amp; Lists'!$B$9="Yes",X177,0))*IF(U177="",'Setup &amp; Lists'!$B$6,U177),2)),"")</f>
        <v/>
      </c>
      <c r="Z177" s="53">
        <f>IFERROR(IF(A177="","",ROUND(W177+T177+X177+Y177,2)),"")</f>
        <v/>
      </c>
      <c r="AA177" s="51" t="n"/>
      <c r="AB177" s="53">
        <f>IFERROR(IF(A177="","",ROUND(IF(AA177&lt;&gt;"",AA177,Z177*'Setup &amp; Lists'!$B$10),2)),"")</f>
        <v/>
      </c>
      <c r="AC177" s="51" t="n"/>
      <c r="AD177" s="53">
        <f>IFERROR(IF(A177="","",MAX(0,ROUND(Z177-AC177,2))),"")</f>
        <v/>
      </c>
      <c r="AE177" s="32">
        <f>IFERROR(IF(A177="","",IF(AD177=0,"Paid",IF(AC177&gt;=AB177,"Deposit Met",IF(AC177&gt;0,"Partial Payment","Unpaid")))),"")</f>
        <v/>
      </c>
      <c r="AF177" s="54">
        <f>IFERROR(IF(OR(A177="",G177=""),"",G177-('Setup &amp; Lists'!$B$11/24)),"")</f>
        <v/>
      </c>
      <c r="AG177" s="25" t="n"/>
      <c r="AH177" s="25" t="n"/>
      <c r="AI177" s="50" t="n"/>
      <c r="AJ177" s="32">
        <f>IFERROR(IF(A177="","",IF(H177&lt;=G177,"Departure must be after arrival",IF(OR(J177="",J177&lt;1),"Rooms must be at least 1",IF(D177="","Guest name missing",IF(COUNTIF($A$2:$A$251,A177)&gt;1,"Duplicate reservation ID",IF(AND(P177="Confirmed",G177&gt;=TODAY(),G177&lt;=TODAY()+'Setup &amp; Lists'!$B$12,Q177=""),"Assign room for near-term arrival",IF(AND(G177&lt;TODAY(),P177="Confirmed"),"Past-due confirmed arrival",IF(AND(G177&gt;TODAY(),P177="Confirmed",AC177&lt;AB177),"Deposit shortfall",IF(AND(H177&lt;TODAY(),AD177&gt;0,P177&lt;&gt;"Cancelled"),"Balance remains after departure",IF(R177&lt;0,"Nightly rate is negative",IF(AC177&gt;Z177,"Deposit paid exceeds total value",""))))))))))),"")</f>
        <v/>
      </c>
    </row>
    <row r="178">
      <c r="A178" s="25" t="n"/>
      <c r="B178" s="25" t="n"/>
      <c r="C178" s="50" t="n"/>
      <c r="D178" s="25" t="n"/>
      <c r="E178" s="25" t="n"/>
      <c r="F178" s="25" t="n"/>
      <c r="G178" s="50" t="n"/>
      <c r="H178" s="50" t="n"/>
      <c r="I178" s="27">
        <f>IFERROR(IF(A178="","",MAX(0,H178-G178)),"")</f>
        <v/>
      </c>
      <c r="J178" s="28" t="n"/>
      <c r="K178" s="28" t="n"/>
      <c r="L178" s="28" t="n"/>
      <c r="M178" s="25" t="n"/>
      <c r="N178" s="25" t="n"/>
      <c r="O178" s="25" t="n"/>
      <c r="P178" s="25" t="n"/>
      <c r="Q178" s="25" t="n"/>
      <c r="R178" s="51" t="n"/>
      <c r="S178" s="52" t="n"/>
      <c r="T178" s="51" t="n"/>
      <c r="U178" s="52" t="n"/>
      <c r="V178" s="52" t="n"/>
      <c r="W178" s="53">
        <f>IFERROR(IF(A178="","",ROUND(I178*J178*R178*(1-S178),2)),"")</f>
        <v/>
      </c>
      <c r="X178" s="53">
        <f>IFERROR(IF(A178="","",ROUND(W178*IF(V178="",'Setup &amp; Lists'!$B$7,V178),2)),"")</f>
        <v/>
      </c>
      <c r="Y178" s="53">
        <f>IFERROR(IF(A178="","",ROUND((W178+IF('Setup &amp; Lists'!$B$8="Yes",T178,0)+IF('Setup &amp; Lists'!$B$9="Yes",X178,0))*IF(U178="",'Setup &amp; Lists'!$B$6,U178),2)),"")</f>
        <v/>
      </c>
      <c r="Z178" s="53">
        <f>IFERROR(IF(A178="","",ROUND(W178+T178+X178+Y178,2)),"")</f>
        <v/>
      </c>
      <c r="AA178" s="51" t="n"/>
      <c r="AB178" s="53">
        <f>IFERROR(IF(A178="","",ROUND(IF(AA178&lt;&gt;"",AA178,Z178*'Setup &amp; Lists'!$B$10),2)),"")</f>
        <v/>
      </c>
      <c r="AC178" s="51" t="n"/>
      <c r="AD178" s="53">
        <f>IFERROR(IF(A178="","",MAX(0,ROUND(Z178-AC178,2))),"")</f>
        <v/>
      </c>
      <c r="AE178" s="32">
        <f>IFERROR(IF(A178="","",IF(AD178=0,"Paid",IF(AC178&gt;=AB178,"Deposit Met",IF(AC178&gt;0,"Partial Payment","Unpaid")))),"")</f>
        <v/>
      </c>
      <c r="AF178" s="54">
        <f>IFERROR(IF(OR(A178="",G178=""),"",G178-('Setup &amp; Lists'!$B$11/24)),"")</f>
        <v/>
      </c>
      <c r="AG178" s="25" t="n"/>
      <c r="AH178" s="25" t="n"/>
      <c r="AI178" s="50" t="n"/>
      <c r="AJ178" s="32">
        <f>IFERROR(IF(A178="","",IF(H178&lt;=G178,"Departure must be after arrival",IF(OR(J178="",J178&lt;1),"Rooms must be at least 1",IF(D178="","Guest name missing",IF(COUNTIF($A$2:$A$251,A178)&gt;1,"Duplicate reservation ID",IF(AND(P178="Confirmed",G178&gt;=TODAY(),G178&lt;=TODAY()+'Setup &amp; Lists'!$B$12,Q178=""),"Assign room for near-term arrival",IF(AND(G178&lt;TODAY(),P178="Confirmed"),"Past-due confirmed arrival",IF(AND(G178&gt;TODAY(),P178="Confirmed",AC178&lt;AB178),"Deposit shortfall",IF(AND(H178&lt;TODAY(),AD178&gt;0,P178&lt;&gt;"Cancelled"),"Balance remains after departure",IF(R178&lt;0,"Nightly rate is negative",IF(AC178&gt;Z178,"Deposit paid exceeds total value",""))))))))))),"")</f>
        <v/>
      </c>
    </row>
    <row r="179">
      <c r="A179" s="25" t="n"/>
      <c r="B179" s="25" t="n"/>
      <c r="C179" s="50" t="n"/>
      <c r="D179" s="25" t="n"/>
      <c r="E179" s="25" t="n"/>
      <c r="F179" s="25" t="n"/>
      <c r="G179" s="50" t="n"/>
      <c r="H179" s="50" t="n"/>
      <c r="I179" s="27">
        <f>IFERROR(IF(A179="","",MAX(0,H179-G179)),"")</f>
        <v/>
      </c>
      <c r="J179" s="28" t="n"/>
      <c r="K179" s="28" t="n"/>
      <c r="L179" s="28" t="n"/>
      <c r="M179" s="25" t="n"/>
      <c r="N179" s="25" t="n"/>
      <c r="O179" s="25" t="n"/>
      <c r="P179" s="25" t="n"/>
      <c r="Q179" s="25" t="n"/>
      <c r="R179" s="51" t="n"/>
      <c r="S179" s="52" t="n"/>
      <c r="T179" s="51" t="n"/>
      <c r="U179" s="52" t="n"/>
      <c r="V179" s="52" t="n"/>
      <c r="W179" s="53">
        <f>IFERROR(IF(A179="","",ROUND(I179*J179*R179*(1-S179),2)),"")</f>
        <v/>
      </c>
      <c r="X179" s="53">
        <f>IFERROR(IF(A179="","",ROUND(W179*IF(V179="",'Setup &amp; Lists'!$B$7,V179),2)),"")</f>
        <v/>
      </c>
      <c r="Y179" s="53">
        <f>IFERROR(IF(A179="","",ROUND((W179+IF('Setup &amp; Lists'!$B$8="Yes",T179,0)+IF('Setup &amp; Lists'!$B$9="Yes",X179,0))*IF(U179="",'Setup &amp; Lists'!$B$6,U179),2)),"")</f>
        <v/>
      </c>
      <c r="Z179" s="53">
        <f>IFERROR(IF(A179="","",ROUND(W179+T179+X179+Y179,2)),"")</f>
        <v/>
      </c>
      <c r="AA179" s="51" t="n"/>
      <c r="AB179" s="53">
        <f>IFERROR(IF(A179="","",ROUND(IF(AA179&lt;&gt;"",AA179,Z179*'Setup &amp; Lists'!$B$10),2)),"")</f>
        <v/>
      </c>
      <c r="AC179" s="51" t="n"/>
      <c r="AD179" s="53">
        <f>IFERROR(IF(A179="","",MAX(0,ROUND(Z179-AC179,2))),"")</f>
        <v/>
      </c>
      <c r="AE179" s="32">
        <f>IFERROR(IF(A179="","",IF(AD179=0,"Paid",IF(AC179&gt;=AB179,"Deposit Met",IF(AC179&gt;0,"Partial Payment","Unpaid")))),"")</f>
        <v/>
      </c>
      <c r="AF179" s="54">
        <f>IFERROR(IF(OR(A179="",G179=""),"",G179-('Setup &amp; Lists'!$B$11/24)),"")</f>
        <v/>
      </c>
      <c r="AG179" s="25" t="n"/>
      <c r="AH179" s="25" t="n"/>
      <c r="AI179" s="50" t="n"/>
      <c r="AJ179" s="32">
        <f>IFERROR(IF(A179="","",IF(H179&lt;=G179,"Departure must be after arrival",IF(OR(J179="",J179&lt;1),"Rooms must be at least 1",IF(D179="","Guest name missing",IF(COUNTIF($A$2:$A$251,A179)&gt;1,"Duplicate reservation ID",IF(AND(P179="Confirmed",G179&gt;=TODAY(),G179&lt;=TODAY()+'Setup &amp; Lists'!$B$12,Q179=""),"Assign room for near-term arrival",IF(AND(G179&lt;TODAY(),P179="Confirmed"),"Past-due confirmed arrival",IF(AND(G179&gt;TODAY(),P179="Confirmed",AC179&lt;AB179),"Deposit shortfall",IF(AND(H179&lt;TODAY(),AD179&gt;0,P179&lt;&gt;"Cancelled"),"Balance remains after departure",IF(R179&lt;0,"Nightly rate is negative",IF(AC179&gt;Z179,"Deposit paid exceeds total value",""))))))))))),"")</f>
        <v/>
      </c>
    </row>
    <row r="180">
      <c r="A180" s="25" t="n"/>
      <c r="B180" s="25" t="n"/>
      <c r="C180" s="50" t="n"/>
      <c r="D180" s="25" t="n"/>
      <c r="E180" s="25" t="n"/>
      <c r="F180" s="25" t="n"/>
      <c r="G180" s="50" t="n"/>
      <c r="H180" s="50" t="n"/>
      <c r="I180" s="27">
        <f>IFERROR(IF(A180="","",MAX(0,H180-G180)),"")</f>
        <v/>
      </c>
      <c r="J180" s="28" t="n"/>
      <c r="K180" s="28" t="n"/>
      <c r="L180" s="28" t="n"/>
      <c r="M180" s="25" t="n"/>
      <c r="N180" s="25" t="n"/>
      <c r="O180" s="25" t="n"/>
      <c r="P180" s="25" t="n"/>
      <c r="Q180" s="25" t="n"/>
      <c r="R180" s="51" t="n"/>
      <c r="S180" s="52" t="n"/>
      <c r="T180" s="51" t="n"/>
      <c r="U180" s="52" t="n"/>
      <c r="V180" s="52" t="n"/>
      <c r="W180" s="53">
        <f>IFERROR(IF(A180="","",ROUND(I180*J180*R180*(1-S180),2)),"")</f>
        <v/>
      </c>
      <c r="X180" s="53">
        <f>IFERROR(IF(A180="","",ROUND(W180*IF(V180="",'Setup &amp; Lists'!$B$7,V180),2)),"")</f>
        <v/>
      </c>
      <c r="Y180" s="53">
        <f>IFERROR(IF(A180="","",ROUND((W180+IF('Setup &amp; Lists'!$B$8="Yes",T180,0)+IF('Setup &amp; Lists'!$B$9="Yes",X180,0))*IF(U180="",'Setup &amp; Lists'!$B$6,U180),2)),"")</f>
        <v/>
      </c>
      <c r="Z180" s="53">
        <f>IFERROR(IF(A180="","",ROUND(W180+T180+X180+Y180,2)),"")</f>
        <v/>
      </c>
      <c r="AA180" s="51" t="n"/>
      <c r="AB180" s="53">
        <f>IFERROR(IF(A180="","",ROUND(IF(AA180&lt;&gt;"",AA180,Z180*'Setup &amp; Lists'!$B$10),2)),"")</f>
        <v/>
      </c>
      <c r="AC180" s="51" t="n"/>
      <c r="AD180" s="53">
        <f>IFERROR(IF(A180="","",MAX(0,ROUND(Z180-AC180,2))),"")</f>
        <v/>
      </c>
      <c r="AE180" s="32">
        <f>IFERROR(IF(A180="","",IF(AD180=0,"Paid",IF(AC180&gt;=AB180,"Deposit Met",IF(AC180&gt;0,"Partial Payment","Unpaid")))),"")</f>
        <v/>
      </c>
      <c r="AF180" s="54">
        <f>IFERROR(IF(OR(A180="",G180=""),"",G180-('Setup &amp; Lists'!$B$11/24)),"")</f>
        <v/>
      </c>
      <c r="AG180" s="25" t="n"/>
      <c r="AH180" s="25" t="n"/>
      <c r="AI180" s="50" t="n"/>
      <c r="AJ180" s="32">
        <f>IFERROR(IF(A180="","",IF(H180&lt;=G180,"Departure must be after arrival",IF(OR(J180="",J180&lt;1),"Rooms must be at least 1",IF(D180="","Guest name missing",IF(COUNTIF($A$2:$A$251,A180)&gt;1,"Duplicate reservation ID",IF(AND(P180="Confirmed",G180&gt;=TODAY(),G180&lt;=TODAY()+'Setup &amp; Lists'!$B$12,Q180=""),"Assign room for near-term arrival",IF(AND(G180&lt;TODAY(),P180="Confirmed"),"Past-due confirmed arrival",IF(AND(G180&gt;TODAY(),P180="Confirmed",AC180&lt;AB180),"Deposit shortfall",IF(AND(H180&lt;TODAY(),AD180&gt;0,P180&lt;&gt;"Cancelled"),"Balance remains after departure",IF(R180&lt;0,"Nightly rate is negative",IF(AC180&gt;Z180,"Deposit paid exceeds total value",""))))))))))),"")</f>
        <v/>
      </c>
    </row>
    <row r="181">
      <c r="A181" s="25" t="n"/>
      <c r="B181" s="25" t="n"/>
      <c r="C181" s="50" t="n"/>
      <c r="D181" s="25" t="n"/>
      <c r="E181" s="25" t="n"/>
      <c r="F181" s="25" t="n"/>
      <c r="G181" s="50" t="n"/>
      <c r="H181" s="50" t="n"/>
      <c r="I181" s="27">
        <f>IFERROR(IF(A181="","",MAX(0,H181-G181)),"")</f>
        <v/>
      </c>
      <c r="J181" s="28" t="n"/>
      <c r="K181" s="28" t="n"/>
      <c r="L181" s="28" t="n"/>
      <c r="M181" s="25" t="n"/>
      <c r="N181" s="25" t="n"/>
      <c r="O181" s="25" t="n"/>
      <c r="P181" s="25" t="n"/>
      <c r="Q181" s="25" t="n"/>
      <c r="R181" s="51" t="n"/>
      <c r="S181" s="52" t="n"/>
      <c r="T181" s="51" t="n"/>
      <c r="U181" s="52" t="n"/>
      <c r="V181" s="52" t="n"/>
      <c r="W181" s="53">
        <f>IFERROR(IF(A181="","",ROUND(I181*J181*R181*(1-S181),2)),"")</f>
        <v/>
      </c>
      <c r="X181" s="53">
        <f>IFERROR(IF(A181="","",ROUND(W181*IF(V181="",'Setup &amp; Lists'!$B$7,V181),2)),"")</f>
        <v/>
      </c>
      <c r="Y181" s="53">
        <f>IFERROR(IF(A181="","",ROUND((W181+IF('Setup &amp; Lists'!$B$8="Yes",T181,0)+IF('Setup &amp; Lists'!$B$9="Yes",X181,0))*IF(U181="",'Setup &amp; Lists'!$B$6,U181),2)),"")</f>
        <v/>
      </c>
      <c r="Z181" s="53">
        <f>IFERROR(IF(A181="","",ROUND(W181+T181+X181+Y181,2)),"")</f>
        <v/>
      </c>
      <c r="AA181" s="51" t="n"/>
      <c r="AB181" s="53">
        <f>IFERROR(IF(A181="","",ROUND(IF(AA181&lt;&gt;"",AA181,Z181*'Setup &amp; Lists'!$B$10),2)),"")</f>
        <v/>
      </c>
      <c r="AC181" s="51" t="n"/>
      <c r="AD181" s="53">
        <f>IFERROR(IF(A181="","",MAX(0,ROUND(Z181-AC181,2))),"")</f>
        <v/>
      </c>
      <c r="AE181" s="32">
        <f>IFERROR(IF(A181="","",IF(AD181=0,"Paid",IF(AC181&gt;=AB181,"Deposit Met",IF(AC181&gt;0,"Partial Payment","Unpaid")))),"")</f>
        <v/>
      </c>
      <c r="AF181" s="54">
        <f>IFERROR(IF(OR(A181="",G181=""),"",G181-('Setup &amp; Lists'!$B$11/24)),"")</f>
        <v/>
      </c>
      <c r="AG181" s="25" t="n"/>
      <c r="AH181" s="25" t="n"/>
      <c r="AI181" s="50" t="n"/>
      <c r="AJ181" s="32">
        <f>IFERROR(IF(A181="","",IF(H181&lt;=G181,"Departure must be after arrival",IF(OR(J181="",J181&lt;1),"Rooms must be at least 1",IF(D181="","Guest name missing",IF(COUNTIF($A$2:$A$251,A181)&gt;1,"Duplicate reservation ID",IF(AND(P181="Confirmed",G181&gt;=TODAY(),G181&lt;=TODAY()+'Setup &amp; Lists'!$B$12,Q181=""),"Assign room for near-term arrival",IF(AND(G181&lt;TODAY(),P181="Confirmed"),"Past-due confirmed arrival",IF(AND(G181&gt;TODAY(),P181="Confirmed",AC181&lt;AB181),"Deposit shortfall",IF(AND(H181&lt;TODAY(),AD181&gt;0,P181&lt;&gt;"Cancelled"),"Balance remains after departure",IF(R181&lt;0,"Nightly rate is negative",IF(AC181&gt;Z181,"Deposit paid exceeds total value",""))))))))))),"")</f>
        <v/>
      </c>
    </row>
    <row r="182">
      <c r="A182" s="25" t="n"/>
      <c r="B182" s="25" t="n"/>
      <c r="C182" s="50" t="n"/>
      <c r="D182" s="25" t="n"/>
      <c r="E182" s="25" t="n"/>
      <c r="F182" s="25" t="n"/>
      <c r="G182" s="50" t="n"/>
      <c r="H182" s="50" t="n"/>
      <c r="I182" s="27">
        <f>IFERROR(IF(A182="","",MAX(0,H182-G182)),"")</f>
        <v/>
      </c>
      <c r="J182" s="28" t="n"/>
      <c r="K182" s="28" t="n"/>
      <c r="L182" s="28" t="n"/>
      <c r="M182" s="25" t="n"/>
      <c r="N182" s="25" t="n"/>
      <c r="O182" s="25" t="n"/>
      <c r="P182" s="25" t="n"/>
      <c r="Q182" s="25" t="n"/>
      <c r="R182" s="51" t="n"/>
      <c r="S182" s="52" t="n"/>
      <c r="T182" s="51" t="n"/>
      <c r="U182" s="52" t="n"/>
      <c r="V182" s="52" t="n"/>
      <c r="W182" s="53">
        <f>IFERROR(IF(A182="","",ROUND(I182*J182*R182*(1-S182),2)),"")</f>
        <v/>
      </c>
      <c r="X182" s="53">
        <f>IFERROR(IF(A182="","",ROUND(W182*IF(V182="",'Setup &amp; Lists'!$B$7,V182),2)),"")</f>
        <v/>
      </c>
      <c r="Y182" s="53">
        <f>IFERROR(IF(A182="","",ROUND((W182+IF('Setup &amp; Lists'!$B$8="Yes",T182,0)+IF('Setup &amp; Lists'!$B$9="Yes",X182,0))*IF(U182="",'Setup &amp; Lists'!$B$6,U182),2)),"")</f>
        <v/>
      </c>
      <c r="Z182" s="53">
        <f>IFERROR(IF(A182="","",ROUND(W182+T182+X182+Y182,2)),"")</f>
        <v/>
      </c>
      <c r="AA182" s="51" t="n"/>
      <c r="AB182" s="53">
        <f>IFERROR(IF(A182="","",ROUND(IF(AA182&lt;&gt;"",AA182,Z182*'Setup &amp; Lists'!$B$10),2)),"")</f>
        <v/>
      </c>
      <c r="AC182" s="51" t="n"/>
      <c r="AD182" s="53">
        <f>IFERROR(IF(A182="","",MAX(0,ROUND(Z182-AC182,2))),"")</f>
        <v/>
      </c>
      <c r="AE182" s="32">
        <f>IFERROR(IF(A182="","",IF(AD182=0,"Paid",IF(AC182&gt;=AB182,"Deposit Met",IF(AC182&gt;0,"Partial Payment","Unpaid")))),"")</f>
        <v/>
      </c>
      <c r="AF182" s="54">
        <f>IFERROR(IF(OR(A182="",G182=""),"",G182-('Setup &amp; Lists'!$B$11/24)),"")</f>
        <v/>
      </c>
      <c r="AG182" s="25" t="n"/>
      <c r="AH182" s="25" t="n"/>
      <c r="AI182" s="50" t="n"/>
      <c r="AJ182" s="32">
        <f>IFERROR(IF(A182="","",IF(H182&lt;=G182,"Departure must be after arrival",IF(OR(J182="",J182&lt;1),"Rooms must be at least 1",IF(D182="","Guest name missing",IF(COUNTIF($A$2:$A$251,A182)&gt;1,"Duplicate reservation ID",IF(AND(P182="Confirmed",G182&gt;=TODAY(),G182&lt;=TODAY()+'Setup &amp; Lists'!$B$12,Q182=""),"Assign room for near-term arrival",IF(AND(G182&lt;TODAY(),P182="Confirmed"),"Past-due confirmed arrival",IF(AND(G182&gt;TODAY(),P182="Confirmed",AC182&lt;AB182),"Deposit shortfall",IF(AND(H182&lt;TODAY(),AD182&gt;0,P182&lt;&gt;"Cancelled"),"Balance remains after departure",IF(R182&lt;0,"Nightly rate is negative",IF(AC182&gt;Z182,"Deposit paid exceeds total value",""))))))))))),"")</f>
        <v/>
      </c>
    </row>
    <row r="183">
      <c r="A183" s="25" t="n"/>
      <c r="B183" s="25" t="n"/>
      <c r="C183" s="50" t="n"/>
      <c r="D183" s="25" t="n"/>
      <c r="E183" s="25" t="n"/>
      <c r="F183" s="25" t="n"/>
      <c r="G183" s="50" t="n"/>
      <c r="H183" s="50" t="n"/>
      <c r="I183" s="27">
        <f>IFERROR(IF(A183="","",MAX(0,H183-G183)),"")</f>
        <v/>
      </c>
      <c r="J183" s="28" t="n"/>
      <c r="K183" s="28" t="n"/>
      <c r="L183" s="28" t="n"/>
      <c r="M183" s="25" t="n"/>
      <c r="N183" s="25" t="n"/>
      <c r="O183" s="25" t="n"/>
      <c r="P183" s="25" t="n"/>
      <c r="Q183" s="25" t="n"/>
      <c r="R183" s="51" t="n"/>
      <c r="S183" s="52" t="n"/>
      <c r="T183" s="51" t="n"/>
      <c r="U183" s="52" t="n"/>
      <c r="V183" s="52" t="n"/>
      <c r="W183" s="53">
        <f>IFERROR(IF(A183="","",ROUND(I183*J183*R183*(1-S183),2)),"")</f>
        <v/>
      </c>
      <c r="X183" s="53">
        <f>IFERROR(IF(A183="","",ROUND(W183*IF(V183="",'Setup &amp; Lists'!$B$7,V183),2)),"")</f>
        <v/>
      </c>
      <c r="Y183" s="53">
        <f>IFERROR(IF(A183="","",ROUND((W183+IF('Setup &amp; Lists'!$B$8="Yes",T183,0)+IF('Setup &amp; Lists'!$B$9="Yes",X183,0))*IF(U183="",'Setup &amp; Lists'!$B$6,U183),2)),"")</f>
        <v/>
      </c>
      <c r="Z183" s="53">
        <f>IFERROR(IF(A183="","",ROUND(W183+T183+X183+Y183,2)),"")</f>
        <v/>
      </c>
      <c r="AA183" s="51" t="n"/>
      <c r="AB183" s="53">
        <f>IFERROR(IF(A183="","",ROUND(IF(AA183&lt;&gt;"",AA183,Z183*'Setup &amp; Lists'!$B$10),2)),"")</f>
        <v/>
      </c>
      <c r="AC183" s="51" t="n"/>
      <c r="AD183" s="53">
        <f>IFERROR(IF(A183="","",MAX(0,ROUND(Z183-AC183,2))),"")</f>
        <v/>
      </c>
      <c r="AE183" s="32">
        <f>IFERROR(IF(A183="","",IF(AD183=0,"Paid",IF(AC183&gt;=AB183,"Deposit Met",IF(AC183&gt;0,"Partial Payment","Unpaid")))),"")</f>
        <v/>
      </c>
      <c r="AF183" s="54">
        <f>IFERROR(IF(OR(A183="",G183=""),"",G183-('Setup &amp; Lists'!$B$11/24)),"")</f>
        <v/>
      </c>
      <c r="AG183" s="25" t="n"/>
      <c r="AH183" s="25" t="n"/>
      <c r="AI183" s="50" t="n"/>
      <c r="AJ183" s="32">
        <f>IFERROR(IF(A183="","",IF(H183&lt;=G183,"Departure must be after arrival",IF(OR(J183="",J183&lt;1),"Rooms must be at least 1",IF(D183="","Guest name missing",IF(COUNTIF($A$2:$A$251,A183)&gt;1,"Duplicate reservation ID",IF(AND(P183="Confirmed",G183&gt;=TODAY(),G183&lt;=TODAY()+'Setup &amp; Lists'!$B$12,Q183=""),"Assign room for near-term arrival",IF(AND(G183&lt;TODAY(),P183="Confirmed"),"Past-due confirmed arrival",IF(AND(G183&gt;TODAY(),P183="Confirmed",AC183&lt;AB183),"Deposit shortfall",IF(AND(H183&lt;TODAY(),AD183&gt;0,P183&lt;&gt;"Cancelled"),"Balance remains after departure",IF(R183&lt;0,"Nightly rate is negative",IF(AC183&gt;Z183,"Deposit paid exceeds total value",""))))))))))),"")</f>
        <v/>
      </c>
    </row>
    <row r="184">
      <c r="A184" s="25" t="n"/>
      <c r="B184" s="25" t="n"/>
      <c r="C184" s="50" t="n"/>
      <c r="D184" s="25" t="n"/>
      <c r="E184" s="25" t="n"/>
      <c r="F184" s="25" t="n"/>
      <c r="G184" s="50" t="n"/>
      <c r="H184" s="50" t="n"/>
      <c r="I184" s="27">
        <f>IFERROR(IF(A184="","",MAX(0,H184-G184)),"")</f>
        <v/>
      </c>
      <c r="J184" s="28" t="n"/>
      <c r="K184" s="28" t="n"/>
      <c r="L184" s="28" t="n"/>
      <c r="M184" s="25" t="n"/>
      <c r="N184" s="25" t="n"/>
      <c r="O184" s="25" t="n"/>
      <c r="P184" s="25" t="n"/>
      <c r="Q184" s="25" t="n"/>
      <c r="R184" s="51" t="n"/>
      <c r="S184" s="52" t="n"/>
      <c r="T184" s="51" t="n"/>
      <c r="U184" s="52" t="n"/>
      <c r="V184" s="52" t="n"/>
      <c r="W184" s="53">
        <f>IFERROR(IF(A184="","",ROUND(I184*J184*R184*(1-S184),2)),"")</f>
        <v/>
      </c>
      <c r="X184" s="53">
        <f>IFERROR(IF(A184="","",ROUND(W184*IF(V184="",'Setup &amp; Lists'!$B$7,V184),2)),"")</f>
        <v/>
      </c>
      <c r="Y184" s="53">
        <f>IFERROR(IF(A184="","",ROUND((W184+IF('Setup &amp; Lists'!$B$8="Yes",T184,0)+IF('Setup &amp; Lists'!$B$9="Yes",X184,0))*IF(U184="",'Setup &amp; Lists'!$B$6,U184),2)),"")</f>
        <v/>
      </c>
      <c r="Z184" s="53">
        <f>IFERROR(IF(A184="","",ROUND(W184+T184+X184+Y184,2)),"")</f>
        <v/>
      </c>
      <c r="AA184" s="51" t="n"/>
      <c r="AB184" s="53">
        <f>IFERROR(IF(A184="","",ROUND(IF(AA184&lt;&gt;"",AA184,Z184*'Setup &amp; Lists'!$B$10),2)),"")</f>
        <v/>
      </c>
      <c r="AC184" s="51" t="n"/>
      <c r="AD184" s="53">
        <f>IFERROR(IF(A184="","",MAX(0,ROUND(Z184-AC184,2))),"")</f>
        <v/>
      </c>
      <c r="AE184" s="32">
        <f>IFERROR(IF(A184="","",IF(AD184=0,"Paid",IF(AC184&gt;=AB184,"Deposit Met",IF(AC184&gt;0,"Partial Payment","Unpaid")))),"")</f>
        <v/>
      </c>
      <c r="AF184" s="54">
        <f>IFERROR(IF(OR(A184="",G184=""),"",G184-('Setup &amp; Lists'!$B$11/24)),"")</f>
        <v/>
      </c>
      <c r="AG184" s="25" t="n"/>
      <c r="AH184" s="25" t="n"/>
      <c r="AI184" s="50" t="n"/>
      <c r="AJ184" s="32">
        <f>IFERROR(IF(A184="","",IF(H184&lt;=G184,"Departure must be after arrival",IF(OR(J184="",J184&lt;1),"Rooms must be at least 1",IF(D184="","Guest name missing",IF(COUNTIF($A$2:$A$251,A184)&gt;1,"Duplicate reservation ID",IF(AND(P184="Confirmed",G184&gt;=TODAY(),G184&lt;=TODAY()+'Setup &amp; Lists'!$B$12,Q184=""),"Assign room for near-term arrival",IF(AND(G184&lt;TODAY(),P184="Confirmed"),"Past-due confirmed arrival",IF(AND(G184&gt;TODAY(),P184="Confirmed",AC184&lt;AB184),"Deposit shortfall",IF(AND(H184&lt;TODAY(),AD184&gt;0,P184&lt;&gt;"Cancelled"),"Balance remains after departure",IF(R184&lt;0,"Nightly rate is negative",IF(AC184&gt;Z184,"Deposit paid exceeds total value",""))))))))))),"")</f>
        <v/>
      </c>
    </row>
    <row r="185">
      <c r="A185" s="25" t="n"/>
      <c r="B185" s="25" t="n"/>
      <c r="C185" s="50" t="n"/>
      <c r="D185" s="25" t="n"/>
      <c r="E185" s="25" t="n"/>
      <c r="F185" s="25" t="n"/>
      <c r="G185" s="50" t="n"/>
      <c r="H185" s="50" t="n"/>
      <c r="I185" s="27">
        <f>IFERROR(IF(A185="","",MAX(0,H185-G185)),"")</f>
        <v/>
      </c>
      <c r="J185" s="28" t="n"/>
      <c r="K185" s="28" t="n"/>
      <c r="L185" s="28" t="n"/>
      <c r="M185" s="25" t="n"/>
      <c r="N185" s="25" t="n"/>
      <c r="O185" s="25" t="n"/>
      <c r="P185" s="25" t="n"/>
      <c r="Q185" s="25" t="n"/>
      <c r="R185" s="51" t="n"/>
      <c r="S185" s="52" t="n"/>
      <c r="T185" s="51" t="n"/>
      <c r="U185" s="52" t="n"/>
      <c r="V185" s="52" t="n"/>
      <c r="W185" s="53">
        <f>IFERROR(IF(A185="","",ROUND(I185*J185*R185*(1-S185),2)),"")</f>
        <v/>
      </c>
      <c r="X185" s="53">
        <f>IFERROR(IF(A185="","",ROUND(W185*IF(V185="",'Setup &amp; Lists'!$B$7,V185),2)),"")</f>
        <v/>
      </c>
      <c r="Y185" s="53">
        <f>IFERROR(IF(A185="","",ROUND((W185+IF('Setup &amp; Lists'!$B$8="Yes",T185,0)+IF('Setup &amp; Lists'!$B$9="Yes",X185,0))*IF(U185="",'Setup &amp; Lists'!$B$6,U185),2)),"")</f>
        <v/>
      </c>
      <c r="Z185" s="53">
        <f>IFERROR(IF(A185="","",ROUND(W185+T185+X185+Y185,2)),"")</f>
        <v/>
      </c>
      <c r="AA185" s="51" t="n"/>
      <c r="AB185" s="53">
        <f>IFERROR(IF(A185="","",ROUND(IF(AA185&lt;&gt;"",AA185,Z185*'Setup &amp; Lists'!$B$10),2)),"")</f>
        <v/>
      </c>
      <c r="AC185" s="51" t="n"/>
      <c r="AD185" s="53">
        <f>IFERROR(IF(A185="","",MAX(0,ROUND(Z185-AC185,2))),"")</f>
        <v/>
      </c>
      <c r="AE185" s="32">
        <f>IFERROR(IF(A185="","",IF(AD185=0,"Paid",IF(AC185&gt;=AB185,"Deposit Met",IF(AC185&gt;0,"Partial Payment","Unpaid")))),"")</f>
        <v/>
      </c>
      <c r="AF185" s="54">
        <f>IFERROR(IF(OR(A185="",G185=""),"",G185-('Setup &amp; Lists'!$B$11/24)),"")</f>
        <v/>
      </c>
      <c r="AG185" s="25" t="n"/>
      <c r="AH185" s="25" t="n"/>
      <c r="AI185" s="50" t="n"/>
      <c r="AJ185" s="32">
        <f>IFERROR(IF(A185="","",IF(H185&lt;=G185,"Departure must be after arrival",IF(OR(J185="",J185&lt;1),"Rooms must be at least 1",IF(D185="","Guest name missing",IF(COUNTIF($A$2:$A$251,A185)&gt;1,"Duplicate reservation ID",IF(AND(P185="Confirmed",G185&gt;=TODAY(),G185&lt;=TODAY()+'Setup &amp; Lists'!$B$12,Q185=""),"Assign room for near-term arrival",IF(AND(G185&lt;TODAY(),P185="Confirmed"),"Past-due confirmed arrival",IF(AND(G185&gt;TODAY(),P185="Confirmed",AC185&lt;AB185),"Deposit shortfall",IF(AND(H185&lt;TODAY(),AD185&gt;0,P185&lt;&gt;"Cancelled"),"Balance remains after departure",IF(R185&lt;0,"Nightly rate is negative",IF(AC185&gt;Z185,"Deposit paid exceeds total value",""))))))))))),"")</f>
        <v/>
      </c>
    </row>
    <row r="186">
      <c r="A186" s="25" t="n"/>
      <c r="B186" s="25" t="n"/>
      <c r="C186" s="50" t="n"/>
      <c r="D186" s="25" t="n"/>
      <c r="E186" s="25" t="n"/>
      <c r="F186" s="25" t="n"/>
      <c r="G186" s="50" t="n"/>
      <c r="H186" s="50" t="n"/>
      <c r="I186" s="27">
        <f>IFERROR(IF(A186="","",MAX(0,H186-G186)),"")</f>
        <v/>
      </c>
      <c r="J186" s="28" t="n"/>
      <c r="K186" s="28" t="n"/>
      <c r="L186" s="28" t="n"/>
      <c r="M186" s="25" t="n"/>
      <c r="N186" s="25" t="n"/>
      <c r="O186" s="25" t="n"/>
      <c r="P186" s="25" t="n"/>
      <c r="Q186" s="25" t="n"/>
      <c r="R186" s="51" t="n"/>
      <c r="S186" s="52" t="n"/>
      <c r="T186" s="51" t="n"/>
      <c r="U186" s="52" t="n"/>
      <c r="V186" s="52" t="n"/>
      <c r="W186" s="53">
        <f>IFERROR(IF(A186="","",ROUND(I186*J186*R186*(1-S186),2)),"")</f>
        <v/>
      </c>
      <c r="X186" s="53">
        <f>IFERROR(IF(A186="","",ROUND(W186*IF(V186="",'Setup &amp; Lists'!$B$7,V186),2)),"")</f>
        <v/>
      </c>
      <c r="Y186" s="53">
        <f>IFERROR(IF(A186="","",ROUND((W186+IF('Setup &amp; Lists'!$B$8="Yes",T186,0)+IF('Setup &amp; Lists'!$B$9="Yes",X186,0))*IF(U186="",'Setup &amp; Lists'!$B$6,U186),2)),"")</f>
        <v/>
      </c>
      <c r="Z186" s="53">
        <f>IFERROR(IF(A186="","",ROUND(W186+T186+X186+Y186,2)),"")</f>
        <v/>
      </c>
      <c r="AA186" s="51" t="n"/>
      <c r="AB186" s="53">
        <f>IFERROR(IF(A186="","",ROUND(IF(AA186&lt;&gt;"",AA186,Z186*'Setup &amp; Lists'!$B$10),2)),"")</f>
        <v/>
      </c>
      <c r="AC186" s="51" t="n"/>
      <c r="AD186" s="53">
        <f>IFERROR(IF(A186="","",MAX(0,ROUND(Z186-AC186,2))),"")</f>
        <v/>
      </c>
      <c r="AE186" s="32">
        <f>IFERROR(IF(A186="","",IF(AD186=0,"Paid",IF(AC186&gt;=AB186,"Deposit Met",IF(AC186&gt;0,"Partial Payment","Unpaid")))),"")</f>
        <v/>
      </c>
      <c r="AF186" s="54">
        <f>IFERROR(IF(OR(A186="",G186=""),"",G186-('Setup &amp; Lists'!$B$11/24)),"")</f>
        <v/>
      </c>
      <c r="AG186" s="25" t="n"/>
      <c r="AH186" s="25" t="n"/>
      <c r="AI186" s="50" t="n"/>
      <c r="AJ186" s="32">
        <f>IFERROR(IF(A186="","",IF(H186&lt;=G186,"Departure must be after arrival",IF(OR(J186="",J186&lt;1),"Rooms must be at least 1",IF(D186="","Guest name missing",IF(COUNTIF($A$2:$A$251,A186)&gt;1,"Duplicate reservation ID",IF(AND(P186="Confirmed",G186&gt;=TODAY(),G186&lt;=TODAY()+'Setup &amp; Lists'!$B$12,Q186=""),"Assign room for near-term arrival",IF(AND(G186&lt;TODAY(),P186="Confirmed"),"Past-due confirmed arrival",IF(AND(G186&gt;TODAY(),P186="Confirmed",AC186&lt;AB186),"Deposit shortfall",IF(AND(H186&lt;TODAY(),AD186&gt;0,P186&lt;&gt;"Cancelled"),"Balance remains after departure",IF(R186&lt;0,"Nightly rate is negative",IF(AC186&gt;Z186,"Deposit paid exceeds total value",""))))))))))),"")</f>
        <v/>
      </c>
    </row>
    <row r="187">
      <c r="A187" s="25" t="n"/>
      <c r="B187" s="25" t="n"/>
      <c r="C187" s="50" t="n"/>
      <c r="D187" s="25" t="n"/>
      <c r="E187" s="25" t="n"/>
      <c r="F187" s="25" t="n"/>
      <c r="G187" s="50" t="n"/>
      <c r="H187" s="50" t="n"/>
      <c r="I187" s="27">
        <f>IFERROR(IF(A187="","",MAX(0,H187-G187)),"")</f>
        <v/>
      </c>
      <c r="J187" s="28" t="n"/>
      <c r="K187" s="28" t="n"/>
      <c r="L187" s="28" t="n"/>
      <c r="M187" s="25" t="n"/>
      <c r="N187" s="25" t="n"/>
      <c r="O187" s="25" t="n"/>
      <c r="P187" s="25" t="n"/>
      <c r="Q187" s="25" t="n"/>
      <c r="R187" s="51" t="n"/>
      <c r="S187" s="52" t="n"/>
      <c r="T187" s="51" t="n"/>
      <c r="U187" s="52" t="n"/>
      <c r="V187" s="52" t="n"/>
      <c r="W187" s="53">
        <f>IFERROR(IF(A187="","",ROUND(I187*J187*R187*(1-S187),2)),"")</f>
        <v/>
      </c>
      <c r="X187" s="53">
        <f>IFERROR(IF(A187="","",ROUND(W187*IF(V187="",'Setup &amp; Lists'!$B$7,V187),2)),"")</f>
        <v/>
      </c>
      <c r="Y187" s="53">
        <f>IFERROR(IF(A187="","",ROUND((W187+IF('Setup &amp; Lists'!$B$8="Yes",T187,0)+IF('Setup &amp; Lists'!$B$9="Yes",X187,0))*IF(U187="",'Setup &amp; Lists'!$B$6,U187),2)),"")</f>
        <v/>
      </c>
      <c r="Z187" s="53">
        <f>IFERROR(IF(A187="","",ROUND(W187+T187+X187+Y187,2)),"")</f>
        <v/>
      </c>
      <c r="AA187" s="51" t="n"/>
      <c r="AB187" s="53">
        <f>IFERROR(IF(A187="","",ROUND(IF(AA187&lt;&gt;"",AA187,Z187*'Setup &amp; Lists'!$B$10),2)),"")</f>
        <v/>
      </c>
      <c r="AC187" s="51" t="n"/>
      <c r="AD187" s="53">
        <f>IFERROR(IF(A187="","",MAX(0,ROUND(Z187-AC187,2))),"")</f>
        <v/>
      </c>
      <c r="AE187" s="32">
        <f>IFERROR(IF(A187="","",IF(AD187=0,"Paid",IF(AC187&gt;=AB187,"Deposit Met",IF(AC187&gt;0,"Partial Payment","Unpaid")))),"")</f>
        <v/>
      </c>
      <c r="AF187" s="54">
        <f>IFERROR(IF(OR(A187="",G187=""),"",G187-('Setup &amp; Lists'!$B$11/24)),"")</f>
        <v/>
      </c>
      <c r="AG187" s="25" t="n"/>
      <c r="AH187" s="25" t="n"/>
      <c r="AI187" s="50" t="n"/>
      <c r="AJ187" s="32">
        <f>IFERROR(IF(A187="","",IF(H187&lt;=G187,"Departure must be after arrival",IF(OR(J187="",J187&lt;1),"Rooms must be at least 1",IF(D187="","Guest name missing",IF(COUNTIF($A$2:$A$251,A187)&gt;1,"Duplicate reservation ID",IF(AND(P187="Confirmed",G187&gt;=TODAY(),G187&lt;=TODAY()+'Setup &amp; Lists'!$B$12,Q187=""),"Assign room for near-term arrival",IF(AND(G187&lt;TODAY(),P187="Confirmed"),"Past-due confirmed arrival",IF(AND(G187&gt;TODAY(),P187="Confirmed",AC187&lt;AB187),"Deposit shortfall",IF(AND(H187&lt;TODAY(),AD187&gt;0,P187&lt;&gt;"Cancelled"),"Balance remains after departure",IF(R187&lt;0,"Nightly rate is negative",IF(AC187&gt;Z187,"Deposit paid exceeds total value",""))))))))))),"")</f>
        <v/>
      </c>
    </row>
    <row r="188">
      <c r="A188" s="25" t="n"/>
      <c r="B188" s="25" t="n"/>
      <c r="C188" s="50" t="n"/>
      <c r="D188" s="25" t="n"/>
      <c r="E188" s="25" t="n"/>
      <c r="F188" s="25" t="n"/>
      <c r="G188" s="50" t="n"/>
      <c r="H188" s="50" t="n"/>
      <c r="I188" s="27">
        <f>IFERROR(IF(A188="","",MAX(0,H188-G188)),"")</f>
        <v/>
      </c>
      <c r="J188" s="28" t="n"/>
      <c r="K188" s="28" t="n"/>
      <c r="L188" s="28" t="n"/>
      <c r="M188" s="25" t="n"/>
      <c r="N188" s="25" t="n"/>
      <c r="O188" s="25" t="n"/>
      <c r="P188" s="25" t="n"/>
      <c r="Q188" s="25" t="n"/>
      <c r="R188" s="51" t="n"/>
      <c r="S188" s="52" t="n"/>
      <c r="T188" s="51" t="n"/>
      <c r="U188" s="52" t="n"/>
      <c r="V188" s="52" t="n"/>
      <c r="W188" s="53">
        <f>IFERROR(IF(A188="","",ROUND(I188*J188*R188*(1-S188),2)),"")</f>
        <v/>
      </c>
      <c r="X188" s="53">
        <f>IFERROR(IF(A188="","",ROUND(W188*IF(V188="",'Setup &amp; Lists'!$B$7,V188),2)),"")</f>
        <v/>
      </c>
      <c r="Y188" s="53">
        <f>IFERROR(IF(A188="","",ROUND((W188+IF('Setup &amp; Lists'!$B$8="Yes",T188,0)+IF('Setup &amp; Lists'!$B$9="Yes",X188,0))*IF(U188="",'Setup &amp; Lists'!$B$6,U188),2)),"")</f>
        <v/>
      </c>
      <c r="Z188" s="53">
        <f>IFERROR(IF(A188="","",ROUND(W188+T188+X188+Y188,2)),"")</f>
        <v/>
      </c>
      <c r="AA188" s="51" t="n"/>
      <c r="AB188" s="53">
        <f>IFERROR(IF(A188="","",ROUND(IF(AA188&lt;&gt;"",AA188,Z188*'Setup &amp; Lists'!$B$10),2)),"")</f>
        <v/>
      </c>
      <c r="AC188" s="51" t="n"/>
      <c r="AD188" s="53">
        <f>IFERROR(IF(A188="","",MAX(0,ROUND(Z188-AC188,2))),"")</f>
        <v/>
      </c>
      <c r="AE188" s="32">
        <f>IFERROR(IF(A188="","",IF(AD188=0,"Paid",IF(AC188&gt;=AB188,"Deposit Met",IF(AC188&gt;0,"Partial Payment","Unpaid")))),"")</f>
        <v/>
      </c>
      <c r="AF188" s="54">
        <f>IFERROR(IF(OR(A188="",G188=""),"",G188-('Setup &amp; Lists'!$B$11/24)),"")</f>
        <v/>
      </c>
      <c r="AG188" s="25" t="n"/>
      <c r="AH188" s="25" t="n"/>
      <c r="AI188" s="50" t="n"/>
      <c r="AJ188" s="32">
        <f>IFERROR(IF(A188="","",IF(H188&lt;=G188,"Departure must be after arrival",IF(OR(J188="",J188&lt;1),"Rooms must be at least 1",IF(D188="","Guest name missing",IF(COUNTIF($A$2:$A$251,A188)&gt;1,"Duplicate reservation ID",IF(AND(P188="Confirmed",G188&gt;=TODAY(),G188&lt;=TODAY()+'Setup &amp; Lists'!$B$12,Q188=""),"Assign room for near-term arrival",IF(AND(G188&lt;TODAY(),P188="Confirmed"),"Past-due confirmed arrival",IF(AND(G188&gt;TODAY(),P188="Confirmed",AC188&lt;AB188),"Deposit shortfall",IF(AND(H188&lt;TODAY(),AD188&gt;0,P188&lt;&gt;"Cancelled"),"Balance remains after departure",IF(R188&lt;0,"Nightly rate is negative",IF(AC188&gt;Z188,"Deposit paid exceeds total value",""))))))))))),"")</f>
        <v/>
      </c>
    </row>
    <row r="189">
      <c r="A189" s="25" t="n"/>
      <c r="B189" s="25" t="n"/>
      <c r="C189" s="50" t="n"/>
      <c r="D189" s="25" t="n"/>
      <c r="E189" s="25" t="n"/>
      <c r="F189" s="25" t="n"/>
      <c r="G189" s="50" t="n"/>
      <c r="H189" s="50" t="n"/>
      <c r="I189" s="27">
        <f>IFERROR(IF(A189="","",MAX(0,H189-G189)),"")</f>
        <v/>
      </c>
      <c r="J189" s="28" t="n"/>
      <c r="K189" s="28" t="n"/>
      <c r="L189" s="28" t="n"/>
      <c r="M189" s="25" t="n"/>
      <c r="N189" s="25" t="n"/>
      <c r="O189" s="25" t="n"/>
      <c r="P189" s="25" t="n"/>
      <c r="Q189" s="25" t="n"/>
      <c r="R189" s="51" t="n"/>
      <c r="S189" s="52" t="n"/>
      <c r="T189" s="51" t="n"/>
      <c r="U189" s="52" t="n"/>
      <c r="V189" s="52" t="n"/>
      <c r="W189" s="53">
        <f>IFERROR(IF(A189="","",ROUND(I189*J189*R189*(1-S189),2)),"")</f>
        <v/>
      </c>
      <c r="X189" s="53">
        <f>IFERROR(IF(A189="","",ROUND(W189*IF(V189="",'Setup &amp; Lists'!$B$7,V189),2)),"")</f>
        <v/>
      </c>
      <c r="Y189" s="53">
        <f>IFERROR(IF(A189="","",ROUND((W189+IF('Setup &amp; Lists'!$B$8="Yes",T189,0)+IF('Setup &amp; Lists'!$B$9="Yes",X189,0))*IF(U189="",'Setup &amp; Lists'!$B$6,U189),2)),"")</f>
        <v/>
      </c>
      <c r="Z189" s="53">
        <f>IFERROR(IF(A189="","",ROUND(W189+T189+X189+Y189,2)),"")</f>
        <v/>
      </c>
      <c r="AA189" s="51" t="n"/>
      <c r="AB189" s="53">
        <f>IFERROR(IF(A189="","",ROUND(IF(AA189&lt;&gt;"",AA189,Z189*'Setup &amp; Lists'!$B$10),2)),"")</f>
        <v/>
      </c>
      <c r="AC189" s="51" t="n"/>
      <c r="AD189" s="53">
        <f>IFERROR(IF(A189="","",MAX(0,ROUND(Z189-AC189,2))),"")</f>
        <v/>
      </c>
      <c r="AE189" s="32">
        <f>IFERROR(IF(A189="","",IF(AD189=0,"Paid",IF(AC189&gt;=AB189,"Deposit Met",IF(AC189&gt;0,"Partial Payment","Unpaid")))),"")</f>
        <v/>
      </c>
      <c r="AF189" s="54">
        <f>IFERROR(IF(OR(A189="",G189=""),"",G189-('Setup &amp; Lists'!$B$11/24)),"")</f>
        <v/>
      </c>
      <c r="AG189" s="25" t="n"/>
      <c r="AH189" s="25" t="n"/>
      <c r="AI189" s="50" t="n"/>
      <c r="AJ189" s="32">
        <f>IFERROR(IF(A189="","",IF(H189&lt;=G189,"Departure must be after arrival",IF(OR(J189="",J189&lt;1),"Rooms must be at least 1",IF(D189="","Guest name missing",IF(COUNTIF($A$2:$A$251,A189)&gt;1,"Duplicate reservation ID",IF(AND(P189="Confirmed",G189&gt;=TODAY(),G189&lt;=TODAY()+'Setup &amp; Lists'!$B$12,Q189=""),"Assign room for near-term arrival",IF(AND(G189&lt;TODAY(),P189="Confirmed"),"Past-due confirmed arrival",IF(AND(G189&gt;TODAY(),P189="Confirmed",AC189&lt;AB189),"Deposit shortfall",IF(AND(H189&lt;TODAY(),AD189&gt;0,P189&lt;&gt;"Cancelled"),"Balance remains after departure",IF(R189&lt;0,"Nightly rate is negative",IF(AC189&gt;Z189,"Deposit paid exceeds total value",""))))))))))),"")</f>
        <v/>
      </c>
    </row>
    <row r="190">
      <c r="A190" s="25" t="n"/>
      <c r="B190" s="25" t="n"/>
      <c r="C190" s="50" t="n"/>
      <c r="D190" s="25" t="n"/>
      <c r="E190" s="25" t="n"/>
      <c r="F190" s="25" t="n"/>
      <c r="G190" s="50" t="n"/>
      <c r="H190" s="50" t="n"/>
      <c r="I190" s="27">
        <f>IFERROR(IF(A190="","",MAX(0,H190-G190)),"")</f>
        <v/>
      </c>
      <c r="J190" s="28" t="n"/>
      <c r="K190" s="28" t="n"/>
      <c r="L190" s="28" t="n"/>
      <c r="M190" s="25" t="n"/>
      <c r="N190" s="25" t="n"/>
      <c r="O190" s="25" t="n"/>
      <c r="P190" s="25" t="n"/>
      <c r="Q190" s="25" t="n"/>
      <c r="R190" s="51" t="n"/>
      <c r="S190" s="52" t="n"/>
      <c r="T190" s="51" t="n"/>
      <c r="U190" s="52" t="n"/>
      <c r="V190" s="52" t="n"/>
      <c r="W190" s="53">
        <f>IFERROR(IF(A190="","",ROUND(I190*J190*R190*(1-S190),2)),"")</f>
        <v/>
      </c>
      <c r="X190" s="53">
        <f>IFERROR(IF(A190="","",ROUND(W190*IF(V190="",'Setup &amp; Lists'!$B$7,V190),2)),"")</f>
        <v/>
      </c>
      <c r="Y190" s="53">
        <f>IFERROR(IF(A190="","",ROUND((W190+IF('Setup &amp; Lists'!$B$8="Yes",T190,0)+IF('Setup &amp; Lists'!$B$9="Yes",X190,0))*IF(U190="",'Setup &amp; Lists'!$B$6,U190),2)),"")</f>
        <v/>
      </c>
      <c r="Z190" s="53">
        <f>IFERROR(IF(A190="","",ROUND(W190+T190+X190+Y190,2)),"")</f>
        <v/>
      </c>
      <c r="AA190" s="51" t="n"/>
      <c r="AB190" s="53">
        <f>IFERROR(IF(A190="","",ROUND(IF(AA190&lt;&gt;"",AA190,Z190*'Setup &amp; Lists'!$B$10),2)),"")</f>
        <v/>
      </c>
      <c r="AC190" s="51" t="n"/>
      <c r="AD190" s="53">
        <f>IFERROR(IF(A190="","",MAX(0,ROUND(Z190-AC190,2))),"")</f>
        <v/>
      </c>
      <c r="AE190" s="32">
        <f>IFERROR(IF(A190="","",IF(AD190=0,"Paid",IF(AC190&gt;=AB190,"Deposit Met",IF(AC190&gt;0,"Partial Payment","Unpaid")))),"")</f>
        <v/>
      </c>
      <c r="AF190" s="54">
        <f>IFERROR(IF(OR(A190="",G190=""),"",G190-('Setup &amp; Lists'!$B$11/24)),"")</f>
        <v/>
      </c>
      <c r="AG190" s="25" t="n"/>
      <c r="AH190" s="25" t="n"/>
      <c r="AI190" s="50" t="n"/>
      <c r="AJ190" s="32">
        <f>IFERROR(IF(A190="","",IF(H190&lt;=G190,"Departure must be after arrival",IF(OR(J190="",J190&lt;1),"Rooms must be at least 1",IF(D190="","Guest name missing",IF(COUNTIF($A$2:$A$251,A190)&gt;1,"Duplicate reservation ID",IF(AND(P190="Confirmed",G190&gt;=TODAY(),G190&lt;=TODAY()+'Setup &amp; Lists'!$B$12,Q190=""),"Assign room for near-term arrival",IF(AND(G190&lt;TODAY(),P190="Confirmed"),"Past-due confirmed arrival",IF(AND(G190&gt;TODAY(),P190="Confirmed",AC190&lt;AB190),"Deposit shortfall",IF(AND(H190&lt;TODAY(),AD190&gt;0,P190&lt;&gt;"Cancelled"),"Balance remains after departure",IF(R190&lt;0,"Nightly rate is negative",IF(AC190&gt;Z190,"Deposit paid exceeds total value",""))))))))))),"")</f>
        <v/>
      </c>
    </row>
    <row r="191">
      <c r="A191" s="25" t="n"/>
      <c r="B191" s="25" t="n"/>
      <c r="C191" s="50" t="n"/>
      <c r="D191" s="25" t="n"/>
      <c r="E191" s="25" t="n"/>
      <c r="F191" s="25" t="n"/>
      <c r="G191" s="50" t="n"/>
      <c r="H191" s="50" t="n"/>
      <c r="I191" s="27">
        <f>IFERROR(IF(A191="","",MAX(0,H191-G191)),"")</f>
        <v/>
      </c>
      <c r="J191" s="28" t="n"/>
      <c r="K191" s="28" t="n"/>
      <c r="L191" s="28" t="n"/>
      <c r="M191" s="25" t="n"/>
      <c r="N191" s="25" t="n"/>
      <c r="O191" s="25" t="n"/>
      <c r="P191" s="25" t="n"/>
      <c r="Q191" s="25" t="n"/>
      <c r="R191" s="51" t="n"/>
      <c r="S191" s="52" t="n"/>
      <c r="T191" s="51" t="n"/>
      <c r="U191" s="52" t="n"/>
      <c r="V191" s="52" t="n"/>
      <c r="W191" s="53">
        <f>IFERROR(IF(A191="","",ROUND(I191*J191*R191*(1-S191),2)),"")</f>
        <v/>
      </c>
      <c r="X191" s="53">
        <f>IFERROR(IF(A191="","",ROUND(W191*IF(V191="",'Setup &amp; Lists'!$B$7,V191),2)),"")</f>
        <v/>
      </c>
      <c r="Y191" s="53">
        <f>IFERROR(IF(A191="","",ROUND((W191+IF('Setup &amp; Lists'!$B$8="Yes",T191,0)+IF('Setup &amp; Lists'!$B$9="Yes",X191,0))*IF(U191="",'Setup &amp; Lists'!$B$6,U191),2)),"")</f>
        <v/>
      </c>
      <c r="Z191" s="53">
        <f>IFERROR(IF(A191="","",ROUND(W191+T191+X191+Y191,2)),"")</f>
        <v/>
      </c>
      <c r="AA191" s="51" t="n"/>
      <c r="AB191" s="53">
        <f>IFERROR(IF(A191="","",ROUND(IF(AA191&lt;&gt;"",AA191,Z191*'Setup &amp; Lists'!$B$10),2)),"")</f>
        <v/>
      </c>
      <c r="AC191" s="51" t="n"/>
      <c r="AD191" s="53">
        <f>IFERROR(IF(A191="","",MAX(0,ROUND(Z191-AC191,2))),"")</f>
        <v/>
      </c>
      <c r="AE191" s="32">
        <f>IFERROR(IF(A191="","",IF(AD191=0,"Paid",IF(AC191&gt;=AB191,"Deposit Met",IF(AC191&gt;0,"Partial Payment","Unpaid")))),"")</f>
        <v/>
      </c>
      <c r="AF191" s="54">
        <f>IFERROR(IF(OR(A191="",G191=""),"",G191-('Setup &amp; Lists'!$B$11/24)),"")</f>
        <v/>
      </c>
      <c r="AG191" s="25" t="n"/>
      <c r="AH191" s="25" t="n"/>
      <c r="AI191" s="50" t="n"/>
      <c r="AJ191" s="32">
        <f>IFERROR(IF(A191="","",IF(H191&lt;=G191,"Departure must be after arrival",IF(OR(J191="",J191&lt;1),"Rooms must be at least 1",IF(D191="","Guest name missing",IF(COUNTIF($A$2:$A$251,A191)&gt;1,"Duplicate reservation ID",IF(AND(P191="Confirmed",G191&gt;=TODAY(),G191&lt;=TODAY()+'Setup &amp; Lists'!$B$12,Q191=""),"Assign room for near-term arrival",IF(AND(G191&lt;TODAY(),P191="Confirmed"),"Past-due confirmed arrival",IF(AND(G191&gt;TODAY(),P191="Confirmed",AC191&lt;AB191),"Deposit shortfall",IF(AND(H191&lt;TODAY(),AD191&gt;0,P191&lt;&gt;"Cancelled"),"Balance remains after departure",IF(R191&lt;0,"Nightly rate is negative",IF(AC191&gt;Z191,"Deposit paid exceeds total value",""))))))))))),"")</f>
        <v/>
      </c>
    </row>
    <row r="192">
      <c r="A192" s="25" t="n"/>
      <c r="B192" s="25" t="n"/>
      <c r="C192" s="50" t="n"/>
      <c r="D192" s="25" t="n"/>
      <c r="E192" s="25" t="n"/>
      <c r="F192" s="25" t="n"/>
      <c r="G192" s="50" t="n"/>
      <c r="H192" s="50" t="n"/>
      <c r="I192" s="27">
        <f>IFERROR(IF(A192="","",MAX(0,H192-G192)),"")</f>
        <v/>
      </c>
      <c r="J192" s="28" t="n"/>
      <c r="K192" s="28" t="n"/>
      <c r="L192" s="28" t="n"/>
      <c r="M192" s="25" t="n"/>
      <c r="N192" s="25" t="n"/>
      <c r="O192" s="25" t="n"/>
      <c r="P192" s="25" t="n"/>
      <c r="Q192" s="25" t="n"/>
      <c r="R192" s="51" t="n"/>
      <c r="S192" s="52" t="n"/>
      <c r="T192" s="51" t="n"/>
      <c r="U192" s="52" t="n"/>
      <c r="V192" s="52" t="n"/>
      <c r="W192" s="53">
        <f>IFERROR(IF(A192="","",ROUND(I192*J192*R192*(1-S192),2)),"")</f>
        <v/>
      </c>
      <c r="X192" s="53">
        <f>IFERROR(IF(A192="","",ROUND(W192*IF(V192="",'Setup &amp; Lists'!$B$7,V192),2)),"")</f>
        <v/>
      </c>
      <c r="Y192" s="53">
        <f>IFERROR(IF(A192="","",ROUND((W192+IF('Setup &amp; Lists'!$B$8="Yes",T192,0)+IF('Setup &amp; Lists'!$B$9="Yes",X192,0))*IF(U192="",'Setup &amp; Lists'!$B$6,U192),2)),"")</f>
        <v/>
      </c>
      <c r="Z192" s="53">
        <f>IFERROR(IF(A192="","",ROUND(W192+T192+X192+Y192,2)),"")</f>
        <v/>
      </c>
      <c r="AA192" s="51" t="n"/>
      <c r="AB192" s="53">
        <f>IFERROR(IF(A192="","",ROUND(IF(AA192&lt;&gt;"",AA192,Z192*'Setup &amp; Lists'!$B$10),2)),"")</f>
        <v/>
      </c>
      <c r="AC192" s="51" t="n"/>
      <c r="AD192" s="53">
        <f>IFERROR(IF(A192="","",MAX(0,ROUND(Z192-AC192,2))),"")</f>
        <v/>
      </c>
      <c r="AE192" s="32">
        <f>IFERROR(IF(A192="","",IF(AD192=0,"Paid",IF(AC192&gt;=AB192,"Deposit Met",IF(AC192&gt;0,"Partial Payment","Unpaid")))),"")</f>
        <v/>
      </c>
      <c r="AF192" s="54">
        <f>IFERROR(IF(OR(A192="",G192=""),"",G192-('Setup &amp; Lists'!$B$11/24)),"")</f>
        <v/>
      </c>
      <c r="AG192" s="25" t="n"/>
      <c r="AH192" s="25" t="n"/>
      <c r="AI192" s="50" t="n"/>
      <c r="AJ192" s="32">
        <f>IFERROR(IF(A192="","",IF(H192&lt;=G192,"Departure must be after arrival",IF(OR(J192="",J192&lt;1),"Rooms must be at least 1",IF(D192="","Guest name missing",IF(COUNTIF($A$2:$A$251,A192)&gt;1,"Duplicate reservation ID",IF(AND(P192="Confirmed",G192&gt;=TODAY(),G192&lt;=TODAY()+'Setup &amp; Lists'!$B$12,Q192=""),"Assign room for near-term arrival",IF(AND(G192&lt;TODAY(),P192="Confirmed"),"Past-due confirmed arrival",IF(AND(G192&gt;TODAY(),P192="Confirmed",AC192&lt;AB192),"Deposit shortfall",IF(AND(H192&lt;TODAY(),AD192&gt;0,P192&lt;&gt;"Cancelled"),"Balance remains after departure",IF(R192&lt;0,"Nightly rate is negative",IF(AC192&gt;Z192,"Deposit paid exceeds total value",""))))))))))),"")</f>
        <v/>
      </c>
    </row>
    <row r="193">
      <c r="A193" s="25" t="n"/>
      <c r="B193" s="25" t="n"/>
      <c r="C193" s="50" t="n"/>
      <c r="D193" s="25" t="n"/>
      <c r="E193" s="25" t="n"/>
      <c r="F193" s="25" t="n"/>
      <c r="G193" s="50" t="n"/>
      <c r="H193" s="50" t="n"/>
      <c r="I193" s="27">
        <f>IFERROR(IF(A193="","",MAX(0,H193-G193)),"")</f>
        <v/>
      </c>
      <c r="J193" s="28" t="n"/>
      <c r="K193" s="28" t="n"/>
      <c r="L193" s="28" t="n"/>
      <c r="M193" s="25" t="n"/>
      <c r="N193" s="25" t="n"/>
      <c r="O193" s="25" t="n"/>
      <c r="P193" s="25" t="n"/>
      <c r="Q193" s="25" t="n"/>
      <c r="R193" s="51" t="n"/>
      <c r="S193" s="52" t="n"/>
      <c r="T193" s="51" t="n"/>
      <c r="U193" s="52" t="n"/>
      <c r="V193" s="52" t="n"/>
      <c r="W193" s="53">
        <f>IFERROR(IF(A193="","",ROUND(I193*J193*R193*(1-S193),2)),"")</f>
        <v/>
      </c>
      <c r="X193" s="53">
        <f>IFERROR(IF(A193="","",ROUND(W193*IF(V193="",'Setup &amp; Lists'!$B$7,V193),2)),"")</f>
        <v/>
      </c>
      <c r="Y193" s="53">
        <f>IFERROR(IF(A193="","",ROUND((W193+IF('Setup &amp; Lists'!$B$8="Yes",T193,0)+IF('Setup &amp; Lists'!$B$9="Yes",X193,0))*IF(U193="",'Setup &amp; Lists'!$B$6,U193),2)),"")</f>
        <v/>
      </c>
      <c r="Z193" s="53">
        <f>IFERROR(IF(A193="","",ROUND(W193+T193+X193+Y193,2)),"")</f>
        <v/>
      </c>
      <c r="AA193" s="51" t="n"/>
      <c r="AB193" s="53">
        <f>IFERROR(IF(A193="","",ROUND(IF(AA193&lt;&gt;"",AA193,Z193*'Setup &amp; Lists'!$B$10),2)),"")</f>
        <v/>
      </c>
      <c r="AC193" s="51" t="n"/>
      <c r="AD193" s="53">
        <f>IFERROR(IF(A193="","",MAX(0,ROUND(Z193-AC193,2))),"")</f>
        <v/>
      </c>
      <c r="AE193" s="32">
        <f>IFERROR(IF(A193="","",IF(AD193=0,"Paid",IF(AC193&gt;=AB193,"Deposit Met",IF(AC193&gt;0,"Partial Payment","Unpaid")))),"")</f>
        <v/>
      </c>
      <c r="AF193" s="54">
        <f>IFERROR(IF(OR(A193="",G193=""),"",G193-('Setup &amp; Lists'!$B$11/24)),"")</f>
        <v/>
      </c>
      <c r="AG193" s="25" t="n"/>
      <c r="AH193" s="25" t="n"/>
      <c r="AI193" s="50" t="n"/>
      <c r="AJ193" s="32">
        <f>IFERROR(IF(A193="","",IF(H193&lt;=G193,"Departure must be after arrival",IF(OR(J193="",J193&lt;1),"Rooms must be at least 1",IF(D193="","Guest name missing",IF(COUNTIF($A$2:$A$251,A193)&gt;1,"Duplicate reservation ID",IF(AND(P193="Confirmed",G193&gt;=TODAY(),G193&lt;=TODAY()+'Setup &amp; Lists'!$B$12,Q193=""),"Assign room for near-term arrival",IF(AND(G193&lt;TODAY(),P193="Confirmed"),"Past-due confirmed arrival",IF(AND(G193&gt;TODAY(),P193="Confirmed",AC193&lt;AB193),"Deposit shortfall",IF(AND(H193&lt;TODAY(),AD193&gt;0,P193&lt;&gt;"Cancelled"),"Balance remains after departure",IF(R193&lt;0,"Nightly rate is negative",IF(AC193&gt;Z193,"Deposit paid exceeds total value",""))))))))))),"")</f>
        <v/>
      </c>
    </row>
    <row r="194">
      <c r="A194" s="25" t="n"/>
      <c r="B194" s="25" t="n"/>
      <c r="C194" s="50" t="n"/>
      <c r="D194" s="25" t="n"/>
      <c r="E194" s="25" t="n"/>
      <c r="F194" s="25" t="n"/>
      <c r="G194" s="50" t="n"/>
      <c r="H194" s="50" t="n"/>
      <c r="I194" s="27">
        <f>IFERROR(IF(A194="","",MAX(0,H194-G194)),"")</f>
        <v/>
      </c>
      <c r="J194" s="28" t="n"/>
      <c r="K194" s="28" t="n"/>
      <c r="L194" s="28" t="n"/>
      <c r="M194" s="25" t="n"/>
      <c r="N194" s="25" t="n"/>
      <c r="O194" s="25" t="n"/>
      <c r="P194" s="25" t="n"/>
      <c r="Q194" s="25" t="n"/>
      <c r="R194" s="51" t="n"/>
      <c r="S194" s="52" t="n"/>
      <c r="T194" s="51" t="n"/>
      <c r="U194" s="52" t="n"/>
      <c r="V194" s="52" t="n"/>
      <c r="W194" s="53">
        <f>IFERROR(IF(A194="","",ROUND(I194*J194*R194*(1-S194),2)),"")</f>
        <v/>
      </c>
      <c r="X194" s="53">
        <f>IFERROR(IF(A194="","",ROUND(W194*IF(V194="",'Setup &amp; Lists'!$B$7,V194),2)),"")</f>
        <v/>
      </c>
      <c r="Y194" s="53">
        <f>IFERROR(IF(A194="","",ROUND((W194+IF('Setup &amp; Lists'!$B$8="Yes",T194,0)+IF('Setup &amp; Lists'!$B$9="Yes",X194,0))*IF(U194="",'Setup &amp; Lists'!$B$6,U194),2)),"")</f>
        <v/>
      </c>
      <c r="Z194" s="53">
        <f>IFERROR(IF(A194="","",ROUND(W194+T194+X194+Y194,2)),"")</f>
        <v/>
      </c>
      <c r="AA194" s="51" t="n"/>
      <c r="AB194" s="53">
        <f>IFERROR(IF(A194="","",ROUND(IF(AA194&lt;&gt;"",AA194,Z194*'Setup &amp; Lists'!$B$10),2)),"")</f>
        <v/>
      </c>
      <c r="AC194" s="51" t="n"/>
      <c r="AD194" s="53">
        <f>IFERROR(IF(A194="","",MAX(0,ROUND(Z194-AC194,2))),"")</f>
        <v/>
      </c>
      <c r="AE194" s="32">
        <f>IFERROR(IF(A194="","",IF(AD194=0,"Paid",IF(AC194&gt;=AB194,"Deposit Met",IF(AC194&gt;0,"Partial Payment","Unpaid")))),"")</f>
        <v/>
      </c>
      <c r="AF194" s="54">
        <f>IFERROR(IF(OR(A194="",G194=""),"",G194-('Setup &amp; Lists'!$B$11/24)),"")</f>
        <v/>
      </c>
      <c r="AG194" s="25" t="n"/>
      <c r="AH194" s="25" t="n"/>
      <c r="AI194" s="50" t="n"/>
      <c r="AJ194" s="32">
        <f>IFERROR(IF(A194="","",IF(H194&lt;=G194,"Departure must be after arrival",IF(OR(J194="",J194&lt;1),"Rooms must be at least 1",IF(D194="","Guest name missing",IF(COUNTIF($A$2:$A$251,A194)&gt;1,"Duplicate reservation ID",IF(AND(P194="Confirmed",G194&gt;=TODAY(),G194&lt;=TODAY()+'Setup &amp; Lists'!$B$12,Q194=""),"Assign room for near-term arrival",IF(AND(G194&lt;TODAY(),P194="Confirmed"),"Past-due confirmed arrival",IF(AND(G194&gt;TODAY(),P194="Confirmed",AC194&lt;AB194),"Deposit shortfall",IF(AND(H194&lt;TODAY(),AD194&gt;0,P194&lt;&gt;"Cancelled"),"Balance remains after departure",IF(R194&lt;0,"Nightly rate is negative",IF(AC194&gt;Z194,"Deposit paid exceeds total value",""))))))))))),"")</f>
        <v/>
      </c>
    </row>
    <row r="195">
      <c r="A195" s="25" t="n"/>
      <c r="B195" s="25" t="n"/>
      <c r="C195" s="50" t="n"/>
      <c r="D195" s="25" t="n"/>
      <c r="E195" s="25" t="n"/>
      <c r="F195" s="25" t="n"/>
      <c r="G195" s="50" t="n"/>
      <c r="H195" s="50" t="n"/>
      <c r="I195" s="27">
        <f>IFERROR(IF(A195="","",MAX(0,H195-G195)),"")</f>
        <v/>
      </c>
      <c r="J195" s="28" t="n"/>
      <c r="K195" s="28" t="n"/>
      <c r="L195" s="28" t="n"/>
      <c r="M195" s="25" t="n"/>
      <c r="N195" s="25" t="n"/>
      <c r="O195" s="25" t="n"/>
      <c r="P195" s="25" t="n"/>
      <c r="Q195" s="25" t="n"/>
      <c r="R195" s="51" t="n"/>
      <c r="S195" s="52" t="n"/>
      <c r="T195" s="51" t="n"/>
      <c r="U195" s="52" t="n"/>
      <c r="V195" s="52" t="n"/>
      <c r="W195" s="53">
        <f>IFERROR(IF(A195="","",ROUND(I195*J195*R195*(1-S195),2)),"")</f>
        <v/>
      </c>
      <c r="X195" s="53">
        <f>IFERROR(IF(A195="","",ROUND(W195*IF(V195="",'Setup &amp; Lists'!$B$7,V195),2)),"")</f>
        <v/>
      </c>
      <c r="Y195" s="53">
        <f>IFERROR(IF(A195="","",ROUND((W195+IF('Setup &amp; Lists'!$B$8="Yes",T195,0)+IF('Setup &amp; Lists'!$B$9="Yes",X195,0))*IF(U195="",'Setup &amp; Lists'!$B$6,U195),2)),"")</f>
        <v/>
      </c>
      <c r="Z195" s="53">
        <f>IFERROR(IF(A195="","",ROUND(W195+T195+X195+Y195,2)),"")</f>
        <v/>
      </c>
      <c r="AA195" s="51" t="n"/>
      <c r="AB195" s="53">
        <f>IFERROR(IF(A195="","",ROUND(IF(AA195&lt;&gt;"",AA195,Z195*'Setup &amp; Lists'!$B$10),2)),"")</f>
        <v/>
      </c>
      <c r="AC195" s="51" t="n"/>
      <c r="AD195" s="53">
        <f>IFERROR(IF(A195="","",MAX(0,ROUND(Z195-AC195,2))),"")</f>
        <v/>
      </c>
      <c r="AE195" s="32">
        <f>IFERROR(IF(A195="","",IF(AD195=0,"Paid",IF(AC195&gt;=AB195,"Deposit Met",IF(AC195&gt;0,"Partial Payment","Unpaid")))),"")</f>
        <v/>
      </c>
      <c r="AF195" s="54">
        <f>IFERROR(IF(OR(A195="",G195=""),"",G195-('Setup &amp; Lists'!$B$11/24)),"")</f>
        <v/>
      </c>
      <c r="AG195" s="25" t="n"/>
      <c r="AH195" s="25" t="n"/>
      <c r="AI195" s="50" t="n"/>
      <c r="AJ195" s="32">
        <f>IFERROR(IF(A195="","",IF(H195&lt;=G195,"Departure must be after arrival",IF(OR(J195="",J195&lt;1),"Rooms must be at least 1",IF(D195="","Guest name missing",IF(COUNTIF($A$2:$A$251,A195)&gt;1,"Duplicate reservation ID",IF(AND(P195="Confirmed",G195&gt;=TODAY(),G195&lt;=TODAY()+'Setup &amp; Lists'!$B$12,Q195=""),"Assign room for near-term arrival",IF(AND(G195&lt;TODAY(),P195="Confirmed"),"Past-due confirmed arrival",IF(AND(G195&gt;TODAY(),P195="Confirmed",AC195&lt;AB195),"Deposit shortfall",IF(AND(H195&lt;TODAY(),AD195&gt;0,P195&lt;&gt;"Cancelled"),"Balance remains after departure",IF(R195&lt;0,"Nightly rate is negative",IF(AC195&gt;Z195,"Deposit paid exceeds total value",""))))))))))),"")</f>
        <v/>
      </c>
    </row>
    <row r="196">
      <c r="A196" s="25" t="n"/>
      <c r="B196" s="25" t="n"/>
      <c r="C196" s="50" t="n"/>
      <c r="D196" s="25" t="n"/>
      <c r="E196" s="25" t="n"/>
      <c r="F196" s="25" t="n"/>
      <c r="G196" s="50" t="n"/>
      <c r="H196" s="50" t="n"/>
      <c r="I196" s="27">
        <f>IFERROR(IF(A196="","",MAX(0,H196-G196)),"")</f>
        <v/>
      </c>
      <c r="J196" s="28" t="n"/>
      <c r="K196" s="28" t="n"/>
      <c r="L196" s="28" t="n"/>
      <c r="M196" s="25" t="n"/>
      <c r="N196" s="25" t="n"/>
      <c r="O196" s="25" t="n"/>
      <c r="P196" s="25" t="n"/>
      <c r="Q196" s="25" t="n"/>
      <c r="R196" s="51" t="n"/>
      <c r="S196" s="52" t="n"/>
      <c r="T196" s="51" t="n"/>
      <c r="U196" s="52" t="n"/>
      <c r="V196" s="52" t="n"/>
      <c r="W196" s="53">
        <f>IFERROR(IF(A196="","",ROUND(I196*J196*R196*(1-S196),2)),"")</f>
        <v/>
      </c>
      <c r="X196" s="53">
        <f>IFERROR(IF(A196="","",ROUND(W196*IF(V196="",'Setup &amp; Lists'!$B$7,V196),2)),"")</f>
        <v/>
      </c>
      <c r="Y196" s="53">
        <f>IFERROR(IF(A196="","",ROUND((W196+IF('Setup &amp; Lists'!$B$8="Yes",T196,0)+IF('Setup &amp; Lists'!$B$9="Yes",X196,0))*IF(U196="",'Setup &amp; Lists'!$B$6,U196),2)),"")</f>
        <v/>
      </c>
      <c r="Z196" s="53">
        <f>IFERROR(IF(A196="","",ROUND(W196+T196+X196+Y196,2)),"")</f>
        <v/>
      </c>
      <c r="AA196" s="51" t="n"/>
      <c r="AB196" s="53">
        <f>IFERROR(IF(A196="","",ROUND(IF(AA196&lt;&gt;"",AA196,Z196*'Setup &amp; Lists'!$B$10),2)),"")</f>
        <v/>
      </c>
      <c r="AC196" s="51" t="n"/>
      <c r="AD196" s="53">
        <f>IFERROR(IF(A196="","",MAX(0,ROUND(Z196-AC196,2))),"")</f>
        <v/>
      </c>
      <c r="AE196" s="32">
        <f>IFERROR(IF(A196="","",IF(AD196=0,"Paid",IF(AC196&gt;=AB196,"Deposit Met",IF(AC196&gt;0,"Partial Payment","Unpaid")))),"")</f>
        <v/>
      </c>
      <c r="AF196" s="54">
        <f>IFERROR(IF(OR(A196="",G196=""),"",G196-('Setup &amp; Lists'!$B$11/24)),"")</f>
        <v/>
      </c>
      <c r="AG196" s="25" t="n"/>
      <c r="AH196" s="25" t="n"/>
      <c r="AI196" s="50" t="n"/>
      <c r="AJ196" s="32">
        <f>IFERROR(IF(A196="","",IF(H196&lt;=G196,"Departure must be after arrival",IF(OR(J196="",J196&lt;1),"Rooms must be at least 1",IF(D196="","Guest name missing",IF(COUNTIF($A$2:$A$251,A196)&gt;1,"Duplicate reservation ID",IF(AND(P196="Confirmed",G196&gt;=TODAY(),G196&lt;=TODAY()+'Setup &amp; Lists'!$B$12,Q196=""),"Assign room for near-term arrival",IF(AND(G196&lt;TODAY(),P196="Confirmed"),"Past-due confirmed arrival",IF(AND(G196&gt;TODAY(),P196="Confirmed",AC196&lt;AB196),"Deposit shortfall",IF(AND(H196&lt;TODAY(),AD196&gt;0,P196&lt;&gt;"Cancelled"),"Balance remains after departure",IF(R196&lt;0,"Nightly rate is negative",IF(AC196&gt;Z196,"Deposit paid exceeds total value",""))))))))))),"")</f>
        <v/>
      </c>
    </row>
    <row r="197">
      <c r="A197" s="25" t="n"/>
      <c r="B197" s="25" t="n"/>
      <c r="C197" s="50" t="n"/>
      <c r="D197" s="25" t="n"/>
      <c r="E197" s="25" t="n"/>
      <c r="F197" s="25" t="n"/>
      <c r="G197" s="50" t="n"/>
      <c r="H197" s="50" t="n"/>
      <c r="I197" s="27">
        <f>IFERROR(IF(A197="","",MAX(0,H197-G197)),"")</f>
        <v/>
      </c>
      <c r="J197" s="28" t="n"/>
      <c r="K197" s="28" t="n"/>
      <c r="L197" s="28" t="n"/>
      <c r="M197" s="25" t="n"/>
      <c r="N197" s="25" t="n"/>
      <c r="O197" s="25" t="n"/>
      <c r="P197" s="25" t="n"/>
      <c r="Q197" s="25" t="n"/>
      <c r="R197" s="51" t="n"/>
      <c r="S197" s="52" t="n"/>
      <c r="T197" s="51" t="n"/>
      <c r="U197" s="52" t="n"/>
      <c r="V197" s="52" t="n"/>
      <c r="W197" s="53">
        <f>IFERROR(IF(A197="","",ROUND(I197*J197*R197*(1-S197),2)),"")</f>
        <v/>
      </c>
      <c r="X197" s="53">
        <f>IFERROR(IF(A197="","",ROUND(W197*IF(V197="",'Setup &amp; Lists'!$B$7,V197),2)),"")</f>
        <v/>
      </c>
      <c r="Y197" s="53">
        <f>IFERROR(IF(A197="","",ROUND((W197+IF('Setup &amp; Lists'!$B$8="Yes",T197,0)+IF('Setup &amp; Lists'!$B$9="Yes",X197,0))*IF(U197="",'Setup &amp; Lists'!$B$6,U197),2)),"")</f>
        <v/>
      </c>
      <c r="Z197" s="53">
        <f>IFERROR(IF(A197="","",ROUND(W197+T197+X197+Y197,2)),"")</f>
        <v/>
      </c>
      <c r="AA197" s="51" t="n"/>
      <c r="AB197" s="53">
        <f>IFERROR(IF(A197="","",ROUND(IF(AA197&lt;&gt;"",AA197,Z197*'Setup &amp; Lists'!$B$10),2)),"")</f>
        <v/>
      </c>
      <c r="AC197" s="51" t="n"/>
      <c r="AD197" s="53">
        <f>IFERROR(IF(A197="","",MAX(0,ROUND(Z197-AC197,2))),"")</f>
        <v/>
      </c>
      <c r="AE197" s="32">
        <f>IFERROR(IF(A197="","",IF(AD197=0,"Paid",IF(AC197&gt;=AB197,"Deposit Met",IF(AC197&gt;0,"Partial Payment","Unpaid")))),"")</f>
        <v/>
      </c>
      <c r="AF197" s="54">
        <f>IFERROR(IF(OR(A197="",G197=""),"",G197-('Setup &amp; Lists'!$B$11/24)),"")</f>
        <v/>
      </c>
      <c r="AG197" s="25" t="n"/>
      <c r="AH197" s="25" t="n"/>
      <c r="AI197" s="50" t="n"/>
      <c r="AJ197" s="32">
        <f>IFERROR(IF(A197="","",IF(H197&lt;=G197,"Departure must be after arrival",IF(OR(J197="",J197&lt;1),"Rooms must be at least 1",IF(D197="","Guest name missing",IF(COUNTIF($A$2:$A$251,A197)&gt;1,"Duplicate reservation ID",IF(AND(P197="Confirmed",G197&gt;=TODAY(),G197&lt;=TODAY()+'Setup &amp; Lists'!$B$12,Q197=""),"Assign room for near-term arrival",IF(AND(G197&lt;TODAY(),P197="Confirmed"),"Past-due confirmed arrival",IF(AND(G197&gt;TODAY(),P197="Confirmed",AC197&lt;AB197),"Deposit shortfall",IF(AND(H197&lt;TODAY(),AD197&gt;0,P197&lt;&gt;"Cancelled"),"Balance remains after departure",IF(R197&lt;0,"Nightly rate is negative",IF(AC197&gt;Z197,"Deposit paid exceeds total value",""))))))))))),"")</f>
        <v/>
      </c>
    </row>
    <row r="198">
      <c r="A198" s="25" t="n"/>
      <c r="B198" s="25" t="n"/>
      <c r="C198" s="50" t="n"/>
      <c r="D198" s="25" t="n"/>
      <c r="E198" s="25" t="n"/>
      <c r="F198" s="25" t="n"/>
      <c r="G198" s="50" t="n"/>
      <c r="H198" s="50" t="n"/>
      <c r="I198" s="27">
        <f>IFERROR(IF(A198="","",MAX(0,H198-G198)),"")</f>
        <v/>
      </c>
      <c r="J198" s="28" t="n"/>
      <c r="K198" s="28" t="n"/>
      <c r="L198" s="28" t="n"/>
      <c r="M198" s="25" t="n"/>
      <c r="N198" s="25" t="n"/>
      <c r="O198" s="25" t="n"/>
      <c r="P198" s="25" t="n"/>
      <c r="Q198" s="25" t="n"/>
      <c r="R198" s="51" t="n"/>
      <c r="S198" s="52" t="n"/>
      <c r="T198" s="51" t="n"/>
      <c r="U198" s="52" t="n"/>
      <c r="V198" s="52" t="n"/>
      <c r="W198" s="53">
        <f>IFERROR(IF(A198="","",ROUND(I198*J198*R198*(1-S198),2)),"")</f>
        <v/>
      </c>
      <c r="X198" s="53">
        <f>IFERROR(IF(A198="","",ROUND(W198*IF(V198="",'Setup &amp; Lists'!$B$7,V198),2)),"")</f>
        <v/>
      </c>
      <c r="Y198" s="53">
        <f>IFERROR(IF(A198="","",ROUND((W198+IF('Setup &amp; Lists'!$B$8="Yes",T198,0)+IF('Setup &amp; Lists'!$B$9="Yes",X198,0))*IF(U198="",'Setup &amp; Lists'!$B$6,U198),2)),"")</f>
        <v/>
      </c>
      <c r="Z198" s="53">
        <f>IFERROR(IF(A198="","",ROUND(W198+T198+X198+Y198,2)),"")</f>
        <v/>
      </c>
      <c r="AA198" s="51" t="n"/>
      <c r="AB198" s="53">
        <f>IFERROR(IF(A198="","",ROUND(IF(AA198&lt;&gt;"",AA198,Z198*'Setup &amp; Lists'!$B$10),2)),"")</f>
        <v/>
      </c>
      <c r="AC198" s="51" t="n"/>
      <c r="AD198" s="53">
        <f>IFERROR(IF(A198="","",MAX(0,ROUND(Z198-AC198,2))),"")</f>
        <v/>
      </c>
      <c r="AE198" s="32">
        <f>IFERROR(IF(A198="","",IF(AD198=0,"Paid",IF(AC198&gt;=AB198,"Deposit Met",IF(AC198&gt;0,"Partial Payment","Unpaid")))),"")</f>
        <v/>
      </c>
      <c r="AF198" s="54">
        <f>IFERROR(IF(OR(A198="",G198=""),"",G198-('Setup &amp; Lists'!$B$11/24)),"")</f>
        <v/>
      </c>
      <c r="AG198" s="25" t="n"/>
      <c r="AH198" s="25" t="n"/>
      <c r="AI198" s="50" t="n"/>
      <c r="AJ198" s="32">
        <f>IFERROR(IF(A198="","",IF(H198&lt;=G198,"Departure must be after arrival",IF(OR(J198="",J198&lt;1),"Rooms must be at least 1",IF(D198="","Guest name missing",IF(COUNTIF($A$2:$A$251,A198)&gt;1,"Duplicate reservation ID",IF(AND(P198="Confirmed",G198&gt;=TODAY(),G198&lt;=TODAY()+'Setup &amp; Lists'!$B$12,Q198=""),"Assign room for near-term arrival",IF(AND(G198&lt;TODAY(),P198="Confirmed"),"Past-due confirmed arrival",IF(AND(G198&gt;TODAY(),P198="Confirmed",AC198&lt;AB198),"Deposit shortfall",IF(AND(H198&lt;TODAY(),AD198&gt;0,P198&lt;&gt;"Cancelled"),"Balance remains after departure",IF(R198&lt;0,"Nightly rate is negative",IF(AC198&gt;Z198,"Deposit paid exceeds total value",""))))))))))),"")</f>
        <v/>
      </c>
    </row>
    <row r="199">
      <c r="A199" s="25" t="n"/>
      <c r="B199" s="25" t="n"/>
      <c r="C199" s="50" t="n"/>
      <c r="D199" s="25" t="n"/>
      <c r="E199" s="25" t="n"/>
      <c r="F199" s="25" t="n"/>
      <c r="G199" s="50" t="n"/>
      <c r="H199" s="50" t="n"/>
      <c r="I199" s="27">
        <f>IFERROR(IF(A199="","",MAX(0,H199-G199)),"")</f>
        <v/>
      </c>
      <c r="J199" s="28" t="n"/>
      <c r="K199" s="28" t="n"/>
      <c r="L199" s="28" t="n"/>
      <c r="M199" s="25" t="n"/>
      <c r="N199" s="25" t="n"/>
      <c r="O199" s="25" t="n"/>
      <c r="P199" s="25" t="n"/>
      <c r="Q199" s="25" t="n"/>
      <c r="R199" s="51" t="n"/>
      <c r="S199" s="52" t="n"/>
      <c r="T199" s="51" t="n"/>
      <c r="U199" s="52" t="n"/>
      <c r="V199" s="52" t="n"/>
      <c r="W199" s="53">
        <f>IFERROR(IF(A199="","",ROUND(I199*J199*R199*(1-S199),2)),"")</f>
        <v/>
      </c>
      <c r="X199" s="53">
        <f>IFERROR(IF(A199="","",ROUND(W199*IF(V199="",'Setup &amp; Lists'!$B$7,V199),2)),"")</f>
        <v/>
      </c>
      <c r="Y199" s="53">
        <f>IFERROR(IF(A199="","",ROUND((W199+IF('Setup &amp; Lists'!$B$8="Yes",T199,0)+IF('Setup &amp; Lists'!$B$9="Yes",X199,0))*IF(U199="",'Setup &amp; Lists'!$B$6,U199),2)),"")</f>
        <v/>
      </c>
      <c r="Z199" s="53">
        <f>IFERROR(IF(A199="","",ROUND(W199+T199+X199+Y199,2)),"")</f>
        <v/>
      </c>
      <c r="AA199" s="51" t="n"/>
      <c r="AB199" s="53">
        <f>IFERROR(IF(A199="","",ROUND(IF(AA199&lt;&gt;"",AA199,Z199*'Setup &amp; Lists'!$B$10),2)),"")</f>
        <v/>
      </c>
      <c r="AC199" s="51" t="n"/>
      <c r="AD199" s="53">
        <f>IFERROR(IF(A199="","",MAX(0,ROUND(Z199-AC199,2))),"")</f>
        <v/>
      </c>
      <c r="AE199" s="32">
        <f>IFERROR(IF(A199="","",IF(AD199=0,"Paid",IF(AC199&gt;=AB199,"Deposit Met",IF(AC199&gt;0,"Partial Payment","Unpaid")))),"")</f>
        <v/>
      </c>
      <c r="AF199" s="54">
        <f>IFERROR(IF(OR(A199="",G199=""),"",G199-('Setup &amp; Lists'!$B$11/24)),"")</f>
        <v/>
      </c>
      <c r="AG199" s="25" t="n"/>
      <c r="AH199" s="25" t="n"/>
      <c r="AI199" s="50" t="n"/>
      <c r="AJ199" s="32">
        <f>IFERROR(IF(A199="","",IF(H199&lt;=G199,"Departure must be after arrival",IF(OR(J199="",J199&lt;1),"Rooms must be at least 1",IF(D199="","Guest name missing",IF(COUNTIF($A$2:$A$251,A199)&gt;1,"Duplicate reservation ID",IF(AND(P199="Confirmed",G199&gt;=TODAY(),G199&lt;=TODAY()+'Setup &amp; Lists'!$B$12,Q199=""),"Assign room for near-term arrival",IF(AND(G199&lt;TODAY(),P199="Confirmed"),"Past-due confirmed arrival",IF(AND(G199&gt;TODAY(),P199="Confirmed",AC199&lt;AB199),"Deposit shortfall",IF(AND(H199&lt;TODAY(),AD199&gt;0,P199&lt;&gt;"Cancelled"),"Balance remains after departure",IF(R199&lt;0,"Nightly rate is negative",IF(AC199&gt;Z199,"Deposit paid exceeds total value",""))))))))))),"")</f>
        <v/>
      </c>
    </row>
    <row r="200">
      <c r="A200" s="25" t="n"/>
      <c r="B200" s="25" t="n"/>
      <c r="C200" s="50" t="n"/>
      <c r="D200" s="25" t="n"/>
      <c r="E200" s="25" t="n"/>
      <c r="F200" s="25" t="n"/>
      <c r="G200" s="50" t="n"/>
      <c r="H200" s="50" t="n"/>
      <c r="I200" s="27">
        <f>IFERROR(IF(A200="","",MAX(0,H200-G200)),"")</f>
        <v/>
      </c>
      <c r="J200" s="28" t="n"/>
      <c r="K200" s="28" t="n"/>
      <c r="L200" s="28" t="n"/>
      <c r="M200" s="25" t="n"/>
      <c r="N200" s="25" t="n"/>
      <c r="O200" s="25" t="n"/>
      <c r="P200" s="25" t="n"/>
      <c r="Q200" s="25" t="n"/>
      <c r="R200" s="51" t="n"/>
      <c r="S200" s="52" t="n"/>
      <c r="T200" s="51" t="n"/>
      <c r="U200" s="52" t="n"/>
      <c r="V200" s="52" t="n"/>
      <c r="W200" s="53">
        <f>IFERROR(IF(A200="","",ROUND(I200*J200*R200*(1-S200),2)),"")</f>
        <v/>
      </c>
      <c r="X200" s="53">
        <f>IFERROR(IF(A200="","",ROUND(W200*IF(V200="",'Setup &amp; Lists'!$B$7,V200),2)),"")</f>
        <v/>
      </c>
      <c r="Y200" s="53">
        <f>IFERROR(IF(A200="","",ROUND((W200+IF('Setup &amp; Lists'!$B$8="Yes",T200,0)+IF('Setup &amp; Lists'!$B$9="Yes",X200,0))*IF(U200="",'Setup &amp; Lists'!$B$6,U200),2)),"")</f>
        <v/>
      </c>
      <c r="Z200" s="53">
        <f>IFERROR(IF(A200="","",ROUND(W200+T200+X200+Y200,2)),"")</f>
        <v/>
      </c>
      <c r="AA200" s="51" t="n"/>
      <c r="AB200" s="53">
        <f>IFERROR(IF(A200="","",ROUND(IF(AA200&lt;&gt;"",AA200,Z200*'Setup &amp; Lists'!$B$10),2)),"")</f>
        <v/>
      </c>
      <c r="AC200" s="51" t="n"/>
      <c r="AD200" s="53">
        <f>IFERROR(IF(A200="","",MAX(0,ROUND(Z200-AC200,2))),"")</f>
        <v/>
      </c>
      <c r="AE200" s="32">
        <f>IFERROR(IF(A200="","",IF(AD200=0,"Paid",IF(AC200&gt;=AB200,"Deposit Met",IF(AC200&gt;0,"Partial Payment","Unpaid")))),"")</f>
        <v/>
      </c>
      <c r="AF200" s="54">
        <f>IFERROR(IF(OR(A200="",G200=""),"",G200-('Setup &amp; Lists'!$B$11/24)),"")</f>
        <v/>
      </c>
      <c r="AG200" s="25" t="n"/>
      <c r="AH200" s="25" t="n"/>
      <c r="AI200" s="50" t="n"/>
      <c r="AJ200" s="32">
        <f>IFERROR(IF(A200="","",IF(H200&lt;=G200,"Departure must be after arrival",IF(OR(J200="",J200&lt;1),"Rooms must be at least 1",IF(D200="","Guest name missing",IF(COUNTIF($A$2:$A$251,A200)&gt;1,"Duplicate reservation ID",IF(AND(P200="Confirmed",G200&gt;=TODAY(),G200&lt;=TODAY()+'Setup &amp; Lists'!$B$12,Q200=""),"Assign room for near-term arrival",IF(AND(G200&lt;TODAY(),P200="Confirmed"),"Past-due confirmed arrival",IF(AND(G200&gt;TODAY(),P200="Confirmed",AC200&lt;AB200),"Deposit shortfall",IF(AND(H200&lt;TODAY(),AD200&gt;0,P200&lt;&gt;"Cancelled"),"Balance remains after departure",IF(R200&lt;0,"Nightly rate is negative",IF(AC200&gt;Z200,"Deposit paid exceeds total value",""))))))))))),"")</f>
        <v/>
      </c>
    </row>
    <row r="201">
      <c r="A201" s="25" t="n"/>
      <c r="B201" s="25" t="n"/>
      <c r="C201" s="50" t="n"/>
      <c r="D201" s="25" t="n"/>
      <c r="E201" s="25" t="n"/>
      <c r="F201" s="25" t="n"/>
      <c r="G201" s="50" t="n"/>
      <c r="H201" s="50" t="n"/>
      <c r="I201" s="27">
        <f>IFERROR(IF(A201="","",MAX(0,H201-G201)),"")</f>
        <v/>
      </c>
      <c r="J201" s="28" t="n"/>
      <c r="K201" s="28" t="n"/>
      <c r="L201" s="28" t="n"/>
      <c r="M201" s="25" t="n"/>
      <c r="N201" s="25" t="n"/>
      <c r="O201" s="25" t="n"/>
      <c r="P201" s="25" t="n"/>
      <c r="Q201" s="25" t="n"/>
      <c r="R201" s="51" t="n"/>
      <c r="S201" s="52" t="n"/>
      <c r="T201" s="51" t="n"/>
      <c r="U201" s="52" t="n"/>
      <c r="V201" s="52" t="n"/>
      <c r="W201" s="53">
        <f>IFERROR(IF(A201="","",ROUND(I201*J201*R201*(1-S201),2)),"")</f>
        <v/>
      </c>
      <c r="X201" s="53">
        <f>IFERROR(IF(A201="","",ROUND(W201*IF(V201="",'Setup &amp; Lists'!$B$7,V201),2)),"")</f>
        <v/>
      </c>
      <c r="Y201" s="53">
        <f>IFERROR(IF(A201="","",ROUND((W201+IF('Setup &amp; Lists'!$B$8="Yes",T201,0)+IF('Setup &amp; Lists'!$B$9="Yes",X201,0))*IF(U201="",'Setup &amp; Lists'!$B$6,U201),2)),"")</f>
        <v/>
      </c>
      <c r="Z201" s="53">
        <f>IFERROR(IF(A201="","",ROUND(W201+T201+X201+Y201,2)),"")</f>
        <v/>
      </c>
      <c r="AA201" s="51" t="n"/>
      <c r="AB201" s="53">
        <f>IFERROR(IF(A201="","",ROUND(IF(AA201&lt;&gt;"",AA201,Z201*'Setup &amp; Lists'!$B$10),2)),"")</f>
        <v/>
      </c>
      <c r="AC201" s="51" t="n"/>
      <c r="AD201" s="53">
        <f>IFERROR(IF(A201="","",MAX(0,ROUND(Z201-AC201,2))),"")</f>
        <v/>
      </c>
      <c r="AE201" s="32">
        <f>IFERROR(IF(A201="","",IF(AD201=0,"Paid",IF(AC201&gt;=AB201,"Deposit Met",IF(AC201&gt;0,"Partial Payment","Unpaid")))),"")</f>
        <v/>
      </c>
      <c r="AF201" s="54">
        <f>IFERROR(IF(OR(A201="",G201=""),"",G201-('Setup &amp; Lists'!$B$11/24)),"")</f>
        <v/>
      </c>
      <c r="AG201" s="25" t="n"/>
      <c r="AH201" s="25" t="n"/>
      <c r="AI201" s="50" t="n"/>
      <c r="AJ201" s="32">
        <f>IFERROR(IF(A201="","",IF(H201&lt;=G201,"Departure must be after arrival",IF(OR(J201="",J201&lt;1),"Rooms must be at least 1",IF(D201="","Guest name missing",IF(COUNTIF($A$2:$A$251,A201)&gt;1,"Duplicate reservation ID",IF(AND(P201="Confirmed",G201&gt;=TODAY(),G201&lt;=TODAY()+'Setup &amp; Lists'!$B$12,Q201=""),"Assign room for near-term arrival",IF(AND(G201&lt;TODAY(),P201="Confirmed"),"Past-due confirmed arrival",IF(AND(G201&gt;TODAY(),P201="Confirmed",AC201&lt;AB201),"Deposit shortfall",IF(AND(H201&lt;TODAY(),AD201&gt;0,P201&lt;&gt;"Cancelled"),"Balance remains after departure",IF(R201&lt;0,"Nightly rate is negative",IF(AC201&gt;Z201,"Deposit paid exceeds total value",""))))))))))),"")</f>
        <v/>
      </c>
    </row>
    <row r="202">
      <c r="A202" s="25" t="n"/>
      <c r="B202" s="25" t="n"/>
      <c r="C202" s="50" t="n"/>
      <c r="D202" s="25" t="n"/>
      <c r="E202" s="25" t="n"/>
      <c r="F202" s="25" t="n"/>
      <c r="G202" s="50" t="n"/>
      <c r="H202" s="50" t="n"/>
      <c r="I202" s="27">
        <f>IFERROR(IF(A202="","",MAX(0,H202-G202)),"")</f>
        <v/>
      </c>
      <c r="J202" s="28" t="n"/>
      <c r="K202" s="28" t="n"/>
      <c r="L202" s="28" t="n"/>
      <c r="M202" s="25" t="n"/>
      <c r="N202" s="25" t="n"/>
      <c r="O202" s="25" t="n"/>
      <c r="P202" s="25" t="n"/>
      <c r="Q202" s="25" t="n"/>
      <c r="R202" s="51" t="n"/>
      <c r="S202" s="52" t="n"/>
      <c r="T202" s="51" t="n"/>
      <c r="U202" s="52" t="n"/>
      <c r="V202" s="52" t="n"/>
      <c r="W202" s="53">
        <f>IFERROR(IF(A202="","",ROUND(I202*J202*R202*(1-S202),2)),"")</f>
        <v/>
      </c>
      <c r="X202" s="53">
        <f>IFERROR(IF(A202="","",ROUND(W202*IF(V202="",'Setup &amp; Lists'!$B$7,V202),2)),"")</f>
        <v/>
      </c>
      <c r="Y202" s="53">
        <f>IFERROR(IF(A202="","",ROUND((W202+IF('Setup &amp; Lists'!$B$8="Yes",T202,0)+IF('Setup &amp; Lists'!$B$9="Yes",X202,0))*IF(U202="",'Setup &amp; Lists'!$B$6,U202),2)),"")</f>
        <v/>
      </c>
      <c r="Z202" s="53">
        <f>IFERROR(IF(A202="","",ROUND(W202+T202+X202+Y202,2)),"")</f>
        <v/>
      </c>
      <c r="AA202" s="51" t="n"/>
      <c r="AB202" s="53">
        <f>IFERROR(IF(A202="","",ROUND(IF(AA202&lt;&gt;"",AA202,Z202*'Setup &amp; Lists'!$B$10),2)),"")</f>
        <v/>
      </c>
      <c r="AC202" s="51" t="n"/>
      <c r="AD202" s="53">
        <f>IFERROR(IF(A202="","",MAX(0,ROUND(Z202-AC202,2))),"")</f>
        <v/>
      </c>
      <c r="AE202" s="32">
        <f>IFERROR(IF(A202="","",IF(AD202=0,"Paid",IF(AC202&gt;=AB202,"Deposit Met",IF(AC202&gt;0,"Partial Payment","Unpaid")))),"")</f>
        <v/>
      </c>
      <c r="AF202" s="54">
        <f>IFERROR(IF(OR(A202="",G202=""),"",G202-('Setup &amp; Lists'!$B$11/24)),"")</f>
        <v/>
      </c>
      <c r="AG202" s="25" t="n"/>
      <c r="AH202" s="25" t="n"/>
      <c r="AI202" s="50" t="n"/>
      <c r="AJ202" s="32">
        <f>IFERROR(IF(A202="","",IF(H202&lt;=G202,"Departure must be after arrival",IF(OR(J202="",J202&lt;1),"Rooms must be at least 1",IF(D202="","Guest name missing",IF(COUNTIF($A$2:$A$251,A202)&gt;1,"Duplicate reservation ID",IF(AND(P202="Confirmed",G202&gt;=TODAY(),G202&lt;=TODAY()+'Setup &amp; Lists'!$B$12,Q202=""),"Assign room for near-term arrival",IF(AND(G202&lt;TODAY(),P202="Confirmed"),"Past-due confirmed arrival",IF(AND(G202&gt;TODAY(),P202="Confirmed",AC202&lt;AB202),"Deposit shortfall",IF(AND(H202&lt;TODAY(),AD202&gt;0,P202&lt;&gt;"Cancelled"),"Balance remains after departure",IF(R202&lt;0,"Nightly rate is negative",IF(AC202&gt;Z202,"Deposit paid exceeds total value",""))))))))))),"")</f>
        <v/>
      </c>
    </row>
    <row r="203">
      <c r="A203" s="25" t="n"/>
      <c r="B203" s="25" t="n"/>
      <c r="C203" s="50" t="n"/>
      <c r="D203" s="25" t="n"/>
      <c r="E203" s="25" t="n"/>
      <c r="F203" s="25" t="n"/>
      <c r="G203" s="50" t="n"/>
      <c r="H203" s="50" t="n"/>
      <c r="I203" s="27">
        <f>IFERROR(IF(A203="","",MAX(0,H203-G203)),"")</f>
        <v/>
      </c>
      <c r="J203" s="28" t="n"/>
      <c r="K203" s="28" t="n"/>
      <c r="L203" s="28" t="n"/>
      <c r="M203" s="25" t="n"/>
      <c r="N203" s="25" t="n"/>
      <c r="O203" s="25" t="n"/>
      <c r="P203" s="25" t="n"/>
      <c r="Q203" s="25" t="n"/>
      <c r="R203" s="51" t="n"/>
      <c r="S203" s="52" t="n"/>
      <c r="T203" s="51" t="n"/>
      <c r="U203" s="52" t="n"/>
      <c r="V203" s="52" t="n"/>
      <c r="W203" s="53">
        <f>IFERROR(IF(A203="","",ROUND(I203*J203*R203*(1-S203),2)),"")</f>
        <v/>
      </c>
      <c r="X203" s="53">
        <f>IFERROR(IF(A203="","",ROUND(W203*IF(V203="",'Setup &amp; Lists'!$B$7,V203),2)),"")</f>
        <v/>
      </c>
      <c r="Y203" s="53">
        <f>IFERROR(IF(A203="","",ROUND((W203+IF('Setup &amp; Lists'!$B$8="Yes",T203,0)+IF('Setup &amp; Lists'!$B$9="Yes",X203,0))*IF(U203="",'Setup &amp; Lists'!$B$6,U203),2)),"")</f>
        <v/>
      </c>
      <c r="Z203" s="53">
        <f>IFERROR(IF(A203="","",ROUND(W203+T203+X203+Y203,2)),"")</f>
        <v/>
      </c>
      <c r="AA203" s="51" t="n"/>
      <c r="AB203" s="53">
        <f>IFERROR(IF(A203="","",ROUND(IF(AA203&lt;&gt;"",AA203,Z203*'Setup &amp; Lists'!$B$10),2)),"")</f>
        <v/>
      </c>
      <c r="AC203" s="51" t="n"/>
      <c r="AD203" s="53">
        <f>IFERROR(IF(A203="","",MAX(0,ROUND(Z203-AC203,2))),"")</f>
        <v/>
      </c>
      <c r="AE203" s="32">
        <f>IFERROR(IF(A203="","",IF(AD203=0,"Paid",IF(AC203&gt;=AB203,"Deposit Met",IF(AC203&gt;0,"Partial Payment","Unpaid")))),"")</f>
        <v/>
      </c>
      <c r="AF203" s="54">
        <f>IFERROR(IF(OR(A203="",G203=""),"",G203-('Setup &amp; Lists'!$B$11/24)),"")</f>
        <v/>
      </c>
      <c r="AG203" s="25" t="n"/>
      <c r="AH203" s="25" t="n"/>
      <c r="AI203" s="50" t="n"/>
      <c r="AJ203" s="32">
        <f>IFERROR(IF(A203="","",IF(H203&lt;=G203,"Departure must be after arrival",IF(OR(J203="",J203&lt;1),"Rooms must be at least 1",IF(D203="","Guest name missing",IF(COUNTIF($A$2:$A$251,A203)&gt;1,"Duplicate reservation ID",IF(AND(P203="Confirmed",G203&gt;=TODAY(),G203&lt;=TODAY()+'Setup &amp; Lists'!$B$12,Q203=""),"Assign room for near-term arrival",IF(AND(G203&lt;TODAY(),P203="Confirmed"),"Past-due confirmed arrival",IF(AND(G203&gt;TODAY(),P203="Confirmed",AC203&lt;AB203),"Deposit shortfall",IF(AND(H203&lt;TODAY(),AD203&gt;0,P203&lt;&gt;"Cancelled"),"Balance remains after departure",IF(R203&lt;0,"Nightly rate is negative",IF(AC203&gt;Z203,"Deposit paid exceeds total value",""))))))))))),"")</f>
        <v/>
      </c>
    </row>
    <row r="204">
      <c r="A204" s="25" t="n"/>
      <c r="B204" s="25" t="n"/>
      <c r="C204" s="50" t="n"/>
      <c r="D204" s="25" t="n"/>
      <c r="E204" s="25" t="n"/>
      <c r="F204" s="25" t="n"/>
      <c r="G204" s="50" t="n"/>
      <c r="H204" s="50" t="n"/>
      <c r="I204" s="27">
        <f>IFERROR(IF(A204="","",MAX(0,H204-G204)),"")</f>
        <v/>
      </c>
      <c r="J204" s="28" t="n"/>
      <c r="K204" s="28" t="n"/>
      <c r="L204" s="28" t="n"/>
      <c r="M204" s="25" t="n"/>
      <c r="N204" s="25" t="n"/>
      <c r="O204" s="25" t="n"/>
      <c r="P204" s="25" t="n"/>
      <c r="Q204" s="25" t="n"/>
      <c r="R204" s="51" t="n"/>
      <c r="S204" s="52" t="n"/>
      <c r="T204" s="51" t="n"/>
      <c r="U204" s="52" t="n"/>
      <c r="V204" s="52" t="n"/>
      <c r="W204" s="53">
        <f>IFERROR(IF(A204="","",ROUND(I204*J204*R204*(1-S204),2)),"")</f>
        <v/>
      </c>
      <c r="X204" s="53">
        <f>IFERROR(IF(A204="","",ROUND(W204*IF(V204="",'Setup &amp; Lists'!$B$7,V204),2)),"")</f>
        <v/>
      </c>
      <c r="Y204" s="53">
        <f>IFERROR(IF(A204="","",ROUND((W204+IF('Setup &amp; Lists'!$B$8="Yes",T204,0)+IF('Setup &amp; Lists'!$B$9="Yes",X204,0))*IF(U204="",'Setup &amp; Lists'!$B$6,U204),2)),"")</f>
        <v/>
      </c>
      <c r="Z204" s="53">
        <f>IFERROR(IF(A204="","",ROUND(W204+T204+X204+Y204,2)),"")</f>
        <v/>
      </c>
      <c r="AA204" s="51" t="n"/>
      <c r="AB204" s="53">
        <f>IFERROR(IF(A204="","",ROUND(IF(AA204&lt;&gt;"",AA204,Z204*'Setup &amp; Lists'!$B$10),2)),"")</f>
        <v/>
      </c>
      <c r="AC204" s="51" t="n"/>
      <c r="AD204" s="53">
        <f>IFERROR(IF(A204="","",MAX(0,ROUND(Z204-AC204,2))),"")</f>
        <v/>
      </c>
      <c r="AE204" s="32">
        <f>IFERROR(IF(A204="","",IF(AD204=0,"Paid",IF(AC204&gt;=AB204,"Deposit Met",IF(AC204&gt;0,"Partial Payment","Unpaid")))),"")</f>
        <v/>
      </c>
      <c r="AF204" s="54">
        <f>IFERROR(IF(OR(A204="",G204=""),"",G204-('Setup &amp; Lists'!$B$11/24)),"")</f>
        <v/>
      </c>
      <c r="AG204" s="25" t="n"/>
      <c r="AH204" s="25" t="n"/>
      <c r="AI204" s="50" t="n"/>
      <c r="AJ204" s="32">
        <f>IFERROR(IF(A204="","",IF(H204&lt;=G204,"Departure must be after arrival",IF(OR(J204="",J204&lt;1),"Rooms must be at least 1",IF(D204="","Guest name missing",IF(COUNTIF($A$2:$A$251,A204)&gt;1,"Duplicate reservation ID",IF(AND(P204="Confirmed",G204&gt;=TODAY(),G204&lt;=TODAY()+'Setup &amp; Lists'!$B$12,Q204=""),"Assign room for near-term arrival",IF(AND(G204&lt;TODAY(),P204="Confirmed"),"Past-due confirmed arrival",IF(AND(G204&gt;TODAY(),P204="Confirmed",AC204&lt;AB204),"Deposit shortfall",IF(AND(H204&lt;TODAY(),AD204&gt;0,P204&lt;&gt;"Cancelled"),"Balance remains after departure",IF(R204&lt;0,"Nightly rate is negative",IF(AC204&gt;Z204,"Deposit paid exceeds total value",""))))))))))),"")</f>
        <v/>
      </c>
    </row>
    <row r="205">
      <c r="A205" s="25" t="n"/>
      <c r="B205" s="25" t="n"/>
      <c r="C205" s="50" t="n"/>
      <c r="D205" s="25" t="n"/>
      <c r="E205" s="25" t="n"/>
      <c r="F205" s="25" t="n"/>
      <c r="G205" s="50" t="n"/>
      <c r="H205" s="50" t="n"/>
      <c r="I205" s="27">
        <f>IFERROR(IF(A205="","",MAX(0,H205-G205)),"")</f>
        <v/>
      </c>
      <c r="J205" s="28" t="n"/>
      <c r="K205" s="28" t="n"/>
      <c r="L205" s="28" t="n"/>
      <c r="M205" s="25" t="n"/>
      <c r="N205" s="25" t="n"/>
      <c r="O205" s="25" t="n"/>
      <c r="P205" s="25" t="n"/>
      <c r="Q205" s="25" t="n"/>
      <c r="R205" s="51" t="n"/>
      <c r="S205" s="52" t="n"/>
      <c r="T205" s="51" t="n"/>
      <c r="U205" s="52" t="n"/>
      <c r="V205" s="52" t="n"/>
      <c r="W205" s="53">
        <f>IFERROR(IF(A205="","",ROUND(I205*J205*R205*(1-S205),2)),"")</f>
        <v/>
      </c>
      <c r="X205" s="53">
        <f>IFERROR(IF(A205="","",ROUND(W205*IF(V205="",'Setup &amp; Lists'!$B$7,V205),2)),"")</f>
        <v/>
      </c>
      <c r="Y205" s="53">
        <f>IFERROR(IF(A205="","",ROUND((W205+IF('Setup &amp; Lists'!$B$8="Yes",T205,0)+IF('Setup &amp; Lists'!$B$9="Yes",X205,0))*IF(U205="",'Setup &amp; Lists'!$B$6,U205),2)),"")</f>
        <v/>
      </c>
      <c r="Z205" s="53">
        <f>IFERROR(IF(A205="","",ROUND(W205+T205+X205+Y205,2)),"")</f>
        <v/>
      </c>
      <c r="AA205" s="51" t="n"/>
      <c r="AB205" s="53">
        <f>IFERROR(IF(A205="","",ROUND(IF(AA205&lt;&gt;"",AA205,Z205*'Setup &amp; Lists'!$B$10),2)),"")</f>
        <v/>
      </c>
      <c r="AC205" s="51" t="n"/>
      <c r="AD205" s="53">
        <f>IFERROR(IF(A205="","",MAX(0,ROUND(Z205-AC205,2))),"")</f>
        <v/>
      </c>
      <c r="AE205" s="32">
        <f>IFERROR(IF(A205="","",IF(AD205=0,"Paid",IF(AC205&gt;=AB205,"Deposit Met",IF(AC205&gt;0,"Partial Payment","Unpaid")))),"")</f>
        <v/>
      </c>
      <c r="AF205" s="54">
        <f>IFERROR(IF(OR(A205="",G205=""),"",G205-('Setup &amp; Lists'!$B$11/24)),"")</f>
        <v/>
      </c>
      <c r="AG205" s="25" t="n"/>
      <c r="AH205" s="25" t="n"/>
      <c r="AI205" s="50" t="n"/>
      <c r="AJ205" s="32">
        <f>IFERROR(IF(A205="","",IF(H205&lt;=G205,"Departure must be after arrival",IF(OR(J205="",J205&lt;1),"Rooms must be at least 1",IF(D205="","Guest name missing",IF(COUNTIF($A$2:$A$251,A205)&gt;1,"Duplicate reservation ID",IF(AND(P205="Confirmed",G205&gt;=TODAY(),G205&lt;=TODAY()+'Setup &amp; Lists'!$B$12,Q205=""),"Assign room for near-term arrival",IF(AND(G205&lt;TODAY(),P205="Confirmed"),"Past-due confirmed arrival",IF(AND(G205&gt;TODAY(),P205="Confirmed",AC205&lt;AB205),"Deposit shortfall",IF(AND(H205&lt;TODAY(),AD205&gt;0,P205&lt;&gt;"Cancelled"),"Balance remains after departure",IF(R205&lt;0,"Nightly rate is negative",IF(AC205&gt;Z205,"Deposit paid exceeds total value",""))))))))))),"")</f>
        <v/>
      </c>
    </row>
    <row r="206">
      <c r="A206" s="25" t="n"/>
      <c r="B206" s="25" t="n"/>
      <c r="C206" s="50" t="n"/>
      <c r="D206" s="25" t="n"/>
      <c r="E206" s="25" t="n"/>
      <c r="F206" s="25" t="n"/>
      <c r="G206" s="50" t="n"/>
      <c r="H206" s="50" t="n"/>
      <c r="I206" s="27">
        <f>IFERROR(IF(A206="","",MAX(0,H206-G206)),"")</f>
        <v/>
      </c>
      <c r="J206" s="28" t="n"/>
      <c r="K206" s="28" t="n"/>
      <c r="L206" s="28" t="n"/>
      <c r="M206" s="25" t="n"/>
      <c r="N206" s="25" t="n"/>
      <c r="O206" s="25" t="n"/>
      <c r="P206" s="25" t="n"/>
      <c r="Q206" s="25" t="n"/>
      <c r="R206" s="51" t="n"/>
      <c r="S206" s="52" t="n"/>
      <c r="T206" s="51" t="n"/>
      <c r="U206" s="52" t="n"/>
      <c r="V206" s="52" t="n"/>
      <c r="W206" s="53">
        <f>IFERROR(IF(A206="","",ROUND(I206*J206*R206*(1-S206),2)),"")</f>
        <v/>
      </c>
      <c r="X206" s="53">
        <f>IFERROR(IF(A206="","",ROUND(W206*IF(V206="",'Setup &amp; Lists'!$B$7,V206),2)),"")</f>
        <v/>
      </c>
      <c r="Y206" s="53">
        <f>IFERROR(IF(A206="","",ROUND((W206+IF('Setup &amp; Lists'!$B$8="Yes",T206,0)+IF('Setup &amp; Lists'!$B$9="Yes",X206,0))*IF(U206="",'Setup &amp; Lists'!$B$6,U206),2)),"")</f>
        <v/>
      </c>
      <c r="Z206" s="53">
        <f>IFERROR(IF(A206="","",ROUND(W206+T206+X206+Y206,2)),"")</f>
        <v/>
      </c>
      <c r="AA206" s="51" t="n"/>
      <c r="AB206" s="53">
        <f>IFERROR(IF(A206="","",ROUND(IF(AA206&lt;&gt;"",AA206,Z206*'Setup &amp; Lists'!$B$10),2)),"")</f>
        <v/>
      </c>
      <c r="AC206" s="51" t="n"/>
      <c r="AD206" s="53">
        <f>IFERROR(IF(A206="","",MAX(0,ROUND(Z206-AC206,2))),"")</f>
        <v/>
      </c>
      <c r="AE206" s="32">
        <f>IFERROR(IF(A206="","",IF(AD206=0,"Paid",IF(AC206&gt;=AB206,"Deposit Met",IF(AC206&gt;0,"Partial Payment","Unpaid")))),"")</f>
        <v/>
      </c>
      <c r="AF206" s="54">
        <f>IFERROR(IF(OR(A206="",G206=""),"",G206-('Setup &amp; Lists'!$B$11/24)),"")</f>
        <v/>
      </c>
      <c r="AG206" s="25" t="n"/>
      <c r="AH206" s="25" t="n"/>
      <c r="AI206" s="50" t="n"/>
      <c r="AJ206" s="32">
        <f>IFERROR(IF(A206="","",IF(H206&lt;=G206,"Departure must be after arrival",IF(OR(J206="",J206&lt;1),"Rooms must be at least 1",IF(D206="","Guest name missing",IF(COUNTIF($A$2:$A$251,A206)&gt;1,"Duplicate reservation ID",IF(AND(P206="Confirmed",G206&gt;=TODAY(),G206&lt;=TODAY()+'Setup &amp; Lists'!$B$12,Q206=""),"Assign room for near-term arrival",IF(AND(G206&lt;TODAY(),P206="Confirmed"),"Past-due confirmed arrival",IF(AND(G206&gt;TODAY(),P206="Confirmed",AC206&lt;AB206),"Deposit shortfall",IF(AND(H206&lt;TODAY(),AD206&gt;0,P206&lt;&gt;"Cancelled"),"Balance remains after departure",IF(R206&lt;0,"Nightly rate is negative",IF(AC206&gt;Z206,"Deposit paid exceeds total value",""))))))))))),"")</f>
        <v/>
      </c>
    </row>
    <row r="207">
      <c r="A207" s="25" t="n"/>
      <c r="B207" s="25" t="n"/>
      <c r="C207" s="50" t="n"/>
      <c r="D207" s="25" t="n"/>
      <c r="E207" s="25" t="n"/>
      <c r="F207" s="25" t="n"/>
      <c r="G207" s="50" t="n"/>
      <c r="H207" s="50" t="n"/>
      <c r="I207" s="27">
        <f>IFERROR(IF(A207="","",MAX(0,H207-G207)),"")</f>
        <v/>
      </c>
      <c r="J207" s="28" t="n"/>
      <c r="K207" s="28" t="n"/>
      <c r="L207" s="28" t="n"/>
      <c r="M207" s="25" t="n"/>
      <c r="N207" s="25" t="n"/>
      <c r="O207" s="25" t="n"/>
      <c r="P207" s="25" t="n"/>
      <c r="Q207" s="25" t="n"/>
      <c r="R207" s="51" t="n"/>
      <c r="S207" s="52" t="n"/>
      <c r="T207" s="51" t="n"/>
      <c r="U207" s="52" t="n"/>
      <c r="V207" s="52" t="n"/>
      <c r="W207" s="53">
        <f>IFERROR(IF(A207="","",ROUND(I207*J207*R207*(1-S207),2)),"")</f>
        <v/>
      </c>
      <c r="X207" s="53">
        <f>IFERROR(IF(A207="","",ROUND(W207*IF(V207="",'Setup &amp; Lists'!$B$7,V207),2)),"")</f>
        <v/>
      </c>
      <c r="Y207" s="53">
        <f>IFERROR(IF(A207="","",ROUND((W207+IF('Setup &amp; Lists'!$B$8="Yes",T207,0)+IF('Setup &amp; Lists'!$B$9="Yes",X207,0))*IF(U207="",'Setup &amp; Lists'!$B$6,U207),2)),"")</f>
        <v/>
      </c>
      <c r="Z207" s="53">
        <f>IFERROR(IF(A207="","",ROUND(W207+T207+X207+Y207,2)),"")</f>
        <v/>
      </c>
      <c r="AA207" s="51" t="n"/>
      <c r="AB207" s="53">
        <f>IFERROR(IF(A207="","",ROUND(IF(AA207&lt;&gt;"",AA207,Z207*'Setup &amp; Lists'!$B$10),2)),"")</f>
        <v/>
      </c>
      <c r="AC207" s="51" t="n"/>
      <c r="AD207" s="53">
        <f>IFERROR(IF(A207="","",MAX(0,ROUND(Z207-AC207,2))),"")</f>
        <v/>
      </c>
      <c r="AE207" s="32">
        <f>IFERROR(IF(A207="","",IF(AD207=0,"Paid",IF(AC207&gt;=AB207,"Deposit Met",IF(AC207&gt;0,"Partial Payment","Unpaid")))),"")</f>
        <v/>
      </c>
      <c r="AF207" s="54">
        <f>IFERROR(IF(OR(A207="",G207=""),"",G207-('Setup &amp; Lists'!$B$11/24)),"")</f>
        <v/>
      </c>
      <c r="AG207" s="25" t="n"/>
      <c r="AH207" s="25" t="n"/>
      <c r="AI207" s="50" t="n"/>
      <c r="AJ207" s="32">
        <f>IFERROR(IF(A207="","",IF(H207&lt;=G207,"Departure must be after arrival",IF(OR(J207="",J207&lt;1),"Rooms must be at least 1",IF(D207="","Guest name missing",IF(COUNTIF($A$2:$A$251,A207)&gt;1,"Duplicate reservation ID",IF(AND(P207="Confirmed",G207&gt;=TODAY(),G207&lt;=TODAY()+'Setup &amp; Lists'!$B$12,Q207=""),"Assign room for near-term arrival",IF(AND(G207&lt;TODAY(),P207="Confirmed"),"Past-due confirmed arrival",IF(AND(G207&gt;TODAY(),P207="Confirmed",AC207&lt;AB207),"Deposit shortfall",IF(AND(H207&lt;TODAY(),AD207&gt;0,P207&lt;&gt;"Cancelled"),"Balance remains after departure",IF(R207&lt;0,"Nightly rate is negative",IF(AC207&gt;Z207,"Deposit paid exceeds total value",""))))))))))),"")</f>
        <v/>
      </c>
    </row>
    <row r="208">
      <c r="A208" s="25" t="n"/>
      <c r="B208" s="25" t="n"/>
      <c r="C208" s="50" t="n"/>
      <c r="D208" s="25" t="n"/>
      <c r="E208" s="25" t="n"/>
      <c r="F208" s="25" t="n"/>
      <c r="G208" s="50" t="n"/>
      <c r="H208" s="50" t="n"/>
      <c r="I208" s="27">
        <f>IFERROR(IF(A208="","",MAX(0,H208-G208)),"")</f>
        <v/>
      </c>
      <c r="J208" s="28" t="n"/>
      <c r="K208" s="28" t="n"/>
      <c r="L208" s="28" t="n"/>
      <c r="M208" s="25" t="n"/>
      <c r="N208" s="25" t="n"/>
      <c r="O208" s="25" t="n"/>
      <c r="P208" s="25" t="n"/>
      <c r="Q208" s="25" t="n"/>
      <c r="R208" s="51" t="n"/>
      <c r="S208" s="52" t="n"/>
      <c r="T208" s="51" t="n"/>
      <c r="U208" s="52" t="n"/>
      <c r="V208" s="52" t="n"/>
      <c r="W208" s="53">
        <f>IFERROR(IF(A208="","",ROUND(I208*J208*R208*(1-S208),2)),"")</f>
        <v/>
      </c>
      <c r="X208" s="53">
        <f>IFERROR(IF(A208="","",ROUND(W208*IF(V208="",'Setup &amp; Lists'!$B$7,V208),2)),"")</f>
        <v/>
      </c>
      <c r="Y208" s="53">
        <f>IFERROR(IF(A208="","",ROUND((W208+IF('Setup &amp; Lists'!$B$8="Yes",T208,0)+IF('Setup &amp; Lists'!$B$9="Yes",X208,0))*IF(U208="",'Setup &amp; Lists'!$B$6,U208),2)),"")</f>
        <v/>
      </c>
      <c r="Z208" s="53">
        <f>IFERROR(IF(A208="","",ROUND(W208+T208+X208+Y208,2)),"")</f>
        <v/>
      </c>
      <c r="AA208" s="51" t="n"/>
      <c r="AB208" s="53">
        <f>IFERROR(IF(A208="","",ROUND(IF(AA208&lt;&gt;"",AA208,Z208*'Setup &amp; Lists'!$B$10),2)),"")</f>
        <v/>
      </c>
      <c r="AC208" s="51" t="n"/>
      <c r="AD208" s="53">
        <f>IFERROR(IF(A208="","",MAX(0,ROUND(Z208-AC208,2))),"")</f>
        <v/>
      </c>
      <c r="AE208" s="32">
        <f>IFERROR(IF(A208="","",IF(AD208=0,"Paid",IF(AC208&gt;=AB208,"Deposit Met",IF(AC208&gt;0,"Partial Payment","Unpaid")))),"")</f>
        <v/>
      </c>
      <c r="AF208" s="54">
        <f>IFERROR(IF(OR(A208="",G208=""),"",G208-('Setup &amp; Lists'!$B$11/24)),"")</f>
        <v/>
      </c>
      <c r="AG208" s="25" t="n"/>
      <c r="AH208" s="25" t="n"/>
      <c r="AI208" s="50" t="n"/>
      <c r="AJ208" s="32">
        <f>IFERROR(IF(A208="","",IF(H208&lt;=G208,"Departure must be after arrival",IF(OR(J208="",J208&lt;1),"Rooms must be at least 1",IF(D208="","Guest name missing",IF(COUNTIF($A$2:$A$251,A208)&gt;1,"Duplicate reservation ID",IF(AND(P208="Confirmed",G208&gt;=TODAY(),G208&lt;=TODAY()+'Setup &amp; Lists'!$B$12,Q208=""),"Assign room for near-term arrival",IF(AND(G208&lt;TODAY(),P208="Confirmed"),"Past-due confirmed arrival",IF(AND(G208&gt;TODAY(),P208="Confirmed",AC208&lt;AB208),"Deposit shortfall",IF(AND(H208&lt;TODAY(),AD208&gt;0,P208&lt;&gt;"Cancelled"),"Balance remains after departure",IF(R208&lt;0,"Nightly rate is negative",IF(AC208&gt;Z208,"Deposit paid exceeds total value",""))))))))))),"")</f>
        <v/>
      </c>
    </row>
    <row r="209">
      <c r="A209" s="25" t="n"/>
      <c r="B209" s="25" t="n"/>
      <c r="C209" s="50" t="n"/>
      <c r="D209" s="25" t="n"/>
      <c r="E209" s="25" t="n"/>
      <c r="F209" s="25" t="n"/>
      <c r="G209" s="50" t="n"/>
      <c r="H209" s="50" t="n"/>
      <c r="I209" s="27">
        <f>IFERROR(IF(A209="","",MAX(0,H209-G209)),"")</f>
        <v/>
      </c>
      <c r="J209" s="28" t="n"/>
      <c r="K209" s="28" t="n"/>
      <c r="L209" s="28" t="n"/>
      <c r="M209" s="25" t="n"/>
      <c r="N209" s="25" t="n"/>
      <c r="O209" s="25" t="n"/>
      <c r="P209" s="25" t="n"/>
      <c r="Q209" s="25" t="n"/>
      <c r="R209" s="51" t="n"/>
      <c r="S209" s="52" t="n"/>
      <c r="T209" s="51" t="n"/>
      <c r="U209" s="52" t="n"/>
      <c r="V209" s="52" t="n"/>
      <c r="W209" s="53">
        <f>IFERROR(IF(A209="","",ROUND(I209*J209*R209*(1-S209),2)),"")</f>
        <v/>
      </c>
      <c r="X209" s="53">
        <f>IFERROR(IF(A209="","",ROUND(W209*IF(V209="",'Setup &amp; Lists'!$B$7,V209),2)),"")</f>
        <v/>
      </c>
      <c r="Y209" s="53">
        <f>IFERROR(IF(A209="","",ROUND((W209+IF('Setup &amp; Lists'!$B$8="Yes",T209,0)+IF('Setup &amp; Lists'!$B$9="Yes",X209,0))*IF(U209="",'Setup &amp; Lists'!$B$6,U209),2)),"")</f>
        <v/>
      </c>
      <c r="Z209" s="53">
        <f>IFERROR(IF(A209="","",ROUND(W209+T209+X209+Y209,2)),"")</f>
        <v/>
      </c>
      <c r="AA209" s="51" t="n"/>
      <c r="AB209" s="53">
        <f>IFERROR(IF(A209="","",ROUND(IF(AA209&lt;&gt;"",AA209,Z209*'Setup &amp; Lists'!$B$10),2)),"")</f>
        <v/>
      </c>
      <c r="AC209" s="51" t="n"/>
      <c r="AD209" s="53">
        <f>IFERROR(IF(A209="","",MAX(0,ROUND(Z209-AC209,2))),"")</f>
        <v/>
      </c>
      <c r="AE209" s="32">
        <f>IFERROR(IF(A209="","",IF(AD209=0,"Paid",IF(AC209&gt;=AB209,"Deposit Met",IF(AC209&gt;0,"Partial Payment","Unpaid")))),"")</f>
        <v/>
      </c>
      <c r="AF209" s="54">
        <f>IFERROR(IF(OR(A209="",G209=""),"",G209-('Setup &amp; Lists'!$B$11/24)),"")</f>
        <v/>
      </c>
      <c r="AG209" s="25" t="n"/>
      <c r="AH209" s="25" t="n"/>
      <c r="AI209" s="50" t="n"/>
      <c r="AJ209" s="32">
        <f>IFERROR(IF(A209="","",IF(H209&lt;=G209,"Departure must be after arrival",IF(OR(J209="",J209&lt;1),"Rooms must be at least 1",IF(D209="","Guest name missing",IF(COUNTIF($A$2:$A$251,A209)&gt;1,"Duplicate reservation ID",IF(AND(P209="Confirmed",G209&gt;=TODAY(),G209&lt;=TODAY()+'Setup &amp; Lists'!$B$12,Q209=""),"Assign room for near-term arrival",IF(AND(G209&lt;TODAY(),P209="Confirmed"),"Past-due confirmed arrival",IF(AND(G209&gt;TODAY(),P209="Confirmed",AC209&lt;AB209),"Deposit shortfall",IF(AND(H209&lt;TODAY(),AD209&gt;0,P209&lt;&gt;"Cancelled"),"Balance remains after departure",IF(R209&lt;0,"Nightly rate is negative",IF(AC209&gt;Z209,"Deposit paid exceeds total value",""))))))))))),"")</f>
        <v/>
      </c>
    </row>
    <row r="210">
      <c r="A210" s="25" t="n"/>
      <c r="B210" s="25" t="n"/>
      <c r="C210" s="50" t="n"/>
      <c r="D210" s="25" t="n"/>
      <c r="E210" s="25" t="n"/>
      <c r="F210" s="25" t="n"/>
      <c r="G210" s="50" t="n"/>
      <c r="H210" s="50" t="n"/>
      <c r="I210" s="27">
        <f>IFERROR(IF(A210="","",MAX(0,H210-G210)),"")</f>
        <v/>
      </c>
      <c r="J210" s="28" t="n"/>
      <c r="K210" s="28" t="n"/>
      <c r="L210" s="28" t="n"/>
      <c r="M210" s="25" t="n"/>
      <c r="N210" s="25" t="n"/>
      <c r="O210" s="25" t="n"/>
      <c r="P210" s="25" t="n"/>
      <c r="Q210" s="25" t="n"/>
      <c r="R210" s="51" t="n"/>
      <c r="S210" s="52" t="n"/>
      <c r="T210" s="51" t="n"/>
      <c r="U210" s="52" t="n"/>
      <c r="V210" s="52" t="n"/>
      <c r="W210" s="53">
        <f>IFERROR(IF(A210="","",ROUND(I210*J210*R210*(1-S210),2)),"")</f>
        <v/>
      </c>
      <c r="X210" s="53">
        <f>IFERROR(IF(A210="","",ROUND(W210*IF(V210="",'Setup &amp; Lists'!$B$7,V210),2)),"")</f>
        <v/>
      </c>
      <c r="Y210" s="53">
        <f>IFERROR(IF(A210="","",ROUND((W210+IF('Setup &amp; Lists'!$B$8="Yes",T210,0)+IF('Setup &amp; Lists'!$B$9="Yes",X210,0))*IF(U210="",'Setup &amp; Lists'!$B$6,U210),2)),"")</f>
        <v/>
      </c>
      <c r="Z210" s="53">
        <f>IFERROR(IF(A210="","",ROUND(W210+T210+X210+Y210,2)),"")</f>
        <v/>
      </c>
      <c r="AA210" s="51" t="n"/>
      <c r="AB210" s="53">
        <f>IFERROR(IF(A210="","",ROUND(IF(AA210&lt;&gt;"",AA210,Z210*'Setup &amp; Lists'!$B$10),2)),"")</f>
        <v/>
      </c>
      <c r="AC210" s="51" t="n"/>
      <c r="AD210" s="53">
        <f>IFERROR(IF(A210="","",MAX(0,ROUND(Z210-AC210,2))),"")</f>
        <v/>
      </c>
      <c r="AE210" s="32">
        <f>IFERROR(IF(A210="","",IF(AD210=0,"Paid",IF(AC210&gt;=AB210,"Deposit Met",IF(AC210&gt;0,"Partial Payment","Unpaid")))),"")</f>
        <v/>
      </c>
      <c r="AF210" s="54">
        <f>IFERROR(IF(OR(A210="",G210=""),"",G210-('Setup &amp; Lists'!$B$11/24)),"")</f>
        <v/>
      </c>
      <c r="AG210" s="25" t="n"/>
      <c r="AH210" s="25" t="n"/>
      <c r="AI210" s="50" t="n"/>
      <c r="AJ210" s="32">
        <f>IFERROR(IF(A210="","",IF(H210&lt;=G210,"Departure must be after arrival",IF(OR(J210="",J210&lt;1),"Rooms must be at least 1",IF(D210="","Guest name missing",IF(COUNTIF($A$2:$A$251,A210)&gt;1,"Duplicate reservation ID",IF(AND(P210="Confirmed",G210&gt;=TODAY(),G210&lt;=TODAY()+'Setup &amp; Lists'!$B$12,Q210=""),"Assign room for near-term arrival",IF(AND(G210&lt;TODAY(),P210="Confirmed"),"Past-due confirmed arrival",IF(AND(G210&gt;TODAY(),P210="Confirmed",AC210&lt;AB210),"Deposit shortfall",IF(AND(H210&lt;TODAY(),AD210&gt;0,P210&lt;&gt;"Cancelled"),"Balance remains after departure",IF(R210&lt;0,"Nightly rate is negative",IF(AC210&gt;Z210,"Deposit paid exceeds total value",""))))))))))),"")</f>
        <v/>
      </c>
    </row>
    <row r="211">
      <c r="A211" s="25" t="n"/>
      <c r="B211" s="25" t="n"/>
      <c r="C211" s="50" t="n"/>
      <c r="D211" s="25" t="n"/>
      <c r="E211" s="25" t="n"/>
      <c r="F211" s="25" t="n"/>
      <c r="G211" s="50" t="n"/>
      <c r="H211" s="50" t="n"/>
      <c r="I211" s="27">
        <f>IFERROR(IF(A211="","",MAX(0,H211-G211)),"")</f>
        <v/>
      </c>
      <c r="J211" s="28" t="n"/>
      <c r="K211" s="28" t="n"/>
      <c r="L211" s="28" t="n"/>
      <c r="M211" s="25" t="n"/>
      <c r="N211" s="25" t="n"/>
      <c r="O211" s="25" t="n"/>
      <c r="P211" s="25" t="n"/>
      <c r="Q211" s="25" t="n"/>
      <c r="R211" s="51" t="n"/>
      <c r="S211" s="52" t="n"/>
      <c r="T211" s="51" t="n"/>
      <c r="U211" s="52" t="n"/>
      <c r="V211" s="52" t="n"/>
      <c r="W211" s="53">
        <f>IFERROR(IF(A211="","",ROUND(I211*J211*R211*(1-S211),2)),"")</f>
        <v/>
      </c>
      <c r="X211" s="53">
        <f>IFERROR(IF(A211="","",ROUND(W211*IF(V211="",'Setup &amp; Lists'!$B$7,V211),2)),"")</f>
        <v/>
      </c>
      <c r="Y211" s="53">
        <f>IFERROR(IF(A211="","",ROUND((W211+IF('Setup &amp; Lists'!$B$8="Yes",T211,0)+IF('Setup &amp; Lists'!$B$9="Yes",X211,0))*IF(U211="",'Setup &amp; Lists'!$B$6,U211),2)),"")</f>
        <v/>
      </c>
      <c r="Z211" s="53">
        <f>IFERROR(IF(A211="","",ROUND(W211+T211+X211+Y211,2)),"")</f>
        <v/>
      </c>
      <c r="AA211" s="51" t="n"/>
      <c r="AB211" s="53">
        <f>IFERROR(IF(A211="","",ROUND(IF(AA211&lt;&gt;"",AA211,Z211*'Setup &amp; Lists'!$B$10),2)),"")</f>
        <v/>
      </c>
      <c r="AC211" s="51" t="n"/>
      <c r="AD211" s="53">
        <f>IFERROR(IF(A211="","",MAX(0,ROUND(Z211-AC211,2))),"")</f>
        <v/>
      </c>
      <c r="AE211" s="32">
        <f>IFERROR(IF(A211="","",IF(AD211=0,"Paid",IF(AC211&gt;=AB211,"Deposit Met",IF(AC211&gt;0,"Partial Payment","Unpaid")))),"")</f>
        <v/>
      </c>
      <c r="AF211" s="54">
        <f>IFERROR(IF(OR(A211="",G211=""),"",G211-('Setup &amp; Lists'!$B$11/24)),"")</f>
        <v/>
      </c>
      <c r="AG211" s="25" t="n"/>
      <c r="AH211" s="25" t="n"/>
      <c r="AI211" s="50" t="n"/>
      <c r="AJ211" s="32">
        <f>IFERROR(IF(A211="","",IF(H211&lt;=G211,"Departure must be after arrival",IF(OR(J211="",J211&lt;1),"Rooms must be at least 1",IF(D211="","Guest name missing",IF(COUNTIF($A$2:$A$251,A211)&gt;1,"Duplicate reservation ID",IF(AND(P211="Confirmed",G211&gt;=TODAY(),G211&lt;=TODAY()+'Setup &amp; Lists'!$B$12,Q211=""),"Assign room for near-term arrival",IF(AND(G211&lt;TODAY(),P211="Confirmed"),"Past-due confirmed arrival",IF(AND(G211&gt;TODAY(),P211="Confirmed",AC211&lt;AB211),"Deposit shortfall",IF(AND(H211&lt;TODAY(),AD211&gt;0,P211&lt;&gt;"Cancelled"),"Balance remains after departure",IF(R211&lt;0,"Nightly rate is negative",IF(AC211&gt;Z211,"Deposit paid exceeds total value",""))))))))))),"")</f>
        <v/>
      </c>
    </row>
    <row r="212">
      <c r="A212" s="25" t="n"/>
      <c r="B212" s="25" t="n"/>
      <c r="C212" s="50" t="n"/>
      <c r="D212" s="25" t="n"/>
      <c r="E212" s="25" t="n"/>
      <c r="F212" s="25" t="n"/>
      <c r="G212" s="50" t="n"/>
      <c r="H212" s="50" t="n"/>
      <c r="I212" s="27">
        <f>IFERROR(IF(A212="","",MAX(0,H212-G212)),"")</f>
        <v/>
      </c>
      <c r="J212" s="28" t="n"/>
      <c r="K212" s="28" t="n"/>
      <c r="L212" s="28" t="n"/>
      <c r="M212" s="25" t="n"/>
      <c r="N212" s="25" t="n"/>
      <c r="O212" s="25" t="n"/>
      <c r="P212" s="25" t="n"/>
      <c r="Q212" s="25" t="n"/>
      <c r="R212" s="51" t="n"/>
      <c r="S212" s="52" t="n"/>
      <c r="T212" s="51" t="n"/>
      <c r="U212" s="52" t="n"/>
      <c r="V212" s="52" t="n"/>
      <c r="W212" s="53">
        <f>IFERROR(IF(A212="","",ROUND(I212*J212*R212*(1-S212),2)),"")</f>
        <v/>
      </c>
      <c r="X212" s="53">
        <f>IFERROR(IF(A212="","",ROUND(W212*IF(V212="",'Setup &amp; Lists'!$B$7,V212),2)),"")</f>
        <v/>
      </c>
      <c r="Y212" s="53">
        <f>IFERROR(IF(A212="","",ROUND((W212+IF('Setup &amp; Lists'!$B$8="Yes",T212,0)+IF('Setup &amp; Lists'!$B$9="Yes",X212,0))*IF(U212="",'Setup &amp; Lists'!$B$6,U212),2)),"")</f>
        <v/>
      </c>
      <c r="Z212" s="53">
        <f>IFERROR(IF(A212="","",ROUND(W212+T212+X212+Y212,2)),"")</f>
        <v/>
      </c>
      <c r="AA212" s="51" t="n"/>
      <c r="AB212" s="53">
        <f>IFERROR(IF(A212="","",ROUND(IF(AA212&lt;&gt;"",AA212,Z212*'Setup &amp; Lists'!$B$10),2)),"")</f>
        <v/>
      </c>
      <c r="AC212" s="51" t="n"/>
      <c r="AD212" s="53">
        <f>IFERROR(IF(A212="","",MAX(0,ROUND(Z212-AC212,2))),"")</f>
        <v/>
      </c>
      <c r="AE212" s="32">
        <f>IFERROR(IF(A212="","",IF(AD212=0,"Paid",IF(AC212&gt;=AB212,"Deposit Met",IF(AC212&gt;0,"Partial Payment","Unpaid")))),"")</f>
        <v/>
      </c>
      <c r="AF212" s="54">
        <f>IFERROR(IF(OR(A212="",G212=""),"",G212-('Setup &amp; Lists'!$B$11/24)),"")</f>
        <v/>
      </c>
      <c r="AG212" s="25" t="n"/>
      <c r="AH212" s="25" t="n"/>
      <c r="AI212" s="50" t="n"/>
      <c r="AJ212" s="32">
        <f>IFERROR(IF(A212="","",IF(H212&lt;=G212,"Departure must be after arrival",IF(OR(J212="",J212&lt;1),"Rooms must be at least 1",IF(D212="","Guest name missing",IF(COUNTIF($A$2:$A$251,A212)&gt;1,"Duplicate reservation ID",IF(AND(P212="Confirmed",G212&gt;=TODAY(),G212&lt;=TODAY()+'Setup &amp; Lists'!$B$12,Q212=""),"Assign room for near-term arrival",IF(AND(G212&lt;TODAY(),P212="Confirmed"),"Past-due confirmed arrival",IF(AND(G212&gt;TODAY(),P212="Confirmed",AC212&lt;AB212),"Deposit shortfall",IF(AND(H212&lt;TODAY(),AD212&gt;0,P212&lt;&gt;"Cancelled"),"Balance remains after departure",IF(R212&lt;0,"Nightly rate is negative",IF(AC212&gt;Z212,"Deposit paid exceeds total value",""))))))))))),"")</f>
        <v/>
      </c>
    </row>
    <row r="213">
      <c r="A213" s="25" t="n"/>
      <c r="B213" s="25" t="n"/>
      <c r="C213" s="50" t="n"/>
      <c r="D213" s="25" t="n"/>
      <c r="E213" s="25" t="n"/>
      <c r="F213" s="25" t="n"/>
      <c r="G213" s="50" t="n"/>
      <c r="H213" s="50" t="n"/>
      <c r="I213" s="27">
        <f>IFERROR(IF(A213="","",MAX(0,H213-G213)),"")</f>
        <v/>
      </c>
      <c r="J213" s="28" t="n"/>
      <c r="K213" s="28" t="n"/>
      <c r="L213" s="28" t="n"/>
      <c r="M213" s="25" t="n"/>
      <c r="N213" s="25" t="n"/>
      <c r="O213" s="25" t="n"/>
      <c r="P213" s="25" t="n"/>
      <c r="Q213" s="25" t="n"/>
      <c r="R213" s="51" t="n"/>
      <c r="S213" s="52" t="n"/>
      <c r="T213" s="51" t="n"/>
      <c r="U213" s="52" t="n"/>
      <c r="V213" s="52" t="n"/>
      <c r="W213" s="53">
        <f>IFERROR(IF(A213="","",ROUND(I213*J213*R213*(1-S213),2)),"")</f>
        <v/>
      </c>
      <c r="X213" s="53">
        <f>IFERROR(IF(A213="","",ROUND(W213*IF(V213="",'Setup &amp; Lists'!$B$7,V213),2)),"")</f>
        <v/>
      </c>
      <c r="Y213" s="53">
        <f>IFERROR(IF(A213="","",ROUND((W213+IF('Setup &amp; Lists'!$B$8="Yes",T213,0)+IF('Setup &amp; Lists'!$B$9="Yes",X213,0))*IF(U213="",'Setup &amp; Lists'!$B$6,U213),2)),"")</f>
        <v/>
      </c>
      <c r="Z213" s="53">
        <f>IFERROR(IF(A213="","",ROUND(W213+T213+X213+Y213,2)),"")</f>
        <v/>
      </c>
      <c r="AA213" s="51" t="n"/>
      <c r="AB213" s="53">
        <f>IFERROR(IF(A213="","",ROUND(IF(AA213&lt;&gt;"",AA213,Z213*'Setup &amp; Lists'!$B$10),2)),"")</f>
        <v/>
      </c>
      <c r="AC213" s="51" t="n"/>
      <c r="AD213" s="53">
        <f>IFERROR(IF(A213="","",MAX(0,ROUND(Z213-AC213,2))),"")</f>
        <v/>
      </c>
      <c r="AE213" s="32">
        <f>IFERROR(IF(A213="","",IF(AD213=0,"Paid",IF(AC213&gt;=AB213,"Deposit Met",IF(AC213&gt;0,"Partial Payment","Unpaid")))),"")</f>
        <v/>
      </c>
      <c r="AF213" s="54">
        <f>IFERROR(IF(OR(A213="",G213=""),"",G213-('Setup &amp; Lists'!$B$11/24)),"")</f>
        <v/>
      </c>
      <c r="AG213" s="25" t="n"/>
      <c r="AH213" s="25" t="n"/>
      <c r="AI213" s="50" t="n"/>
      <c r="AJ213" s="32">
        <f>IFERROR(IF(A213="","",IF(H213&lt;=G213,"Departure must be after arrival",IF(OR(J213="",J213&lt;1),"Rooms must be at least 1",IF(D213="","Guest name missing",IF(COUNTIF($A$2:$A$251,A213)&gt;1,"Duplicate reservation ID",IF(AND(P213="Confirmed",G213&gt;=TODAY(),G213&lt;=TODAY()+'Setup &amp; Lists'!$B$12,Q213=""),"Assign room for near-term arrival",IF(AND(G213&lt;TODAY(),P213="Confirmed"),"Past-due confirmed arrival",IF(AND(G213&gt;TODAY(),P213="Confirmed",AC213&lt;AB213),"Deposit shortfall",IF(AND(H213&lt;TODAY(),AD213&gt;0,P213&lt;&gt;"Cancelled"),"Balance remains after departure",IF(R213&lt;0,"Nightly rate is negative",IF(AC213&gt;Z213,"Deposit paid exceeds total value",""))))))))))),"")</f>
        <v/>
      </c>
    </row>
    <row r="214">
      <c r="A214" s="25" t="n"/>
      <c r="B214" s="25" t="n"/>
      <c r="C214" s="50" t="n"/>
      <c r="D214" s="25" t="n"/>
      <c r="E214" s="25" t="n"/>
      <c r="F214" s="25" t="n"/>
      <c r="G214" s="50" t="n"/>
      <c r="H214" s="50" t="n"/>
      <c r="I214" s="27">
        <f>IFERROR(IF(A214="","",MAX(0,H214-G214)),"")</f>
        <v/>
      </c>
      <c r="J214" s="28" t="n"/>
      <c r="K214" s="28" t="n"/>
      <c r="L214" s="28" t="n"/>
      <c r="M214" s="25" t="n"/>
      <c r="N214" s="25" t="n"/>
      <c r="O214" s="25" t="n"/>
      <c r="P214" s="25" t="n"/>
      <c r="Q214" s="25" t="n"/>
      <c r="R214" s="51" t="n"/>
      <c r="S214" s="52" t="n"/>
      <c r="T214" s="51" t="n"/>
      <c r="U214" s="52" t="n"/>
      <c r="V214" s="52" t="n"/>
      <c r="W214" s="53">
        <f>IFERROR(IF(A214="","",ROUND(I214*J214*R214*(1-S214),2)),"")</f>
        <v/>
      </c>
      <c r="X214" s="53">
        <f>IFERROR(IF(A214="","",ROUND(W214*IF(V214="",'Setup &amp; Lists'!$B$7,V214),2)),"")</f>
        <v/>
      </c>
      <c r="Y214" s="53">
        <f>IFERROR(IF(A214="","",ROUND((W214+IF('Setup &amp; Lists'!$B$8="Yes",T214,0)+IF('Setup &amp; Lists'!$B$9="Yes",X214,0))*IF(U214="",'Setup &amp; Lists'!$B$6,U214),2)),"")</f>
        <v/>
      </c>
      <c r="Z214" s="53">
        <f>IFERROR(IF(A214="","",ROUND(W214+T214+X214+Y214,2)),"")</f>
        <v/>
      </c>
      <c r="AA214" s="51" t="n"/>
      <c r="AB214" s="53">
        <f>IFERROR(IF(A214="","",ROUND(IF(AA214&lt;&gt;"",AA214,Z214*'Setup &amp; Lists'!$B$10),2)),"")</f>
        <v/>
      </c>
      <c r="AC214" s="51" t="n"/>
      <c r="AD214" s="53">
        <f>IFERROR(IF(A214="","",MAX(0,ROUND(Z214-AC214,2))),"")</f>
        <v/>
      </c>
      <c r="AE214" s="32">
        <f>IFERROR(IF(A214="","",IF(AD214=0,"Paid",IF(AC214&gt;=AB214,"Deposit Met",IF(AC214&gt;0,"Partial Payment","Unpaid")))),"")</f>
        <v/>
      </c>
      <c r="AF214" s="54">
        <f>IFERROR(IF(OR(A214="",G214=""),"",G214-('Setup &amp; Lists'!$B$11/24)),"")</f>
        <v/>
      </c>
      <c r="AG214" s="25" t="n"/>
      <c r="AH214" s="25" t="n"/>
      <c r="AI214" s="50" t="n"/>
      <c r="AJ214" s="32">
        <f>IFERROR(IF(A214="","",IF(H214&lt;=G214,"Departure must be after arrival",IF(OR(J214="",J214&lt;1),"Rooms must be at least 1",IF(D214="","Guest name missing",IF(COUNTIF($A$2:$A$251,A214)&gt;1,"Duplicate reservation ID",IF(AND(P214="Confirmed",G214&gt;=TODAY(),G214&lt;=TODAY()+'Setup &amp; Lists'!$B$12,Q214=""),"Assign room for near-term arrival",IF(AND(G214&lt;TODAY(),P214="Confirmed"),"Past-due confirmed arrival",IF(AND(G214&gt;TODAY(),P214="Confirmed",AC214&lt;AB214),"Deposit shortfall",IF(AND(H214&lt;TODAY(),AD214&gt;0,P214&lt;&gt;"Cancelled"),"Balance remains after departure",IF(R214&lt;0,"Nightly rate is negative",IF(AC214&gt;Z214,"Deposit paid exceeds total value",""))))))))))),"")</f>
        <v/>
      </c>
    </row>
    <row r="215">
      <c r="A215" s="25" t="n"/>
      <c r="B215" s="25" t="n"/>
      <c r="C215" s="50" t="n"/>
      <c r="D215" s="25" t="n"/>
      <c r="E215" s="25" t="n"/>
      <c r="F215" s="25" t="n"/>
      <c r="G215" s="50" t="n"/>
      <c r="H215" s="50" t="n"/>
      <c r="I215" s="27">
        <f>IFERROR(IF(A215="","",MAX(0,H215-G215)),"")</f>
        <v/>
      </c>
      <c r="J215" s="28" t="n"/>
      <c r="K215" s="28" t="n"/>
      <c r="L215" s="28" t="n"/>
      <c r="M215" s="25" t="n"/>
      <c r="N215" s="25" t="n"/>
      <c r="O215" s="25" t="n"/>
      <c r="P215" s="25" t="n"/>
      <c r="Q215" s="25" t="n"/>
      <c r="R215" s="51" t="n"/>
      <c r="S215" s="52" t="n"/>
      <c r="T215" s="51" t="n"/>
      <c r="U215" s="52" t="n"/>
      <c r="V215" s="52" t="n"/>
      <c r="W215" s="53">
        <f>IFERROR(IF(A215="","",ROUND(I215*J215*R215*(1-S215),2)),"")</f>
        <v/>
      </c>
      <c r="X215" s="53">
        <f>IFERROR(IF(A215="","",ROUND(W215*IF(V215="",'Setup &amp; Lists'!$B$7,V215),2)),"")</f>
        <v/>
      </c>
      <c r="Y215" s="53">
        <f>IFERROR(IF(A215="","",ROUND((W215+IF('Setup &amp; Lists'!$B$8="Yes",T215,0)+IF('Setup &amp; Lists'!$B$9="Yes",X215,0))*IF(U215="",'Setup &amp; Lists'!$B$6,U215),2)),"")</f>
        <v/>
      </c>
      <c r="Z215" s="53">
        <f>IFERROR(IF(A215="","",ROUND(W215+T215+X215+Y215,2)),"")</f>
        <v/>
      </c>
      <c r="AA215" s="51" t="n"/>
      <c r="AB215" s="53">
        <f>IFERROR(IF(A215="","",ROUND(IF(AA215&lt;&gt;"",AA215,Z215*'Setup &amp; Lists'!$B$10),2)),"")</f>
        <v/>
      </c>
      <c r="AC215" s="51" t="n"/>
      <c r="AD215" s="53">
        <f>IFERROR(IF(A215="","",MAX(0,ROUND(Z215-AC215,2))),"")</f>
        <v/>
      </c>
      <c r="AE215" s="32">
        <f>IFERROR(IF(A215="","",IF(AD215=0,"Paid",IF(AC215&gt;=AB215,"Deposit Met",IF(AC215&gt;0,"Partial Payment","Unpaid")))),"")</f>
        <v/>
      </c>
      <c r="AF215" s="54">
        <f>IFERROR(IF(OR(A215="",G215=""),"",G215-('Setup &amp; Lists'!$B$11/24)),"")</f>
        <v/>
      </c>
      <c r="AG215" s="25" t="n"/>
      <c r="AH215" s="25" t="n"/>
      <c r="AI215" s="50" t="n"/>
      <c r="AJ215" s="32">
        <f>IFERROR(IF(A215="","",IF(H215&lt;=G215,"Departure must be after arrival",IF(OR(J215="",J215&lt;1),"Rooms must be at least 1",IF(D215="","Guest name missing",IF(COUNTIF($A$2:$A$251,A215)&gt;1,"Duplicate reservation ID",IF(AND(P215="Confirmed",G215&gt;=TODAY(),G215&lt;=TODAY()+'Setup &amp; Lists'!$B$12,Q215=""),"Assign room for near-term arrival",IF(AND(G215&lt;TODAY(),P215="Confirmed"),"Past-due confirmed arrival",IF(AND(G215&gt;TODAY(),P215="Confirmed",AC215&lt;AB215),"Deposit shortfall",IF(AND(H215&lt;TODAY(),AD215&gt;0,P215&lt;&gt;"Cancelled"),"Balance remains after departure",IF(R215&lt;0,"Nightly rate is negative",IF(AC215&gt;Z215,"Deposit paid exceeds total value",""))))))))))),"")</f>
        <v/>
      </c>
    </row>
    <row r="216">
      <c r="A216" s="25" t="n"/>
      <c r="B216" s="25" t="n"/>
      <c r="C216" s="50" t="n"/>
      <c r="D216" s="25" t="n"/>
      <c r="E216" s="25" t="n"/>
      <c r="F216" s="25" t="n"/>
      <c r="G216" s="50" t="n"/>
      <c r="H216" s="50" t="n"/>
      <c r="I216" s="27">
        <f>IFERROR(IF(A216="","",MAX(0,H216-G216)),"")</f>
        <v/>
      </c>
      <c r="J216" s="28" t="n"/>
      <c r="K216" s="28" t="n"/>
      <c r="L216" s="28" t="n"/>
      <c r="M216" s="25" t="n"/>
      <c r="N216" s="25" t="n"/>
      <c r="O216" s="25" t="n"/>
      <c r="P216" s="25" t="n"/>
      <c r="Q216" s="25" t="n"/>
      <c r="R216" s="51" t="n"/>
      <c r="S216" s="52" t="n"/>
      <c r="T216" s="51" t="n"/>
      <c r="U216" s="52" t="n"/>
      <c r="V216" s="52" t="n"/>
      <c r="W216" s="53">
        <f>IFERROR(IF(A216="","",ROUND(I216*J216*R216*(1-S216),2)),"")</f>
        <v/>
      </c>
      <c r="X216" s="53">
        <f>IFERROR(IF(A216="","",ROUND(W216*IF(V216="",'Setup &amp; Lists'!$B$7,V216),2)),"")</f>
        <v/>
      </c>
      <c r="Y216" s="53">
        <f>IFERROR(IF(A216="","",ROUND((W216+IF('Setup &amp; Lists'!$B$8="Yes",T216,0)+IF('Setup &amp; Lists'!$B$9="Yes",X216,0))*IF(U216="",'Setup &amp; Lists'!$B$6,U216),2)),"")</f>
        <v/>
      </c>
      <c r="Z216" s="53">
        <f>IFERROR(IF(A216="","",ROUND(W216+T216+X216+Y216,2)),"")</f>
        <v/>
      </c>
      <c r="AA216" s="51" t="n"/>
      <c r="AB216" s="53">
        <f>IFERROR(IF(A216="","",ROUND(IF(AA216&lt;&gt;"",AA216,Z216*'Setup &amp; Lists'!$B$10),2)),"")</f>
        <v/>
      </c>
      <c r="AC216" s="51" t="n"/>
      <c r="AD216" s="53">
        <f>IFERROR(IF(A216="","",MAX(0,ROUND(Z216-AC216,2))),"")</f>
        <v/>
      </c>
      <c r="AE216" s="32">
        <f>IFERROR(IF(A216="","",IF(AD216=0,"Paid",IF(AC216&gt;=AB216,"Deposit Met",IF(AC216&gt;0,"Partial Payment","Unpaid")))),"")</f>
        <v/>
      </c>
      <c r="AF216" s="54">
        <f>IFERROR(IF(OR(A216="",G216=""),"",G216-('Setup &amp; Lists'!$B$11/24)),"")</f>
        <v/>
      </c>
      <c r="AG216" s="25" t="n"/>
      <c r="AH216" s="25" t="n"/>
      <c r="AI216" s="50" t="n"/>
      <c r="AJ216" s="32">
        <f>IFERROR(IF(A216="","",IF(H216&lt;=G216,"Departure must be after arrival",IF(OR(J216="",J216&lt;1),"Rooms must be at least 1",IF(D216="","Guest name missing",IF(COUNTIF($A$2:$A$251,A216)&gt;1,"Duplicate reservation ID",IF(AND(P216="Confirmed",G216&gt;=TODAY(),G216&lt;=TODAY()+'Setup &amp; Lists'!$B$12,Q216=""),"Assign room for near-term arrival",IF(AND(G216&lt;TODAY(),P216="Confirmed"),"Past-due confirmed arrival",IF(AND(G216&gt;TODAY(),P216="Confirmed",AC216&lt;AB216),"Deposit shortfall",IF(AND(H216&lt;TODAY(),AD216&gt;0,P216&lt;&gt;"Cancelled"),"Balance remains after departure",IF(R216&lt;0,"Nightly rate is negative",IF(AC216&gt;Z216,"Deposit paid exceeds total value",""))))))))))),"")</f>
        <v/>
      </c>
    </row>
    <row r="217">
      <c r="A217" s="25" t="n"/>
      <c r="B217" s="25" t="n"/>
      <c r="C217" s="50" t="n"/>
      <c r="D217" s="25" t="n"/>
      <c r="E217" s="25" t="n"/>
      <c r="F217" s="25" t="n"/>
      <c r="G217" s="50" t="n"/>
      <c r="H217" s="50" t="n"/>
      <c r="I217" s="27">
        <f>IFERROR(IF(A217="","",MAX(0,H217-G217)),"")</f>
        <v/>
      </c>
      <c r="J217" s="28" t="n"/>
      <c r="K217" s="28" t="n"/>
      <c r="L217" s="28" t="n"/>
      <c r="M217" s="25" t="n"/>
      <c r="N217" s="25" t="n"/>
      <c r="O217" s="25" t="n"/>
      <c r="P217" s="25" t="n"/>
      <c r="Q217" s="25" t="n"/>
      <c r="R217" s="51" t="n"/>
      <c r="S217" s="52" t="n"/>
      <c r="T217" s="51" t="n"/>
      <c r="U217" s="52" t="n"/>
      <c r="V217" s="52" t="n"/>
      <c r="W217" s="53">
        <f>IFERROR(IF(A217="","",ROUND(I217*J217*R217*(1-S217),2)),"")</f>
        <v/>
      </c>
      <c r="X217" s="53">
        <f>IFERROR(IF(A217="","",ROUND(W217*IF(V217="",'Setup &amp; Lists'!$B$7,V217),2)),"")</f>
        <v/>
      </c>
      <c r="Y217" s="53">
        <f>IFERROR(IF(A217="","",ROUND((W217+IF('Setup &amp; Lists'!$B$8="Yes",T217,0)+IF('Setup &amp; Lists'!$B$9="Yes",X217,0))*IF(U217="",'Setup &amp; Lists'!$B$6,U217),2)),"")</f>
        <v/>
      </c>
      <c r="Z217" s="53">
        <f>IFERROR(IF(A217="","",ROUND(W217+T217+X217+Y217,2)),"")</f>
        <v/>
      </c>
      <c r="AA217" s="51" t="n"/>
      <c r="AB217" s="53">
        <f>IFERROR(IF(A217="","",ROUND(IF(AA217&lt;&gt;"",AA217,Z217*'Setup &amp; Lists'!$B$10),2)),"")</f>
        <v/>
      </c>
      <c r="AC217" s="51" t="n"/>
      <c r="AD217" s="53">
        <f>IFERROR(IF(A217="","",MAX(0,ROUND(Z217-AC217,2))),"")</f>
        <v/>
      </c>
      <c r="AE217" s="32">
        <f>IFERROR(IF(A217="","",IF(AD217=0,"Paid",IF(AC217&gt;=AB217,"Deposit Met",IF(AC217&gt;0,"Partial Payment","Unpaid")))),"")</f>
        <v/>
      </c>
      <c r="AF217" s="54">
        <f>IFERROR(IF(OR(A217="",G217=""),"",G217-('Setup &amp; Lists'!$B$11/24)),"")</f>
        <v/>
      </c>
      <c r="AG217" s="25" t="n"/>
      <c r="AH217" s="25" t="n"/>
      <c r="AI217" s="50" t="n"/>
      <c r="AJ217" s="32">
        <f>IFERROR(IF(A217="","",IF(H217&lt;=G217,"Departure must be after arrival",IF(OR(J217="",J217&lt;1),"Rooms must be at least 1",IF(D217="","Guest name missing",IF(COUNTIF($A$2:$A$251,A217)&gt;1,"Duplicate reservation ID",IF(AND(P217="Confirmed",G217&gt;=TODAY(),G217&lt;=TODAY()+'Setup &amp; Lists'!$B$12,Q217=""),"Assign room for near-term arrival",IF(AND(G217&lt;TODAY(),P217="Confirmed"),"Past-due confirmed arrival",IF(AND(G217&gt;TODAY(),P217="Confirmed",AC217&lt;AB217),"Deposit shortfall",IF(AND(H217&lt;TODAY(),AD217&gt;0,P217&lt;&gt;"Cancelled"),"Balance remains after departure",IF(R217&lt;0,"Nightly rate is negative",IF(AC217&gt;Z217,"Deposit paid exceeds total value",""))))))))))),"")</f>
        <v/>
      </c>
    </row>
    <row r="218">
      <c r="A218" s="25" t="n"/>
      <c r="B218" s="25" t="n"/>
      <c r="C218" s="50" t="n"/>
      <c r="D218" s="25" t="n"/>
      <c r="E218" s="25" t="n"/>
      <c r="F218" s="25" t="n"/>
      <c r="G218" s="50" t="n"/>
      <c r="H218" s="50" t="n"/>
      <c r="I218" s="27">
        <f>IFERROR(IF(A218="","",MAX(0,H218-G218)),"")</f>
        <v/>
      </c>
      <c r="J218" s="28" t="n"/>
      <c r="K218" s="28" t="n"/>
      <c r="L218" s="28" t="n"/>
      <c r="M218" s="25" t="n"/>
      <c r="N218" s="25" t="n"/>
      <c r="O218" s="25" t="n"/>
      <c r="P218" s="25" t="n"/>
      <c r="Q218" s="25" t="n"/>
      <c r="R218" s="51" t="n"/>
      <c r="S218" s="52" t="n"/>
      <c r="T218" s="51" t="n"/>
      <c r="U218" s="52" t="n"/>
      <c r="V218" s="52" t="n"/>
      <c r="W218" s="53">
        <f>IFERROR(IF(A218="","",ROUND(I218*J218*R218*(1-S218),2)),"")</f>
        <v/>
      </c>
      <c r="X218" s="53">
        <f>IFERROR(IF(A218="","",ROUND(W218*IF(V218="",'Setup &amp; Lists'!$B$7,V218),2)),"")</f>
        <v/>
      </c>
      <c r="Y218" s="53">
        <f>IFERROR(IF(A218="","",ROUND((W218+IF('Setup &amp; Lists'!$B$8="Yes",T218,0)+IF('Setup &amp; Lists'!$B$9="Yes",X218,0))*IF(U218="",'Setup &amp; Lists'!$B$6,U218),2)),"")</f>
        <v/>
      </c>
      <c r="Z218" s="53">
        <f>IFERROR(IF(A218="","",ROUND(W218+T218+X218+Y218,2)),"")</f>
        <v/>
      </c>
      <c r="AA218" s="51" t="n"/>
      <c r="AB218" s="53">
        <f>IFERROR(IF(A218="","",ROUND(IF(AA218&lt;&gt;"",AA218,Z218*'Setup &amp; Lists'!$B$10),2)),"")</f>
        <v/>
      </c>
      <c r="AC218" s="51" t="n"/>
      <c r="AD218" s="53">
        <f>IFERROR(IF(A218="","",MAX(0,ROUND(Z218-AC218,2))),"")</f>
        <v/>
      </c>
      <c r="AE218" s="32">
        <f>IFERROR(IF(A218="","",IF(AD218=0,"Paid",IF(AC218&gt;=AB218,"Deposit Met",IF(AC218&gt;0,"Partial Payment","Unpaid")))),"")</f>
        <v/>
      </c>
      <c r="AF218" s="54">
        <f>IFERROR(IF(OR(A218="",G218=""),"",G218-('Setup &amp; Lists'!$B$11/24)),"")</f>
        <v/>
      </c>
      <c r="AG218" s="25" t="n"/>
      <c r="AH218" s="25" t="n"/>
      <c r="AI218" s="50" t="n"/>
      <c r="AJ218" s="32">
        <f>IFERROR(IF(A218="","",IF(H218&lt;=G218,"Departure must be after arrival",IF(OR(J218="",J218&lt;1),"Rooms must be at least 1",IF(D218="","Guest name missing",IF(COUNTIF($A$2:$A$251,A218)&gt;1,"Duplicate reservation ID",IF(AND(P218="Confirmed",G218&gt;=TODAY(),G218&lt;=TODAY()+'Setup &amp; Lists'!$B$12,Q218=""),"Assign room for near-term arrival",IF(AND(G218&lt;TODAY(),P218="Confirmed"),"Past-due confirmed arrival",IF(AND(G218&gt;TODAY(),P218="Confirmed",AC218&lt;AB218),"Deposit shortfall",IF(AND(H218&lt;TODAY(),AD218&gt;0,P218&lt;&gt;"Cancelled"),"Balance remains after departure",IF(R218&lt;0,"Nightly rate is negative",IF(AC218&gt;Z218,"Deposit paid exceeds total value",""))))))))))),"")</f>
        <v/>
      </c>
    </row>
    <row r="219">
      <c r="A219" s="25" t="n"/>
      <c r="B219" s="25" t="n"/>
      <c r="C219" s="50" t="n"/>
      <c r="D219" s="25" t="n"/>
      <c r="E219" s="25" t="n"/>
      <c r="F219" s="25" t="n"/>
      <c r="G219" s="50" t="n"/>
      <c r="H219" s="50" t="n"/>
      <c r="I219" s="27">
        <f>IFERROR(IF(A219="","",MAX(0,H219-G219)),"")</f>
        <v/>
      </c>
      <c r="J219" s="28" t="n"/>
      <c r="K219" s="28" t="n"/>
      <c r="L219" s="28" t="n"/>
      <c r="M219" s="25" t="n"/>
      <c r="N219" s="25" t="n"/>
      <c r="O219" s="25" t="n"/>
      <c r="P219" s="25" t="n"/>
      <c r="Q219" s="25" t="n"/>
      <c r="R219" s="51" t="n"/>
      <c r="S219" s="52" t="n"/>
      <c r="T219" s="51" t="n"/>
      <c r="U219" s="52" t="n"/>
      <c r="V219" s="52" t="n"/>
      <c r="W219" s="53">
        <f>IFERROR(IF(A219="","",ROUND(I219*J219*R219*(1-S219),2)),"")</f>
        <v/>
      </c>
      <c r="X219" s="53">
        <f>IFERROR(IF(A219="","",ROUND(W219*IF(V219="",'Setup &amp; Lists'!$B$7,V219),2)),"")</f>
        <v/>
      </c>
      <c r="Y219" s="53">
        <f>IFERROR(IF(A219="","",ROUND((W219+IF('Setup &amp; Lists'!$B$8="Yes",T219,0)+IF('Setup &amp; Lists'!$B$9="Yes",X219,0))*IF(U219="",'Setup &amp; Lists'!$B$6,U219),2)),"")</f>
        <v/>
      </c>
      <c r="Z219" s="53">
        <f>IFERROR(IF(A219="","",ROUND(W219+T219+X219+Y219,2)),"")</f>
        <v/>
      </c>
      <c r="AA219" s="51" t="n"/>
      <c r="AB219" s="53">
        <f>IFERROR(IF(A219="","",ROUND(IF(AA219&lt;&gt;"",AA219,Z219*'Setup &amp; Lists'!$B$10),2)),"")</f>
        <v/>
      </c>
      <c r="AC219" s="51" t="n"/>
      <c r="AD219" s="53">
        <f>IFERROR(IF(A219="","",MAX(0,ROUND(Z219-AC219,2))),"")</f>
        <v/>
      </c>
      <c r="AE219" s="32">
        <f>IFERROR(IF(A219="","",IF(AD219=0,"Paid",IF(AC219&gt;=AB219,"Deposit Met",IF(AC219&gt;0,"Partial Payment","Unpaid")))),"")</f>
        <v/>
      </c>
      <c r="AF219" s="54">
        <f>IFERROR(IF(OR(A219="",G219=""),"",G219-('Setup &amp; Lists'!$B$11/24)),"")</f>
        <v/>
      </c>
      <c r="AG219" s="25" t="n"/>
      <c r="AH219" s="25" t="n"/>
      <c r="AI219" s="50" t="n"/>
      <c r="AJ219" s="32">
        <f>IFERROR(IF(A219="","",IF(H219&lt;=G219,"Departure must be after arrival",IF(OR(J219="",J219&lt;1),"Rooms must be at least 1",IF(D219="","Guest name missing",IF(COUNTIF($A$2:$A$251,A219)&gt;1,"Duplicate reservation ID",IF(AND(P219="Confirmed",G219&gt;=TODAY(),G219&lt;=TODAY()+'Setup &amp; Lists'!$B$12,Q219=""),"Assign room for near-term arrival",IF(AND(G219&lt;TODAY(),P219="Confirmed"),"Past-due confirmed arrival",IF(AND(G219&gt;TODAY(),P219="Confirmed",AC219&lt;AB219),"Deposit shortfall",IF(AND(H219&lt;TODAY(),AD219&gt;0,P219&lt;&gt;"Cancelled"),"Balance remains after departure",IF(R219&lt;0,"Nightly rate is negative",IF(AC219&gt;Z219,"Deposit paid exceeds total value",""))))))))))),"")</f>
        <v/>
      </c>
    </row>
    <row r="220">
      <c r="A220" s="25" t="n"/>
      <c r="B220" s="25" t="n"/>
      <c r="C220" s="50" t="n"/>
      <c r="D220" s="25" t="n"/>
      <c r="E220" s="25" t="n"/>
      <c r="F220" s="25" t="n"/>
      <c r="G220" s="50" t="n"/>
      <c r="H220" s="50" t="n"/>
      <c r="I220" s="27">
        <f>IFERROR(IF(A220="","",MAX(0,H220-G220)),"")</f>
        <v/>
      </c>
      <c r="J220" s="28" t="n"/>
      <c r="K220" s="28" t="n"/>
      <c r="L220" s="28" t="n"/>
      <c r="M220" s="25" t="n"/>
      <c r="N220" s="25" t="n"/>
      <c r="O220" s="25" t="n"/>
      <c r="P220" s="25" t="n"/>
      <c r="Q220" s="25" t="n"/>
      <c r="R220" s="51" t="n"/>
      <c r="S220" s="52" t="n"/>
      <c r="T220" s="51" t="n"/>
      <c r="U220" s="52" t="n"/>
      <c r="V220" s="52" t="n"/>
      <c r="W220" s="53">
        <f>IFERROR(IF(A220="","",ROUND(I220*J220*R220*(1-S220),2)),"")</f>
        <v/>
      </c>
      <c r="X220" s="53">
        <f>IFERROR(IF(A220="","",ROUND(W220*IF(V220="",'Setup &amp; Lists'!$B$7,V220),2)),"")</f>
        <v/>
      </c>
      <c r="Y220" s="53">
        <f>IFERROR(IF(A220="","",ROUND((W220+IF('Setup &amp; Lists'!$B$8="Yes",T220,0)+IF('Setup &amp; Lists'!$B$9="Yes",X220,0))*IF(U220="",'Setup &amp; Lists'!$B$6,U220),2)),"")</f>
        <v/>
      </c>
      <c r="Z220" s="53">
        <f>IFERROR(IF(A220="","",ROUND(W220+T220+X220+Y220,2)),"")</f>
        <v/>
      </c>
      <c r="AA220" s="51" t="n"/>
      <c r="AB220" s="53">
        <f>IFERROR(IF(A220="","",ROUND(IF(AA220&lt;&gt;"",AA220,Z220*'Setup &amp; Lists'!$B$10),2)),"")</f>
        <v/>
      </c>
      <c r="AC220" s="51" t="n"/>
      <c r="AD220" s="53">
        <f>IFERROR(IF(A220="","",MAX(0,ROUND(Z220-AC220,2))),"")</f>
        <v/>
      </c>
      <c r="AE220" s="32">
        <f>IFERROR(IF(A220="","",IF(AD220=0,"Paid",IF(AC220&gt;=AB220,"Deposit Met",IF(AC220&gt;0,"Partial Payment","Unpaid")))),"")</f>
        <v/>
      </c>
      <c r="AF220" s="54">
        <f>IFERROR(IF(OR(A220="",G220=""),"",G220-('Setup &amp; Lists'!$B$11/24)),"")</f>
        <v/>
      </c>
      <c r="AG220" s="25" t="n"/>
      <c r="AH220" s="25" t="n"/>
      <c r="AI220" s="50" t="n"/>
      <c r="AJ220" s="32">
        <f>IFERROR(IF(A220="","",IF(H220&lt;=G220,"Departure must be after arrival",IF(OR(J220="",J220&lt;1),"Rooms must be at least 1",IF(D220="","Guest name missing",IF(COUNTIF($A$2:$A$251,A220)&gt;1,"Duplicate reservation ID",IF(AND(P220="Confirmed",G220&gt;=TODAY(),G220&lt;=TODAY()+'Setup &amp; Lists'!$B$12,Q220=""),"Assign room for near-term arrival",IF(AND(G220&lt;TODAY(),P220="Confirmed"),"Past-due confirmed arrival",IF(AND(G220&gt;TODAY(),P220="Confirmed",AC220&lt;AB220),"Deposit shortfall",IF(AND(H220&lt;TODAY(),AD220&gt;0,P220&lt;&gt;"Cancelled"),"Balance remains after departure",IF(R220&lt;0,"Nightly rate is negative",IF(AC220&gt;Z220,"Deposit paid exceeds total value",""))))))))))),"")</f>
        <v/>
      </c>
    </row>
    <row r="221">
      <c r="A221" s="25" t="n"/>
      <c r="B221" s="25" t="n"/>
      <c r="C221" s="50" t="n"/>
      <c r="D221" s="25" t="n"/>
      <c r="E221" s="25" t="n"/>
      <c r="F221" s="25" t="n"/>
      <c r="G221" s="50" t="n"/>
      <c r="H221" s="50" t="n"/>
      <c r="I221" s="27">
        <f>IFERROR(IF(A221="","",MAX(0,H221-G221)),"")</f>
        <v/>
      </c>
      <c r="J221" s="28" t="n"/>
      <c r="K221" s="28" t="n"/>
      <c r="L221" s="28" t="n"/>
      <c r="M221" s="25" t="n"/>
      <c r="N221" s="25" t="n"/>
      <c r="O221" s="25" t="n"/>
      <c r="P221" s="25" t="n"/>
      <c r="Q221" s="25" t="n"/>
      <c r="R221" s="51" t="n"/>
      <c r="S221" s="52" t="n"/>
      <c r="T221" s="51" t="n"/>
      <c r="U221" s="52" t="n"/>
      <c r="V221" s="52" t="n"/>
      <c r="W221" s="53">
        <f>IFERROR(IF(A221="","",ROUND(I221*J221*R221*(1-S221),2)),"")</f>
        <v/>
      </c>
      <c r="X221" s="53">
        <f>IFERROR(IF(A221="","",ROUND(W221*IF(V221="",'Setup &amp; Lists'!$B$7,V221),2)),"")</f>
        <v/>
      </c>
      <c r="Y221" s="53">
        <f>IFERROR(IF(A221="","",ROUND((W221+IF('Setup &amp; Lists'!$B$8="Yes",T221,0)+IF('Setup &amp; Lists'!$B$9="Yes",X221,0))*IF(U221="",'Setup &amp; Lists'!$B$6,U221),2)),"")</f>
        <v/>
      </c>
      <c r="Z221" s="53">
        <f>IFERROR(IF(A221="","",ROUND(W221+T221+X221+Y221,2)),"")</f>
        <v/>
      </c>
      <c r="AA221" s="51" t="n"/>
      <c r="AB221" s="53">
        <f>IFERROR(IF(A221="","",ROUND(IF(AA221&lt;&gt;"",AA221,Z221*'Setup &amp; Lists'!$B$10),2)),"")</f>
        <v/>
      </c>
      <c r="AC221" s="51" t="n"/>
      <c r="AD221" s="53">
        <f>IFERROR(IF(A221="","",MAX(0,ROUND(Z221-AC221,2))),"")</f>
        <v/>
      </c>
      <c r="AE221" s="32">
        <f>IFERROR(IF(A221="","",IF(AD221=0,"Paid",IF(AC221&gt;=AB221,"Deposit Met",IF(AC221&gt;0,"Partial Payment","Unpaid")))),"")</f>
        <v/>
      </c>
      <c r="AF221" s="54">
        <f>IFERROR(IF(OR(A221="",G221=""),"",G221-('Setup &amp; Lists'!$B$11/24)),"")</f>
        <v/>
      </c>
      <c r="AG221" s="25" t="n"/>
      <c r="AH221" s="25" t="n"/>
      <c r="AI221" s="50" t="n"/>
      <c r="AJ221" s="32">
        <f>IFERROR(IF(A221="","",IF(H221&lt;=G221,"Departure must be after arrival",IF(OR(J221="",J221&lt;1),"Rooms must be at least 1",IF(D221="","Guest name missing",IF(COUNTIF($A$2:$A$251,A221)&gt;1,"Duplicate reservation ID",IF(AND(P221="Confirmed",G221&gt;=TODAY(),G221&lt;=TODAY()+'Setup &amp; Lists'!$B$12,Q221=""),"Assign room for near-term arrival",IF(AND(G221&lt;TODAY(),P221="Confirmed"),"Past-due confirmed arrival",IF(AND(G221&gt;TODAY(),P221="Confirmed",AC221&lt;AB221),"Deposit shortfall",IF(AND(H221&lt;TODAY(),AD221&gt;0,P221&lt;&gt;"Cancelled"),"Balance remains after departure",IF(R221&lt;0,"Nightly rate is negative",IF(AC221&gt;Z221,"Deposit paid exceeds total value",""))))))))))),"")</f>
        <v/>
      </c>
    </row>
    <row r="222">
      <c r="A222" s="25" t="n"/>
      <c r="B222" s="25" t="n"/>
      <c r="C222" s="50" t="n"/>
      <c r="D222" s="25" t="n"/>
      <c r="E222" s="25" t="n"/>
      <c r="F222" s="25" t="n"/>
      <c r="G222" s="50" t="n"/>
      <c r="H222" s="50" t="n"/>
      <c r="I222" s="27">
        <f>IFERROR(IF(A222="","",MAX(0,H222-G222)),"")</f>
        <v/>
      </c>
      <c r="J222" s="28" t="n"/>
      <c r="K222" s="28" t="n"/>
      <c r="L222" s="28" t="n"/>
      <c r="M222" s="25" t="n"/>
      <c r="N222" s="25" t="n"/>
      <c r="O222" s="25" t="n"/>
      <c r="P222" s="25" t="n"/>
      <c r="Q222" s="25" t="n"/>
      <c r="R222" s="51" t="n"/>
      <c r="S222" s="52" t="n"/>
      <c r="T222" s="51" t="n"/>
      <c r="U222" s="52" t="n"/>
      <c r="V222" s="52" t="n"/>
      <c r="W222" s="53">
        <f>IFERROR(IF(A222="","",ROUND(I222*J222*R222*(1-S222),2)),"")</f>
        <v/>
      </c>
      <c r="X222" s="53">
        <f>IFERROR(IF(A222="","",ROUND(W222*IF(V222="",'Setup &amp; Lists'!$B$7,V222),2)),"")</f>
        <v/>
      </c>
      <c r="Y222" s="53">
        <f>IFERROR(IF(A222="","",ROUND((W222+IF('Setup &amp; Lists'!$B$8="Yes",T222,0)+IF('Setup &amp; Lists'!$B$9="Yes",X222,0))*IF(U222="",'Setup &amp; Lists'!$B$6,U222),2)),"")</f>
        <v/>
      </c>
      <c r="Z222" s="53">
        <f>IFERROR(IF(A222="","",ROUND(W222+T222+X222+Y222,2)),"")</f>
        <v/>
      </c>
      <c r="AA222" s="51" t="n"/>
      <c r="AB222" s="53">
        <f>IFERROR(IF(A222="","",ROUND(IF(AA222&lt;&gt;"",AA222,Z222*'Setup &amp; Lists'!$B$10),2)),"")</f>
        <v/>
      </c>
      <c r="AC222" s="51" t="n"/>
      <c r="AD222" s="53">
        <f>IFERROR(IF(A222="","",MAX(0,ROUND(Z222-AC222,2))),"")</f>
        <v/>
      </c>
      <c r="AE222" s="32">
        <f>IFERROR(IF(A222="","",IF(AD222=0,"Paid",IF(AC222&gt;=AB222,"Deposit Met",IF(AC222&gt;0,"Partial Payment","Unpaid")))),"")</f>
        <v/>
      </c>
      <c r="AF222" s="54">
        <f>IFERROR(IF(OR(A222="",G222=""),"",G222-('Setup &amp; Lists'!$B$11/24)),"")</f>
        <v/>
      </c>
      <c r="AG222" s="25" t="n"/>
      <c r="AH222" s="25" t="n"/>
      <c r="AI222" s="50" t="n"/>
      <c r="AJ222" s="32">
        <f>IFERROR(IF(A222="","",IF(H222&lt;=G222,"Departure must be after arrival",IF(OR(J222="",J222&lt;1),"Rooms must be at least 1",IF(D222="","Guest name missing",IF(COUNTIF($A$2:$A$251,A222)&gt;1,"Duplicate reservation ID",IF(AND(P222="Confirmed",G222&gt;=TODAY(),G222&lt;=TODAY()+'Setup &amp; Lists'!$B$12,Q222=""),"Assign room for near-term arrival",IF(AND(G222&lt;TODAY(),P222="Confirmed"),"Past-due confirmed arrival",IF(AND(G222&gt;TODAY(),P222="Confirmed",AC222&lt;AB222),"Deposit shortfall",IF(AND(H222&lt;TODAY(),AD222&gt;0,P222&lt;&gt;"Cancelled"),"Balance remains after departure",IF(R222&lt;0,"Nightly rate is negative",IF(AC222&gt;Z222,"Deposit paid exceeds total value",""))))))))))),"")</f>
        <v/>
      </c>
    </row>
    <row r="223">
      <c r="A223" s="25" t="n"/>
      <c r="B223" s="25" t="n"/>
      <c r="C223" s="50" t="n"/>
      <c r="D223" s="25" t="n"/>
      <c r="E223" s="25" t="n"/>
      <c r="F223" s="25" t="n"/>
      <c r="G223" s="50" t="n"/>
      <c r="H223" s="50" t="n"/>
      <c r="I223" s="27">
        <f>IFERROR(IF(A223="","",MAX(0,H223-G223)),"")</f>
        <v/>
      </c>
      <c r="J223" s="28" t="n"/>
      <c r="K223" s="28" t="n"/>
      <c r="L223" s="28" t="n"/>
      <c r="M223" s="25" t="n"/>
      <c r="N223" s="25" t="n"/>
      <c r="O223" s="25" t="n"/>
      <c r="P223" s="25" t="n"/>
      <c r="Q223" s="25" t="n"/>
      <c r="R223" s="51" t="n"/>
      <c r="S223" s="52" t="n"/>
      <c r="T223" s="51" t="n"/>
      <c r="U223" s="52" t="n"/>
      <c r="V223" s="52" t="n"/>
      <c r="W223" s="53">
        <f>IFERROR(IF(A223="","",ROUND(I223*J223*R223*(1-S223),2)),"")</f>
        <v/>
      </c>
      <c r="X223" s="53">
        <f>IFERROR(IF(A223="","",ROUND(W223*IF(V223="",'Setup &amp; Lists'!$B$7,V223),2)),"")</f>
        <v/>
      </c>
      <c r="Y223" s="53">
        <f>IFERROR(IF(A223="","",ROUND((W223+IF('Setup &amp; Lists'!$B$8="Yes",T223,0)+IF('Setup &amp; Lists'!$B$9="Yes",X223,0))*IF(U223="",'Setup &amp; Lists'!$B$6,U223),2)),"")</f>
        <v/>
      </c>
      <c r="Z223" s="53">
        <f>IFERROR(IF(A223="","",ROUND(W223+T223+X223+Y223,2)),"")</f>
        <v/>
      </c>
      <c r="AA223" s="51" t="n"/>
      <c r="AB223" s="53">
        <f>IFERROR(IF(A223="","",ROUND(IF(AA223&lt;&gt;"",AA223,Z223*'Setup &amp; Lists'!$B$10),2)),"")</f>
        <v/>
      </c>
      <c r="AC223" s="51" t="n"/>
      <c r="AD223" s="53">
        <f>IFERROR(IF(A223="","",MAX(0,ROUND(Z223-AC223,2))),"")</f>
        <v/>
      </c>
      <c r="AE223" s="32">
        <f>IFERROR(IF(A223="","",IF(AD223=0,"Paid",IF(AC223&gt;=AB223,"Deposit Met",IF(AC223&gt;0,"Partial Payment","Unpaid")))),"")</f>
        <v/>
      </c>
      <c r="AF223" s="54">
        <f>IFERROR(IF(OR(A223="",G223=""),"",G223-('Setup &amp; Lists'!$B$11/24)),"")</f>
        <v/>
      </c>
      <c r="AG223" s="25" t="n"/>
      <c r="AH223" s="25" t="n"/>
      <c r="AI223" s="50" t="n"/>
      <c r="AJ223" s="32">
        <f>IFERROR(IF(A223="","",IF(H223&lt;=G223,"Departure must be after arrival",IF(OR(J223="",J223&lt;1),"Rooms must be at least 1",IF(D223="","Guest name missing",IF(COUNTIF($A$2:$A$251,A223)&gt;1,"Duplicate reservation ID",IF(AND(P223="Confirmed",G223&gt;=TODAY(),G223&lt;=TODAY()+'Setup &amp; Lists'!$B$12,Q223=""),"Assign room for near-term arrival",IF(AND(G223&lt;TODAY(),P223="Confirmed"),"Past-due confirmed arrival",IF(AND(G223&gt;TODAY(),P223="Confirmed",AC223&lt;AB223),"Deposit shortfall",IF(AND(H223&lt;TODAY(),AD223&gt;0,P223&lt;&gt;"Cancelled"),"Balance remains after departure",IF(R223&lt;0,"Nightly rate is negative",IF(AC223&gt;Z223,"Deposit paid exceeds total value",""))))))))))),"")</f>
        <v/>
      </c>
    </row>
    <row r="224">
      <c r="A224" s="25" t="n"/>
      <c r="B224" s="25" t="n"/>
      <c r="C224" s="50" t="n"/>
      <c r="D224" s="25" t="n"/>
      <c r="E224" s="25" t="n"/>
      <c r="F224" s="25" t="n"/>
      <c r="G224" s="50" t="n"/>
      <c r="H224" s="50" t="n"/>
      <c r="I224" s="27">
        <f>IFERROR(IF(A224="","",MAX(0,H224-G224)),"")</f>
        <v/>
      </c>
      <c r="J224" s="28" t="n"/>
      <c r="K224" s="28" t="n"/>
      <c r="L224" s="28" t="n"/>
      <c r="M224" s="25" t="n"/>
      <c r="N224" s="25" t="n"/>
      <c r="O224" s="25" t="n"/>
      <c r="P224" s="25" t="n"/>
      <c r="Q224" s="25" t="n"/>
      <c r="R224" s="51" t="n"/>
      <c r="S224" s="52" t="n"/>
      <c r="T224" s="51" t="n"/>
      <c r="U224" s="52" t="n"/>
      <c r="V224" s="52" t="n"/>
      <c r="W224" s="53">
        <f>IFERROR(IF(A224="","",ROUND(I224*J224*R224*(1-S224),2)),"")</f>
        <v/>
      </c>
      <c r="X224" s="53">
        <f>IFERROR(IF(A224="","",ROUND(W224*IF(V224="",'Setup &amp; Lists'!$B$7,V224),2)),"")</f>
        <v/>
      </c>
      <c r="Y224" s="53">
        <f>IFERROR(IF(A224="","",ROUND((W224+IF('Setup &amp; Lists'!$B$8="Yes",T224,0)+IF('Setup &amp; Lists'!$B$9="Yes",X224,0))*IF(U224="",'Setup &amp; Lists'!$B$6,U224),2)),"")</f>
        <v/>
      </c>
      <c r="Z224" s="53">
        <f>IFERROR(IF(A224="","",ROUND(W224+T224+X224+Y224,2)),"")</f>
        <v/>
      </c>
      <c r="AA224" s="51" t="n"/>
      <c r="AB224" s="53">
        <f>IFERROR(IF(A224="","",ROUND(IF(AA224&lt;&gt;"",AA224,Z224*'Setup &amp; Lists'!$B$10),2)),"")</f>
        <v/>
      </c>
      <c r="AC224" s="51" t="n"/>
      <c r="AD224" s="53">
        <f>IFERROR(IF(A224="","",MAX(0,ROUND(Z224-AC224,2))),"")</f>
        <v/>
      </c>
      <c r="AE224" s="32">
        <f>IFERROR(IF(A224="","",IF(AD224=0,"Paid",IF(AC224&gt;=AB224,"Deposit Met",IF(AC224&gt;0,"Partial Payment","Unpaid")))),"")</f>
        <v/>
      </c>
      <c r="AF224" s="54">
        <f>IFERROR(IF(OR(A224="",G224=""),"",G224-('Setup &amp; Lists'!$B$11/24)),"")</f>
        <v/>
      </c>
      <c r="AG224" s="25" t="n"/>
      <c r="AH224" s="25" t="n"/>
      <c r="AI224" s="50" t="n"/>
      <c r="AJ224" s="32">
        <f>IFERROR(IF(A224="","",IF(H224&lt;=G224,"Departure must be after arrival",IF(OR(J224="",J224&lt;1),"Rooms must be at least 1",IF(D224="","Guest name missing",IF(COUNTIF($A$2:$A$251,A224)&gt;1,"Duplicate reservation ID",IF(AND(P224="Confirmed",G224&gt;=TODAY(),G224&lt;=TODAY()+'Setup &amp; Lists'!$B$12,Q224=""),"Assign room for near-term arrival",IF(AND(G224&lt;TODAY(),P224="Confirmed"),"Past-due confirmed arrival",IF(AND(G224&gt;TODAY(),P224="Confirmed",AC224&lt;AB224),"Deposit shortfall",IF(AND(H224&lt;TODAY(),AD224&gt;0,P224&lt;&gt;"Cancelled"),"Balance remains after departure",IF(R224&lt;0,"Nightly rate is negative",IF(AC224&gt;Z224,"Deposit paid exceeds total value",""))))))))))),"")</f>
        <v/>
      </c>
    </row>
    <row r="225">
      <c r="A225" s="25" t="n"/>
      <c r="B225" s="25" t="n"/>
      <c r="C225" s="50" t="n"/>
      <c r="D225" s="25" t="n"/>
      <c r="E225" s="25" t="n"/>
      <c r="F225" s="25" t="n"/>
      <c r="G225" s="50" t="n"/>
      <c r="H225" s="50" t="n"/>
      <c r="I225" s="27">
        <f>IFERROR(IF(A225="","",MAX(0,H225-G225)),"")</f>
        <v/>
      </c>
      <c r="J225" s="28" t="n"/>
      <c r="K225" s="28" t="n"/>
      <c r="L225" s="28" t="n"/>
      <c r="M225" s="25" t="n"/>
      <c r="N225" s="25" t="n"/>
      <c r="O225" s="25" t="n"/>
      <c r="P225" s="25" t="n"/>
      <c r="Q225" s="25" t="n"/>
      <c r="R225" s="51" t="n"/>
      <c r="S225" s="52" t="n"/>
      <c r="T225" s="51" t="n"/>
      <c r="U225" s="52" t="n"/>
      <c r="V225" s="52" t="n"/>
      <c r="W225" s="53">
        <f>IFERROR(IF(A225="","",ROUND(I225*J225*R225*(1-S225),2)),"")</f>
        <v/>
      </c>
      <c r="X225" s="53">
        <f>IFERROR(IF(A225="","",ROUND(W225*IF(V225="",'Setup &amp; Lists'!$B$7,V225),2)),"")</f>
        <v/>
      </c>
      <c r="Y225" s="53">
        <f>IFERROR(IF(A225="","",ROUND((W225+IF('Setup &amp; Lists'!$B$8="Yes",T225,0)+IF('Setup &amp; Lists'!$B$9="Yes",X225,0))*IF(U225="",'Setup &amp; Lists'!$B$6,U225),2)),"")</f>
        <v/>
      </c>
      <c r="Z225" s="53">
        <f>IFERROR(IF(A225="","",ROUND(W225+T225+X225+Y225,2)),"")</f>
        <v/>
      </c>
      <c r="AA225" s="51" t="n"/>
      <c r="AB225" s="53">
        <f>IFERROR(IF(A225="","",ROUND(IF(AA225&lt;&gt;"",AA225,Z225*'Setup &amp; Lists'!$B$10),2)),"")</f>
        <v/>
      </c>
      <c r="AC225" s="51" t="n"/>
      <c r="AD225" s="53">
        <f>IFERROR(IF(A225="","",MAX(0,ROUND(Z225-AC225,2))),"")</f>
        <v/>
      </c>
      <c r="AE225" s="32">
        <f>IFERROR(IF(A225="","",IF(AD225=0,"Paid",IF(AC225&gt;=AB225,"Deposit Met",IF(AC225&gt;0,"Partial Payment","Unpaid")))),"")</f>
        <v/>
      </c>
      <c r="AF225" s="54">
        <f>IFERROR(IF(OR(A225="",G225=""),"",G225-('Setup &amp; Lists'!$B$11/24)),"")</f>
        <v/>
      </c>
      <c r="AG225" s="25" t="n"/>
      <c r="AH225" s="25" t="n"/>
      <c r="AI225" s="50" t="n"/>
      <c r="AJ225" s="32">
        <f>IFERROR(IF(A225="","",IF(H225&lt;=G225,"Departure must be after arrival",IF(OR(J225="",J225&lt;1),"Rooms must be at least 1",IF(D225="","Guest name missing",IF(COUNTIF($A$2:$A$251,A225)&gt;1,"Duplicate reservation ID",IF(AND(P225="Confirmed",G225&gt;=TODAY(),G225&lt;=TODAY()+'Setup &amp; Lists'!$B$12,Q225=""),"Assign room for near-term arrival",IF(AND(G225&lt;TODAY(),P225="Confirmed"),"Past-due confirmed arrival",IF(AND(G225&gt;TODAY(),P225="Confirmed",AC225&lt;AB225),"Deposit shortfall",IF(AND(H225&lt;TODAY(),AD225&gt;0,P225&lt;&gt;"Cancelled"),"Balance remains after departure",IF(R225&lt;0,"Nightly rate is negative",IF(AC225&gt;Z225,"Deposit paid exceeds total value",""))))))))))),"")</f>
        <v/>
      </c>
    </row>
    <row r="226">
      <c r="A226" s="25" t="n"/>
      <c r="B226" s="25" t="n"/>
      <c r="C226" s="50" t="n"/>
      <c r="D226" s="25" t="n"/>
      <c r="E226" s="25" t="n"/>
      <c r="F226" s="25" t="n"/>
      <c r="G226" s="50" t="n"/>
      <c r="H226" s="50" t="n"/>
      <c r="I226" s="27">
        <f>IFERROR(IF(A226="","",MAX(0,H226-G226)),"")</f>
        <v/>
      </c>
      <c r="J226" s="28" t="n"/>
      <c r="K226" s="28" t="n"/>
      <c r="L226" s="28" t="n"/>
      <c r="M226" s="25" t="n"/>
      <c r="N226" s="25" t="n"/>
      <c r="O226" s="25" t="n"/>
      <c r="P226" s="25" t="n"/>
      <c r="Q226" s="25" t="n"/>
      <c r="R226" s="51" t="n"/>
      <c r="S226" s="52" t="n"/>
      <c r="T226" s="51" t="n"/>
      <c r="U226" s="52" t="n"/>
      <c r="V226" s="52" t="n"/>
      <c r="W226" s="53">
        <f>IFERROR(IF(A226="","",ROUND(I226*J226*R226*(1-S226),2)),"")</f>
        <v/>
      </c>
      <c r="X226" s="53">
        <f>IFERROR(IF(A226="","",ROUND(W226*IF(V226="",'Setup &amp; Lists'!$B$7,V226),2)),"")</f>
        <v/>
      </c>
      <c r="Y226" s="53">
        <f>IFERROR(IF(A226="","",ROUND((W226+IF('Setup &amp; Lists'!$B$8="Yes",T226,0)+IF('Setup &amp; Lists'!$B$9="Yes",X226,0))*IF(U226="",'Setup &amp; Lists'!$B$6,U226),2)),"")</f>
        <v/>
      </c>
      <c r="Z226" s="53">
        <f>IFERROR(IF(A226="","",ROUND(W226+T226+X226+Y226,2)),"")</f>
        <v/>
      </c>
      <c r="AA226" s="51" t="n"/>
      <c r="AB226" s="53">
        <f>IFERROR(IF(A226="","",ROUND(IF(AA226&lt;&gt;"",AA226,Z226*'Setup &amp; Lists'!$B$10),2)),"")</f>
        <v/>
      </c>
      <c r="AC226" s="51" t="n"/>
      <c r="AD226" s="53">
        <f>IFERROR(IF(A226="","",MAX(0,ROUND(Z226-AC226,2))),"")</f>
        <v/>
      </c>
      <c r="AE226" s="32">
        <f>IFERROR(IF(A226="","",IF(AD226=0,"Paid",IF(AC226&gt;=AB226,"Deposit Met",IF(AC226&gt;0,"Partial Payment","Unpaid")))),"")</f>
        <v/>
      </c>
      <c r="AF226" s="54">
        <f>IFERROR(IF(OR(A226="",G226=""),"",G226-('Setup &amp; Lists'!$B$11/24)),"")</f>
        <v/>
      </c>
      <c r="AG226" s="25" t="n"/>
      <c r="AH226" s="25" t="n"/>
      <c r="AI226" s="50" t="n"/>
      <c r="AJ226" s="32">
        <f>IFERROR(IF(A226="","",IF(H226&lt;=G226,"Departure must be after arrival",IF(OR(J226="",J226&lt;1),"Rooms must be at least 1",IF(D226="","Guest name missing",IF(COUNTIF($A$2:$A$251,A226)&gt;1,"Duplicate reservation ID",IF(AND(P226="Confirmed",G226&gt;=TODAY(),G226&lt;=TODAY()+'Setup &amp; Lists'!$B$12,Q226=""),"Assign room for near-term arrival",IF(AND(G226&lt;TODAY(),P226="Confirmed"),"Past-due confirmed arrival",IF(AND(G226&gt;TODAY(),P226="Confirmed",AC226&lt;AB226),"Deposit shortfall",IF(AND(H226&lt;TODAY(),AD226&gt;0,P226&lt;&gt;"Cancelled"),"Balance remains after departure",IF(R226&lt;0,"Nightly rate is negative",IF(AC226&gt;Z226,"Deposit paid exceeds total value",""))))))))))),"")</f>
        <v/>
      </c>
    </row>
    <row r="227">
      <c r="A227" s="25" t="n"/>
      <c r="B227" s="25" t="n"/>
      <c r="C227" s="50" t="n"/>
      <c r="D227" s="25" t="n"/>
      <c r="E227" s="25" t="n"/>
      <c r="F227" s="25" t="n"/>
      <c r="G227" s="50" t="n"/>
      <c r="H227" s="50" t="n"/>
      <c r="I227" s="27">
        <f>IFERROR(IF(A227="","",MAX(0,H227-G227)),"")</f>
        <v/>
      </c>
      <c r="J227" s="28" t="n"/>
      <c r="K227" s="28" t="n"/>
      <c r="L227" s="28" t="n"/>
      <c r="M227" s="25" t="n"/>
      <c r="N227" s="25" t="n"/>
      <c r="O227" s="25" t="n"/>
      <c r="P227" s="25" t="n"/>
      <c r="Q227" s="25" t="n"/>
      <c r="R227" s="51" t="n"/>
      <c r="S227" s="52" t="n"/>
      <c r="T227" s="51" t="n"/>
      <c r="U227" s="52" t="n"/>
      <c r="V227" s="52" t="n"/>
      <c r="W227" s="53">
        <f>IFERROR(IF(A227="","",ROUND(I227*J227*R227*(1-S227),2)),"")</f>
        <v/>
      </c>
      <c r="X227" s="53">
        <f>IFERROR(IF(A227="","",ROUND(W227*IF(V227="",'Setup &amp; Lists'!$B$7,V227),2)),"")</f>
        <v/>
      </c>
      <c r="Y227" s="53">
        <f>IFERROR(IF(A227="","",ROUND((W227+IF('Setup &amp; Lists'!$B$8="Yes",T227,0)+IF('Setup &amp; Lists'!$B$9="Yes",X227,0))*IF(U227="",'Setup &amp; Lists'!$B$6,U227),2)),"")</f>
        <v/>
      </c>
      <c r="Z227" s="53">
        <f>IFERROR(IF(A227="","",ROUND(W227+T227+X227+Y227,2)),"")</f>
        <v/>
      </c>
      <c r="AA227" s="51" t="n"/>
      <c r="AB227" s="53">
        <f>IFERROR(IF(A227="","",ROUND(IF(AA227&lt;&gt;"",AA227,Z227*'Setup &amp; Lists'!$B$10),2)),"")</f>
        <v/>
      </c>
      <c r="AC227" s="51" t="n"/>
      <c r="AD227" s="53">
        <f>IFERROR(IF(A227="","",MAX(0,ROUND(Z227-AC227,2))),"")</f>
        <v/>
      </c>
      <c r="AE227" s="32">
        <f>IFERROR(IF(A227="","",IF(AD227=0,"Paid",IF(AC227&gt;=AB227,"Deposit Met",IF(AC227&gt;0,"Partial Payment","Unpaid")))),"")</f>
        <v/>
      </c>
      <c r="AF227" s="54">
        <f>IFERROR(IF(OR(A227="",G227=""),"",G227-('Setup &amp; Lists'!$B$11/24)),"")</f>
        <v/>
      </c>
      <c r="AG227" s="25" t="n"/>
      <c r="AH227" s="25" t="n"/>
      <c r="AI227" s="50" t="n"/>
      <c r="AJ227" s="32">
        <f>IFERROR(IF(A227="","",IF(H227&lt;=G227,"Departure must be after arrival",IF(OR(J227="",J227&lt;1),"Rooms must be at least 1",IF(D227="","Guest name missing",IF(COUNTIF($A$2:$A$251,A227)&gt;1,"Duplicate reservation ID",IF(AND(P227="Confirmed",G227&gt;=TODAY(),G227&lt;=TODAY()+'Setup &amp; Lists'!$B$12,Q227=""),"Assign room for near-term arrival",IF(AND(G227&lt;TODAY(),P227="Confirmed"),"Past-due confirmed arrival",IF(AND(G227&gt;TODAY(),P227="Confirmed",AC227&lt;AB227),"Deposit shortfall",IF(AND(H227&lt;TODAY(),AD227&gt;0,P227&lt;&gt;"Cancelled"),"Balance remains after departure",IF(R227&lt;0,"Nightly rate is negative",IF(AC227&gt;Z227,"Deposit paid exceeds total value",""))))))))))),"")</f>
        <v/>
      </c>
    </row>
    <row r="228">
      <c r="A228" s="25" t="n"/>
      <c r="B228" s="25" t="n"/>
      <c r="C228" s="50" t="n"/>
      <c r="D228" s="25" t="n"/>
      <c r="E228" s="25" t="n"/>
      <c r="F228" s="25" t="n"/>
      <c r="G228" s="50" t="n"/>
      <c r="H228" s="50" t="n"/>
      <c r="I228" s="27">
        <f>IFERROR(IF(A228="","",MAX(0,H228-G228)),"")</f>
        <v/>
      </c>
      <c r="J228" s="28" t="n"/>
      <c r="K228" s="28" t="n"/>
      <c r="L228" s="28" t="n"/>
      <c r="M228" s="25" t="n"/>
      <c r="N228" s="25" t="n"/>
      <c r="O228" s="25" t="n"/>
      <c r="P228" s="25" t="n"/>
      <c r="Q228" s="25" t="n"/>
      <c r="R228" s="51" t="n"/>
      <c r="S228" s="52" t="n"/>
      <c r="T228" s="51" t="n"/>
      <c r="U228" s="52" t="n"/>
      <c r="V228" s="52" t="n"/>
      <c r="W228" s="53">
        <f>IFERROR(IF(A228="","",ROUND(I228*J228*R228*(1-S228),2)),"")</f>
        <v/>
      </c>
      <c r="X228" s="53">
        <f>IFERROR(IF(A228="","",ROUND(W228*IF(V228="",'Setup &amp; Lists'!$B$7,V228),2)),"")</f>
        <v/>
      </c>
      <c r="Y228" s="53">
        <f>IFERROR(IF(A228="","",ROUND((W228+IF('Setup &amp; Lists'!$B$8="Yes",T228,0)+IF('Setup &amp; Lists'!$B$9="Yes",X228,0))*IF(U228="",'Setup &amp; Lists'!$B$6,U228),2)),"")</f>
        <v/>
      </c>
      <c r="Z228" s="53">
        <f>IFERROR(IF(A228="","",ROUND(W228+T228+X228+Y228,2)),"")</f>
        <v/>
      </c>
      <c r="AA228" s="51" t="n"/>
      <c r="AB228" s="53">
        <f>IFERROR(IF(A228="","",ROUND(IF(AA228&lt;&gt;"",AA228,Z228*'Setup &amp; Lists'!$B$10),2)),"")</f>
        <v/>
      </c>
      <c r="AC228" s="51" t="n"/>
      <c r="AD228" s="53">
        <f>IFERROR(IF(A228="","",MAX(0,ROUND(Z228-AC228,2))),"")</f>
        <v/>
      </c>
      <c r="AE228" s="32">
        <f>IFERROR(IF(A228="","",IF(AD228=0,"Paid",IF(AC228&gt;=AB228,"Deposit Met",IF(AC228&gt;0,"Partial Payment","Unpaid")))),"")</f>
        <v/>
      </c>
      <c r="AF228" s="54">
        <f>IFERROR(IF(OR(A228="",G228=""),"",G228-('Setup &amp; Lists'!$B$11/24)),"")</f>
        <v/>
      </c>
      <c r="AG228" s="25" t="n"/>
      <c r="AH228" s="25" t="n"/>
      <c r="AI228" s="50" t="n"/>
      <c r="AJ228" s="32">
        <f>IFERROR(IF(A228="","",IF(H228&lt;=G228,"Departure must be after arrival",IF(OR(J228="",J228&lt;1),"Rooms must be at least 1",IF(D228="","Guest name missing",IF(COUNTIF($A$2:$A$251,A228)&gt;1,"Duplicate reservation ID",IF(AND(P228="Confirmed",G228&gt;=TODAY(),G228&lt;=TODAY()+'Setup &amp; Lists'!$B$12,Q228=""),"Assign room for near-term arrival",IF(AND(G228&lt;TODAY(),P228="Confirmed"),"Past-due confirmed arrival",IF(AND(G228&gt;TODAY(),P228="Confirmed",AC228&lt;AB228),"Deposit shortfall",IF(AND(H228&lt;TODAY(),AD228&gt;0,P228&lt;&gt;"Cancelled"),"Balance remains after departure",IF(R228&lt;0,"Nightly rate is negative",IF(AC228&gt;Z228,"Deposit paid exceeds total value",""))))))))))),"")</f>
        <v/>
      </c>
    </row>
    <row r="229">
      <c r="A229" s="25" t="n"/>
      <c r="B229" s="25" t="n"/>
      <c r="C229" s="50" t="n"/>
      <c r="D229" s="25" t="n"/>
      <c r="E229" s="25" t="n"/>
      <c r="F229" s="25" t="n"/>
      <c r="G229" s="50" t="n"/>
      <c r="H229" s="50" t="n"/>
      <c r="I229" s="27">
        <f>IFERROR(IF(A229="","",MAX(0,H229-G229)),"")</f>
        <v/>
      </c>
      <c r="J229" s="28" t="n"/>
      <c r="K229" s="28" t="n"/>
      <c r="L229" s="28" t="n"/>
      <c r="M229" s="25" t="n"/>
      <c r="N229" s="25" t="n"/>
      <c r="O229" s="25" t="n"/>
      <c r="P229" s="25" t="n"/>
      <c r="Q229" s="25" t="n"/>
      <c r="R229" s="51" t="n"/>
      <c r="S229" s="52" t="n"/>
      <c r="T229" s="51" t="n"/>
      <c r="U229" s="52" t="n"/>
      <c r="V229" s="52" t="n"/>
      <c r="W229" s="53">
        <f>IFERROR(IF(A229="","",ROUND(I229*J229*R229*(1-S229),2)),"")</f>
        <v/>
      </c>
      <c r="X229" s="53">
        <f>IFERROR(IF(A229="","",ROUND(W229*IF(V229="",'Setup &amp; Lists'!$B$7,V229),2)),"")</f>
        <v/>
      </c>
      <c r="Y229" s="53">
        <f>IFERROR(IF(A229="","",ROUND((W229+IF('Setup &amp; Lists'!$B$8="Yes",T229,0)+IF('Setup &amp; Lists'!$B$9="Yes",X229,0))*IF(U229="",'Setup &amp; Lists'!$B$6,U229),2)),"")</f>
        <v/>
      </c>
      <c r="Z229" s="53">
        <f>IFERROR(IF(A229="","",ROUND(W229+T229+X229+Y229,2)),"")</f>
        <v/>
      </c>
      <c r="AA229" s="51" t="n"/>
      <c r="AB229" s="53">
        <f>IFERROR(IF(A229="","",ROUND(IF(AA229&lt;&gt;"",AA229,Z229*'Setup &amp; Lists'!$B$10),2)),"")</f>
        <v/>
      </c>
      <c r="AC229" s="51" t="n"/>
      <c r="AD229" s="53">
        <f>IFERROR(IF(A229="","",MAX(0,ROUND(Z229-AC229,2))),"")</f>
        <v/>
      </c>
      <c r="AE229" s="32">
        <f>IFERROR(IF(A229="","",IF(AD229=0,"Paid",IF(AC229&gt;=AB229,"Deposit Met",IF(AC229&gt;0,"Partial Payment","Unpaid")))),"")</f>
        <v/>
      </c>
      <c r="AF229" s="54">
        <f>IFERROR(IF(OR(A229="",G229=""),"",G229-('Setup &amp; Lists'!$B$11/24)),"")</f>
        <v/>
      </c>
      <c r="AG229" s="25" t="n"/>
      <c r="AH229" s="25" t="n"/>
      <c r="AI229" s="50" t="n"/>
      <c r="AJ229" s="32">
        <f>IFERROR(IF(A229="","",IF(H229&lt;=G229,"Departure must be after arrival",IF(OR(J229="",J229&lt;1),"Rooms must be at least 1",IF(D229="","Guest name missing",IF(COUNTIF($A$2:$A$251,A229)&gt;1,"Duplicate reservation ID",IF(AND(P229="Confirmed",G229&gt;=TODAY(),G229&lt;=TODAY()+'Setup &amp; Lists'!$B$12,Q229=""),"Assign room for near-term arrival",IF(AND(G229&lt;TODAY(),P229="Confirmed"),"Past-due confirmed arrival",IF(AND(G229&gt;TODAY(),P229="Confirmed",AC229&lt;AB229),"Deposit shortfall",IF(AND(H229&lt;TODAY(),AD229&gt;0,P229&lt;&gt;"Cancelled"),"Balance remains after departure",IF(R229&lt;0,"Nightly rate is negative",IF(AC229&gt;Z229,"Deposit paid exceeds total value",""))))))))))),"")</f>
        <v/>
      </c>
    </row>
    <row r="230">
      <c r="A230" s="25" t="n"/>
      <c r="B230" s="25" t="n"/>
      <c r="C230" s="50" t="n"/>
      <c r="D230" s="25" t="n"/>
      <c r="E230" s="25" t="n"/>
      <c r="F230" s="25" t="n"/>
      <c r="G230" s="50" t="n"/>
      <c r="H230" s="50" t="n"/>
      <c r="I230" s="27">
        <f>IFERROR(IF(A230="","",MAX(0,H230-G230)),"")</f>
        <v/>
      </c>
      <c r="J230" s="28" t="n"/>
      <c r="K230" s="28" t="n"/>
      <c r="L230" s="28" t="n"/>
      <c r="M230" s="25" t="n"/>
      <c r="N230" s="25" t="n"/>
      <c r="O230" s="25" t="n"/>
      <c r="P230" s="25" t="n"/>
      <c r="Q230" s="25" t="n"/>
      <c r="R230" s="51" t="n"/>
      <c r="S230" s="52" t="n"/>
      <c r="T230" s="51" t="n"/>
      <c r="U230" s="52" t="n"/>
      <c r="V230" s="52" t="n"/>
      <c r="W230" s="53">
        <f>IFERROR(IF(A230="","",ROUND(I230*J230*R230*(1-S230),2)),"")</f>
        <v/>
      </c>
      <c r="X230" s="53">
        <f>IFERROR(IF(A230="","",ROUND(W230*IF(V230="",'Setup &amp; Lists'!$B$7,V230),2)),"")</f>
        <v/>
      </c>
      <c r="Y230" s="53">
        <f>IFERROR(IF(A230="","",ROUND((W230+IF('Setup &amp; Lists'!$B$8="Yes",T230,0)+IF('Setup &amp; Lists'!$B$9="Yes",X230,0))*IF(U230="",'Setup &amp; Lists'!$B$6,U230),2)),"")</f>
        <v/>
      </c>
      <c r="Z230" s="53">
        <f>IFERROR(IF(A230="","",ROUND(W230+T230+X230+Y230,2)),"")</f>
        <v/>
      </c>
      <c r="AA230" s="51" t="n"/>
      <c r="AB230" s="53">
        <f>IFERROR(IF(A230="","",ROUND(IF(AA230&lt;&gt;"",AA230,Z230*'Setup &amp; Lists'!$B$10),2)),"")</f>
        <v/>
      </c>
      <c r="AC230" s="51" t="n"/>
      <c r="AD230" s="53">
        <f>IFERROR(IF(A230="","",MAX(0,ROUND(Z230-AC230,2))),"")</f>
        <v/>
      </c>
      <c r="AE230" s="32">
        <f>IFERROR(IF(A230="","",IF(AD230=0,"Paid",IF(AC230&gt;=AB230,"Deposit Met",IF(AC230&gt;0,"Partial Payment","Unpaid")))),"")</f>
        <v/>
      </c>
      <c r="AF230" s="54">
        <f>IFERROR(IF(OR(A230="",G230=""),"",G230-('Setup &amp; Lists'!$B$11/24)),"")</f>
        <v/>
      </c>
      <c r="AG230" s="25" t="n"/>
      <c r="AH230" s="25" t="n"/>
      <c r="AI230" s="50" t="n"/>
      <c r="AJ230" s="32">
        <f>IFERROR(IF(A230="","",IF(H230&lt;=G230,"Departure must be after arrival",IF(OR(J230="",J230&lt;1),"Rooms must be at least 1",IF(D230="","Guest name missing",IF(COUNTIF($A$2:$A$251,A230)&gt;1,"Duplicate reservation ID",IF(AND(P230="Confirmed",G230&gt;=TODAY(),G230&lt;=TODAY()+'Setup &amp; Lists'!$B$12,Q230=""),"Assign room for near-term arrival",IF(AND(G230&lt;TODAY(),P230="Confirmed"),"Past-due confirmed arrival",IF(AND(G230&gt;TODAY(),P230="Confirmed",AC230&lt;AB230),"Deposit shortfall",IF(AND(H230&lt;TODAY(),AD230&gt;0,P230&lt;&gt;"Cancelled"),"Balance remains after departure",IF(R230&lt;0,"Nightly rate is negative",IF(AC230&gt;Z230,"Deposit paid exceeds total value",""))))))))))),"")</f>
        <v/>
      </c>
    </row>
    <row r="231">
      <c r="A231" s="25" t="n"/>
      <c r="B231" s="25" t="n"/>
      <c r="C231" s="50" t="n"/>
      <c r="D231" s="25" t="n"/>
      <c r="E231" s="25" t="n"/>
      <c r="F231" s="25" t="n"/>
      <c r="G231" s="50" t="n"/>
      <c r="H231" s="50" t="n"/>
      <c r="I231" s="27">
        <f>IFERROR(IF(A231="","",MAX(0,H231-G231)),"")</f>
        <v/>
      </c>
      <c r="J231" s="28" t="n"/>
      <c r="K231" s="28" t="n"/>
      <c r="L231" s="28" t="n"/>
      <c r="M231" s="25" t="n"/>
      <c r="N231" s="25" t="n"/>
      <c r="O231" s="25" t="n"/>
      <c r="P231" s="25" t="n"/>
      <c r="Q231" s="25" t="n"/>
      <c r="R231" s="51" t="n"/>
      <c r="S231" s="52" t="n"/>
      <c r="T231" s="51" t="n"/>
      <c r="U231" s="52" t="n"/>
      <c r="V231" s="52" t="n"/>
      <c r="W231" s="53">
        <f>IFERROR(IF(A231="","",ROUND(I231*J231*R231*(1-S231),2)),"")</f>
        <v/>
      </c>
      <c r="X231" s="53">
        <f>IFERROR(IF(A231="","",ROUND(W231*IF(V231="",'Setup &amp; Lists'!$B$7,V231),2)),"")</f>
        <v/>
      </c>
      <c r="Y231" s="53">
        <f>IFERROR(IF(A231="","",ROUND((W231+IF('Setup &amp; Lists'!$B$8="Yes",T231,0)+IF('Setup &amp; Lists'!$B$9="Yes",X231,0))*IF(U231="",'Setup &amp; Lists'!$B$6,U231),2)),"")</f>
        <v/>
      </c>
      <c r="Z231" s="53">
        <f>IFERROR(IF(A231="","",ROUND(W231+T231+X231+Y231,2)),"")</f>
        <v/>
      </c>
      <c r="AA231" s="51" t="n"/>
      <c r="AB231" s="53">
        <f>IFERROR(IF(A231="","",ROUND(IF(AA231&lt;&gt;"",AA231,Z231*'Setup &amp; Lists'!$B$10),2)),"")</f>
        <v/>
      </c>
      <c r="AC231" s="51" t="n"/>
      <c r="AD231" s="53">
        <f>IFERROR(IF(A231="","",MAX(0,ROUND(Z231-AC231,2))),"")</f>
        <v/>
      </c>
      <c r="AE231" s="32">
        <f>IFERROR(IF(A231="","",IF(AD231=0,"Paid",IF(AC231&gt;=AB231,"Deposit Met",IF(AC231&gt;0,"Partial Payment","Unpaid")))),"")</f>
        <v/>
      </c>
      <c r="AF231" s="54">
        <f>IFERROR(IF(OR(A231="",G231=""),"",G231-('Setup &amp; Lists'!$B$11/24)),"")</f>
        <v/>
      </c>
      <c r="AG231" s="25" t="n"/>
      <c r="AH231" s="25" t="n"/>
      <c r="AI231" s="50" t="n"/>
      <c r="AJ231" s="32">
        <f>IFERROR(IF(A231="","",IF(H231&lt;=G231,"Departure must be after arrival",IF(OR(J231="",J231&lt;1),"Rooms must be at least 1",IF(D231="","Guest name missing",IF(COUNTIF($A$2:$A$251,A231)&gt;1,"Duplicate reservation ID",IF(AND(P231="Confirmed",G231&gt;=TODAY(),G231&lt;=TODAY()+'Setup &amp; Lists'!$B$12,Q231=""),"Assign room for near-term arrival",IF(AND(G231&lt;TODAY(),P231="Confirmed"),"Past-due confirmed arrival",IF(AND(G231&gt;TODAY(),P231="Confirmed",AC231&lt;AB231),"Deposit shortfall",IF(AND(H231&lt;TODAY(),AD231&gt;0,P231&lt;&gt;"Cancelled"),"Balance remains after departure",IF(R231&lt;0,"Nightly rate is negative",IF(AC231&gt;Z231,"Deposit paid exceeds total value",""))))))))))),"")</f>
        <v/>
      </c>
    </row>
    <row r="232">
      <c r="A232" s="25" t="n"/>
      <c r="B232" s="25" t="n"/>
      <c r="C232" s="50" t="n"/>
      <c r="D232" s="25" t="n"/>
      <c r="E232" s="25" t="n"/>
      <c r="F232" s="25" t="n"/>
      <c r="G232" s="50" t="n"/>
      <c r="H232" s="50" t="n"/>
      <c r="I232" s="27">
        <f>IFERROR(IF(A232="","",MAX(0,H232-G232)),"")</f>
        <v/>
      </c>
      <c r="J232" s="28" t="n"/>
      <c r="K232" s="28" t="n"/>
      <c r="L232" s="28" t="n"/>
      <c r="M232" s="25" t="n"/>
      <c r="N232" s="25" t="n"/>
      <c r="O232" s="25" t="n"/>
      <c r="P232" s="25" t="n"/>
      <c r="Q232" s="25" t="n"/>
      <c r="R232" s="51" t="n"/>
      <c r="S232" s="52" t="n"/>
      <c r="T232" s="51" t="n"/>
      <c r="U232" s="52" t="n"/>
      <c r="V232" s="52" t="n"/>
      <c r="W232" s="53">
        <f>IFERROR(IF(A232="","",ROUND(I232*J232*R232*(1-S232),2)),"")</f>
        <v/>
      </c>
      <c r="X232" s="53">
        <f>IFERROR(IF(A232="","",ROUND(W232*IF(V232="",'Setup &amp; Lists'!$B$7,V232),2)),"")</f>
        <v/>
      </c>
      <c r="Y232" s="53">
        <f>IFERROR(IF(A232="","",ROUND((W232+IF('Setup &amp; Lists'!$B$8="Yes",T232,0)+IF('Setup &amp; Lists'!$B$9="Yes",X232,0))*IF(U232="",'Setup &amp; Lists'!$B$6,U232),2)),"")</f>
        <v/>
      </c>
      <c r="Z232" s="53">
        <f>IFERROR(IF(A232="","",ROUND(W232+T232+X232+Y232,2)),"")</f>
        <v/>
      </c>
      <c r="AA232" s="51" t="n"/>
      <c r="AB232" s="53">
        <f>IFERROR(IF(A232="","",ROUND(IF(AA232&lt;&gt;"",AA232,Z232*'Setup &amp; Lists'!$B$10),2)),"")</f>
        <v/>
      </c>
      <c r="AC232" s="51" t="n"/>
      <c r="AD232" s="53">
        <f>IFERROR(IF(A232="","",MAX(0,ROUND(Z232-AC232,2))),"")</f>
        <v/>
      </c>
      <c r="AE232" s="32">
        <f>IFERROR(IF(A232="","",IF(AD232=0,"Paid",IF(AC232&gt;=AB232,"Deposit Met",IF(AC232&gt;0,"Partial Payment","Unpaid")))),"")</f>
        <v/>
      </c>
      <c r="AF232" s="54">
        <f>IFERROR(IF(OR(A232="",G232=""),"",G232-('Setup &amp; Lists'!$B$11/24)),"")</f>
        <v/>
      </c>
      <c r="AG232" s="25" t="n"/>
      <c r="AH232" s="25" t="n"/>
      <c r="AI232" s="50" t="n"/>
      <c r="AJ232" s="32">
        <f>IFERROR(IF(A232="","",IF(H232&lt;=G232,"Departure must be after arrival",IF(OR(J232="",J232&lt;1),"Rooms must be at least 1",IF(D232="","Guest name missing",IF(COUNTIF($A$2:$A$251,A232)&gt;1,"Duplicate reservation ID",IF(AND(P232="Confirmed",G232&gt;=TODAY(),G232&lt;=TODAY()+'Setup &amp; Lists'!$B$12,Q232=""),"Assign room for near-term arrival",IF(AND(G232&lt;TODAY(),P232="Confirmed"),"Past-due confirmed arrival",IF(AND(G232&gt;TODAY(),P232="Confirmed",AC232&lt;AB232),"Deposit shortfall",IF(AND(H232&lt;TODAY(),AD232&gt;0,P232&lt;&gt;"Cancelled"),"Balance remains after departure",IF(R232&lt;0,"Nightly rate is negative",IF(AC232&gt;Z232,"Deposit paid exceeds total value",""))))))))))),"")</f>
        <v/>
      </c>
    </row>
    <row r="233">
      <c r="A233" s="25" t="n"/>
      <c r="B233" s="25" t="n"/>
      <c r="C233" s="50" t="n"/>
      <c r="D233" s="25" t="n"/>
      <c r="E233" s="25" t="n"/>
      <c r="F233" s="25" t="n"/>
      <c r="G233" s="50" t="n"/>
      <c r="H233" s="50" t="n"/>
      <c r="I233" s="27">
        <f>IFERROR(IF(A233="","",MAX(0,H233-G233)),"")</f>
        <v/>
      </c>
      <c r="J233" s="28" t="n"/>
      <c r="K233" s="28" t="n"/>
      <c r="L233" s="28" t="n"/>
      <c r="M233" s="25" t="n"/>
      <c r="N233" s="25" t="n"/>
      <c r="O233" s="25" t="n"/>
      <c r="P233" s="25" t="n"/>
      <c r="Q233" s="25" t="n"/>
      <c r="R233" s="51" t="n"/>
      <c r="S233" s="52" t="n"/>
      <c r="T233" s="51" t="n"/>
      <c r="U233" s="52" t="n"/>
      <c r="V233" s="52" t="n"/>
      <c r="W233" s="53">
        <f>IFERROR(IF(A233="","",ROUND(I233*J233*R233*(1-S233),2)),"")</f>
        <v/>
      </c>
      <c r="X233" s="53">
        <f>IFERROR(IF(A233="","",ROUND(W233*IF(V233="",'Setup &amp; Lists'!$B$7,V233),2)),"")</f>
        <v/>
      </c>
      <c r="Y233" s="53">
        <f>IFERROR(IF(A233="","",ROUND((W233+IF('Setup &amp; Lists'!$B$8="Yes",T233,0)+IF('Setup &amp; Lists'!$B$9="Yes",X233,0))*IF(U233="",'Setup &amp; Lists'!$B$6,U233),2)),"")</f>
        <v/>
      </c>
      <c r="Z233" s="53">
        <f>IFERROR(IF(A233="","",ROUND(W233+T233+X233+Y233,2)),"")</f>
        <v/>
      </c>
      <c r="AA233" s="51" t="n"/>
      <c r="AB233" s="53">
        <f>IFERROR(IF(A233="","",ROUND(IF(AA233&lt;&gt;"",AA233,Z233*'Setup &amp; Lists'!$B$10),2)),"")</f>
        <v/>
      </c>
      <c r="AC233" s="51" t="n"/>
      <c r="AD233" s="53">
        <f>IFERROR(IF(A233="","",MAX(0,ROUND(Z233-AC233,2))),"")</f>
        <v/>
      </c>
      <c r="AE233" s="32">
        <f>IFERROR(IF(A233="","",IF(AD233=0,"Paid",IF(AC233&gt;=AB233,"Deposit Met",IF(AC233&gt;0,"Partial Payment","Unpaid")))),"")</f>
        <v/>
      </c>
      <c r="AF233" s="54">
        <f>IFERROR(IF(OR(A233="",G233=""),"",G233-('Setup &amp; Lists'!$B$11/24)),"")</f>
        <v/>
      </c>
      <c r="AG233" s="25" t="n"/>
      <c r="AH233" s="25" t="n"/>
      <c r="AI233" s="50" t="n"/>
      <c r="AJ233" s="32">
        <f>IFERROR(IF(A233="","",IF(H233&lt;=G233,"Departure must be after arrival",IF(OR(J233="",J233&lt;1),"Rooms must be at least 1",IF(D233="","Guest name missing",IF(COUNTIF($A$2:$A$251,A233)&gt;1,"Duplicate reservation ID",IF(AND(P233="Confirmed",G233&gt;=TODAY(),G233&lt;=TODAY()+'Setup &amp; Lists'!$B$12,Q233=""),"Assign room for near-term arrival",IF(AND(G233&lt;TODAY(),P233="Confirmed"),"Past-due confirmed arrival",IF(AND(G233&gt;TODAY(),P233="Confirmed",AC233&lt;AB233),"Deposit shortfall",IF(AND(H233&lt;TODAY(),AD233&gt;0,P233&lt;&gt;"Cancelled"),"Balance remains after departure",IF(R233&lt;0,"Nightly rate is negative",IF(AC233&gt;Z233,"Deposit paid exceeds total value",""))))))))))),"")</f>
        <v/>
      </c>
    </row>
    <row r="234">
      <c r="A234" s="25" t="n"/>
      <c r="B234" s="25" t="n"/>
      <c r="C234" s="50" t="n"/>
      <c r="D234" s="25" t="n"/>
      <c r="E234" s="25" t="n"/>
      <c r="F234" s="25" t="n"/>
      <c r="G234" s="50" t="n"/>
      <c r="H234" s="50" t="n"/>
      <c r="I234" s="27">
        <f>IFERROR(IF(A234="","",MAX(0,H234-G234)),"")</f>
        <v/>
      </c>
      <c r="J234" s="28" t="n"/>
      <c r="K234" s="28" t="n"/>
      <c r="L234" s="28" t="n"/>
      <c r="M234" s="25" t="n"/>
      <c r="N234" s="25" t="n"/>
      <c r="O234" s="25" t="n"/>
      <c r="P234" s="25" t="n"/>
      <c r="Q234" s="25" t="n"/>
      <c r="R234" s="51" t="n"/>
      <c r="S234" s="52" t="n"/>
      <c r="T234" s="51" t="n"/>
      <c r="U234" s="52" t="n"/>
      <c r="V234" s="52" t="n"/>
      <c r="W234" s="53">
        <f>IFERROR(IF(A234="","",ROUND(I234*J234*R234*(1-S234),2)),"")</f>
        <v/>
      </c>
      <c r="X234" s="53">
        <f>IFERROR(IF(A234="","",ROUND(W234*IF(V234="",'Setup &amp; Lists'!$B$7,V234),2)),"")</f>
        <v/>
      </c>
      <c r="Y234" s="53">
        <f>IFERROR(IF(A234="","",ROUND((W234+IF('Setup &amp; Lists'!$B$8="Yes",T234,0)+IF('Setup &amp; Lists'!$B$9="Yes",X234,0))*IF(U234="",'Setup &amp; Lists'!$B$6,U234),2)),"")</f>
        <v/>
      </c>
      <c r="Z234" s="53">
        <f>IFERROR(IF(A234="","",ROUND(W234+T234+X234+Y234,2)),"")</f>
        <v/>
      </c>
      <c r="AA234" s="51" t="n"/>
      <c r="AB234" s="53">
        <f>IFERROR(IF(A234="","",ROUND(IF(AA234&lt;&gt;"",AA234,Z234*'Setup &amp; Lists'!$B$10),2)),"")</f>
        <v/>
      </c>
      <c r="AC234" s="51" t="n"/>
      <c r="AD234" s="53">
        <f>IFERROR(IF(A234="","",MAX(0,ROUND(Z234-AC234,2))),"")</f>
        <v/>
      </c>
      <c r="AE234" s="32">
        <f>IFERROR(IF(A234="","",IF(AD234=0,"Paid",IF(AC234&gt;=AB234,"Deposit Met",IF(AC234&gt;0,"Partial Payment","Unpaid")))),"")</f>
        <v/>
      </c>
      <c r="AF234" s="54">
        <f>IFERROR(IF(OR(A234="",G234=""),"",G234-('Setup &amp; Lists'!$B$11/24)),"")</f>
        <v/>
      </c>
      <c r="AG234" s="25" t="n"/>
      <c r="AH234" s="25" t="n"/>
      <c r="AI234" s="50" t="n"/>
      <c r="AJ234" s="32">
        <f>IFERROR(IF(A234="","",IF(H234&lt;=G234,"Departure must be after arrival",IF(OR(J234="",J234&lt;1),"Rooms must be at least 1",IF(D234="","Guest name missing",IF(COUNTIF($A$2:$A$251,A234)&gt;1,"Duplicate reservation ID",IF(AND(P234="Confirmed",G234&gt;=TODAY(),G234&lt;=TODAY()+'Setup &amp; Lists'!$B$12,Q234=""),"Assign room for near-term arrival",IF(AND(G234&lt;TODAY(),P234="Confirmed"),"Past-due confirmed arrival",IF(AND(G234&gt;TODAY(),P234="Confirmed",AC234&lt;AB234),"Deposit shortfall",IF(AND(H234&lt;TODAY(),AD234&gt;0,P234&lt;&gt;"Cancelled"),"Balance remains after departure",IF(R234&lt;0,"Nightly rate is negative",IF(AC234&gt;Z234,"Deposit paid exceeds total value",""))))))))))),"")</f>
        <v/>
      </c>
    </row>
    <row r="235">
      <c r="A235" s="25" t="n"/>
      <c r="B235" s="25" t="n"/>
      <c r="C235" s="50" t="n"/>
      <c r="D235" s="25" t="n"/>
      <c r="E235" s="25" t="n"/>
      <c r="F235" s="25" t="n"/>
      <c r="G235" s="50" t="n"/>
      <c r="H235" s="50" t="n"/>
      <c r="I235" s="27">
        <f>IFERROR(IF(A235="","",MAX(0,H235-G235)),"")</f>
        <v/>
      </c>
      <c r="J235" s="28" t="n"/>
      <c r="K235" s="28" t="n"/>
      <c r="L235" s="28" t="n"/>
      <c r="M235" s="25" t="n"/>
      <c r="N235" s="25" t="n"/>
      <c r="O235" s="25" t="n"/>
      <c r="P235" s="25" t="n"/>
      <c r="Q235" s="25" t="n"/>
      <c r="R235" s="51" t="n"/>
      <c r="S235" s="52" t="n"/>
      <c r="T235" s="51" t="n"/>
      <c r="U235" s="52" t="n"/>
      <c r="V235" s="52" t="n"/>
      <c r="W235" s="53">
        <f>IFERROR(IF(A235="","",ROUND(I235*J235*R235*(1-S235),2)),"")</f>
        <v/>
      </c>
      <c r="X235" s="53">
        <f>IFERROR(IF(A235="","",ROUND(W235*IF(V235="",'Setup &amp; Lists'!$B$7,V235),2)),"")</f>
        <v/>
      </c>
      <c r="Y235" s="53">
        <f>IFERROR(IF(A235="","",ROUND((W235+IF('Setup &amp; Lists'!$B$8="Yes",T235,0)+IF('Setup &amp; Lists'!$B$9="Yes",X235,0))*IF(U235="",'Setup &amp; Lists'!$B$6,U235),2)),"")</f>
        <v/>
      </c>
      <c r="Z235" s="53">
        <f>IFERROR(IF(A235="","",ROUND(W235+T235+X235+Y235,2)),"")</f>
        <v/>
      </c>
      <c r="AA235" s="51" t="n"/>
      <c r="AB235" s="53">
        <f>IFERROR(IF(A235="","",ROUND(IF(AA235&lt;&gt;"",AA235,Z235*'Setup &amp; Lists'!$B$10),2)),"")</f>
        <v/>
      </c>
      <c r="AC235" s="51" t="n"/>
      <c r="AD235" s="53">
        <f>IFERROR(IF(A235="","",MAX(0,ROUND(Z235-AC235,2))),"")</f>
        <v/>
      </c>
      <c r="AE235" s="32">
        <f>IFERROR(IF(A235="","",IF(AD235=0,"Paid",IF(AC235&gt;=AB235,"Deposit Met",IF(AC235&gt;0,"Partial Payment","Unpaid")))),"")</f>
        <v/>
      </c>
      <c r="AF235" s="54">
        <f>IFERROR(IF(OR(A235="",G235=""),"",G235-('Setup &amp; Lists'!$B$11/24)),"")</f>
        <v/>
      </c>
      <c r="AG235" s="25" t="n"/>
      <c r="AH235" s="25" t="n"/>
      <c r="AI235" s="50" t="n"/>
      <c r="AJ235" s="32">
        <f>IFERROR(IF(A235="","",IF(H235&lt;=G235,"Departure must be after arrival",IF(OR(J235="",J235&lt;1),"Rooms must be at least 1",IF(D235="","Guest name missing",IF(COUNTIF($A$2:$A$251,A235)&gt;1,"Duplicate reservation ID",IF(AND(P235="Confirmed",G235&gt;=TODAY(),G235&lt;=TODAY()+'Setup &amp; Lists'!$B$12,Q235=""),"Assign room for near-term arrival",IF(AND(G235&lt;TODAY(),P235="Confirmed"),"Past-due confirmed arrival",IF(AND(G235&gt;TODAY(),P235="Confirmed",AC235&lt;AB235),"Deposit shortfall",IF(AND(H235&lt;TODAY(),AD235&gt;0,P235&lt;&gt;"Cancelled"),"Balance remains after departure",IF(R235&lt;0,"Nightly rate is negative",IF(AC235&gt;Z235,"Deposit paid exceeds total value",""))))))))))),"")</f>
        <v/>
      </c>
    </row>
    <row r="236">
      <c r="A236" s="25" t="n"/>
      <c r="B236" s="25" t="n"/>
      <c r="C236" s="50" t="n"/>
      <c r="D236" s="25" t="n"/>
      <c r="E236" s="25" t="n"/>
      <c r="F236" s="25" t="n"/>
      <c r="G236" s="50" t="n"/>
      <c r="H236" s="50" t="n"/>
      <c r="I236" s="27">
        <f>IFERROR(IF(A236="","",MAX(0,H236-G236)),"")</f>
        <v/>
      </c>
      <c r="J236" s="28" t="n"/>
      <c r="K236" s="28" t="n"/>
      <c r="L236" s="28" t="n"/>
      <c r="M236" s="25" t="n"/>
      <c r="N236" s="25" t="n"/>
      <c r="O236" s="25" t="n"/>
      <c r="P236" s="25" t="n"/>
      <c r="Q236" s="25" t="n"/>
      <c r="R236" s="51" t="n"/>
      <c r="S236" s="52" t="n"/>
      <c r="T236" s="51" t="n"/>
      <c r="U236" s="52" t="n"/>
      <c r="V236" s="52" t="n"/>
      <c r="W236" s="53">
        <f>IFERROR(IF(A236="","",ROUND(I236*J236*R236*(1-S236),2)),"")</f>
        <v/>
      </c>
      <c r="X236" s="53">
        <f>IFERROR(IF(A236="","",ROUND(W236*IF(V236="",'Setup &amp; Lists'!$B$7,V236),2)),"")</f>
        <v/>
      </c>
      <c r="Y236" s="53">
        <f>IFERROR(IF(A236="","",ROUND((W236+IF('Setup &amp; Lists'!$B$8="Yes",T236,0)+IF('Setup &amp; Lists'!$B$9="Yes",X236,0))*IF(U236="",'Setup &amp; Lists'!$B$6,U236),2)),"")</f>
        <v/>
      </c>
      <c r="Z236" s="53">
        <f>IFERROR(IF(A236="","",ROUND(W236+T236+X236+Y236,2)),"")</f>
        <v/>
      </c>
      <c r="AA236" s="51" t="n"/>
      <c r="AB236" s="53">
        <f>IFERROR(IF(A236="","",ROUND(IF(AA236&lt;&gt;"",AA236,Z236*'Setup &amp; Lists'!$B$10),2)),"")</f>
        <v/>
      </c>
      <c r="AC236" s="51" t="n"/>
      <c r="AD236" s="53">
        <f>IFERROR(IF(A236="","",MAX(0,ROUND(Z236-AC236,2))),"")</f>
        <v/>
      </c>
      <c r="AE236" s="32">
        <f>IFERROR(IF(A236="","",IF(AD236=0,"Paid",IF(AC236&gt;=AB236,"Deposit Met",IF(AC236&gt;0,"Partial Payment","Unpaid")))),"")</f>
        <v/>
      </c>
      <c r="AF236" s="54">
        <f>IFERROR(IF(OR(A236="",G236=""),"",G236-('Setup &amp; Lists'!$B$11/24)),"")</f>
        <v/>
      </c>
      <c r="AG236" s="25" t="n"/>
      <c r="AH236" s="25" t="n"/>
      <c r="AI236" s="50" t="n"/>
      <c r="AJ236" s="32">
        <f>IFERROR(IF(A236="","",IF(H236&lt;=G236,"Departure must be after arrival",IF(OR(J236="",J236&lt;1),"Rooms must be at least 1",IF(D236="","Guest name missing",IF(COUNTIF($A$2:$A$251,A236)&gt;1,"Duplicate reservation ID",IF(AND(P236="Confirmed",G236&gt;=TODAY(),G236&lt;=TODAY()+'Setup &amp; Lists'!$B$12,Q236=""),"Assign room for near-term arrival",IF(AND(G236&lt;TODAY(),P236="Confirmed"),"Past-due confirmed arrival",IF(AND(G236&gt;TODAY(),P236="Confirmed",AC236&lt;AB236),"Deposit shortfall",IF(AND(H236&lt;TODAY(),AD236&gt;0,P236&lt;&gt;"Cancelled"),"Balance remains after departure",IF(R236&lt;0,"Nightly rate is negative",IF(AC236&gt;Z236,"Deposit paid exceeds total value",""))))))))))),"")</f>
        <v/>
      </c>
    </row>
    <row r="237">
      <c r="A237" s="25" t="n"/>
      <c r="B237" s="25" t="n"/>
      <c r="C237" s="50" t="n"/>
      <c r="D237" s="25" t="n"/>
      <c r="E237" s="25" t="n"/>
      <c r="F237" s="25" t="n"/>
      <c r="G237" s="50" t="n"/>
      <c r="H237" s="50" t="n"/>
      <c r="I237" s="27">
        <f>IFERROR(IF(A237="","",MAX(0,H237-G237)),"")</f>
        <v/>
      </c>
      <c r="J237" s="28" t="n"/>
      <c r="K237" s="28" t="n"/>
      <c r="L237" s="28" t="n"/>
      <c r="M237" s="25" t="n"/>
      <c r="N237" s="25" t="n"/>
      <c r="O237" s="25" t="n"/>
      <c r="P237" s="25" t="n"/>
      <c r="Q237" s="25" t="n"/>
      <c r="R237" s="51" t="n"/>
      <c r="S237" s="52" t="n"/>
      <c r="T237" s="51" t="n"/>
      <c r="U237" s="52" t="n"/>
      <c r="V237" s="52" t="n"/>
      <c r="W237" s="53">
        <f>IFERROR(IF(A237="","",ROUND(I237*J237*R237*(1-S237),2)),"")</f>
        <v/>
      </c>
      <c r="X237" s="53">
        <f>IFERROR(IF(A237="","",ROUND(W237*IF(V237="",'Setup &amp; Lists'!$B$7,V237),2)),"")</f>
        <v/>
      </c>
      <c r="Y237" s="53">
        <f>IFERROR(IF(A237="","",ROUND((W237+IF('Setup &amp; Lists'!$B$8="Yes",T237,0)+IF('Setup &amp; Lists'!$B$9="Yes",X237,0))*IF(U237="",'Setup &amp; Lists'!$B$6,U237),2)),"")</f>
        <v/>
      </c>
      <c r="Z237" s="53">
        <f>IFERROR(IF(A237="","",ROUND(W237+T237+X237+Y237,2)),"")</f>
        <v/>
      </c>
      <c r="AA237" s="51" t="n"/>
      <c r="AB237" s="53">
        <f>IFERROR(IF(A237="","",ROUND(IF(AA237&lt;&gt;"",AA237,Z237*'Setup &amp; Lists'!$B$10),2)),"")</f>
        <v/>
      </c>
      <c r="AC237" s="51" t="n"/>
      <c r="AD237" s="53">
        <f>IFERROR(IF(A237="","",MAX(0,ROUND(Z237-AC237,2))),"")</f>
        <v/>
      </c>
      <c r="AE237" s="32">
        <f>IFERROR(IF(A237="","",IF(AD237=0,"Paid",IF(AC237&gt;=AB237,"Deposit Met",IF(AC237&gt;0,"Partial Payment","Unpaid")))),"")</f>
        <v/>
      </c>
      <c r="AF237" s="54">
        <f>IFERROR(IF(OR(A237="",G237=""),"",G237-('Setup &amp; Lists'!$B$11/24)),"")</f>
        <v/>
      </c>
      <c r="AG237" s="25" t="n"/>
      <c r="AH237" s="25" t="n"/>
      <c r="AI237" s="50" t="n"/>
      <c r="AJ237" s="32">
        <f>IFERROR(IF(A237="","",IF(H237&lt;=G237,"Departure must be after arrival",IF(OR(J237="",J237&lt;1),"Rooms must be at least 1",IF(D237="","Guest name missing",IF(COUNTIF($A$2:$A$251,A237)&gt;1,"Duplicate reservation ID",IF(AND(P237="Confirmed",G237&gt;=TODAY(),G237&lt;=TODAY()+'Setup &amp; Lists'!$B$12,Q237=""),"Assign room for near-term arrival",IF(AND(G237&lt;TODAY(),P237="Confirmed"),"Past-due confirmed arrival",IF(AND(G237&gt;TODAY(),P237="Confirmed",AC237&lt;AB237),"Deposit shortfall",IF(AND(H237&lt;TODAY(),AD237&gt;0,P237&lt;&gt;"Cancelled"),"Balance remains after departure",IF(R237&lt;0,"Nightly rate is negative",IF(AC237&gt;Z237,"Deposit paid exceeds total value",""))))))))))),"")</f>
        <v/>
      </c>
    </row>
    <row r="238">
      <c r="A238" s="25" t="n"/>
      <c r="B238" s="25" t="n"/>
      <c r="C238" s="50" t="n"/>
      <c r="D238" s="25" t="n"/>
      <c r="E238" s="25" t="n"/>
      <c r="F238" s="25" t="n"/>
      <c r="G238" s="50" t="n"/>
      <c r="H238" s="50" t="n"/>
      <c r="I238" s="27">
        <f>IFERROR(IF(A238="","",MAX(0,H238-G238)),"")</f>
        <v/>
      </c>
      <c r="J238" s="28" t="n"/>
      <c r="K238" s="28" t="n"/>
      <c r="L238" s="28" t="n"/>
      <c r="M238" s="25" t="n"/>
      <c r="N238" s="25" t="n"/>
      <c r="O238" s="25" t="n"/>
      <c r="P238" s="25" t="n"/>
      <c r="Q238" s="25" t="n"/>
      <c r="R238" s="51" t="n"/>
      <c r="S238" s="52" t="n"/>
      <c r="T238" s="51" t="n"/>
      <c r="U238" s="52" t="n"/>
      <c r="V238" s="52" t="n"/>
      <c r="W238" s="53">
        <f>IFERROR(IF(A238="","",ROUND(I238*J238*R238*(1-S238),2)),"")</f>
        <v/>
      </c>
      <c r="X238" s="53">
        <f>IFERROR(IF(A238="","",ROUND(W238*IF(V238="",'Setup &amp; Lists'!$B$7,V238),2)),"")</f>
        <v/>
      </c>
      <c r="Y238" s="53">
        <f>IFERROR(IF(A238="","",ROUND((W238+IF('Setup &amp; Lists'!$B$8="Yes",T238,0)+IF('Setup &amp; Lists'!$B$9="Yes",X238,0))*IF(U238="",'Setup &amp; Lists'!$B$6,U238),2)),"")</f>
        <v/>
      </c>
      <c r="Z238" s="53">
        <f>IFERROR(IF(A238="","",ROUND(W238+T238+X238+Y238,2)),"")</f>
        <v/>
      </c>
      <c r="AA238" s="51" t="n"/>
      <c r="AB238" s="53">
        <f>IFERROR(IF(A238="","",ROUND(IF(AA238&lt;&gt;"",AA238,Z238*'Setup &amp; Lists'!$B$10),2)),"")</f>
        <v/>
      </c>
      <c r="AC238" s="51" t="n"/>
      <c r="AD238" s="53">
        <f>IFERROR(IF(A238="","",MAX(0,ROUND(Z238-AC238,2))),"")</f>
        <v/>
      </c>
      <c r="AE238" s="32">
        <f>IFERROR(IF(A238="","",IF(AD238=0,"Paid",IF(AC238&gt;=AB238,"Deposit Met",IF(AC238&gt;0,"Partial Payment","Unpaid")))),"")</f>
        <v/>
      </c>
      <c r="AF238" s="54">
        <f>IFERROR(IF(OR(A238="",G238=""),"",G238-('Setup &amp; Lists'!$B$11/24)),"")</f>
        <v/>
      </c>
      <c r="AG238" s="25" t="n"/>
      <c r="AH238" s="25" t="n"/>
      <c r="AI238" s="50" t="n"/>
      <c r="AJ238" s="32">
        <f>IFERROR(IF(A238="","",IF(H238&lt;=G238,"Departure must be after arrival",IF(OR(J238="",J238&lt;1),"Rooms must be at least 1",IF(D238="","Guest name missing",IF(COUNTIF($A$2:$A$251,A238)&gt;1,"Duplicate reservation ID",IF(AND(P238="Confirmed",G238&gt;=TODAY(),G238&lt;=TODAY()+'Setup &amp; Lists'!$B$12,Q238=""),"Assign room for near-term arrival",IF(AND(G238&lt;TODAY(),P238="Confirmed"),"Past-due confirmed arrival",IF(AND(G238&gt;TODAY(),P238="Confirmed",AC238&lt;AB238),"Deposit shortfall",IF(AND(H238&lt;TODAY(),AD238&gt;0,P238&lt;&gt;"Cancelled"),"Balance remains after departure",IF(R238&lt;0,"Nightly rate is negative",IF(AC238&gt;Z238,"Deposit paid exceeds total value",""))))))))))),"")</f>
        <v/>
      </c>
    </row>
    <row r="239">
      <c r="A239" s="25" t="n"/>
      <c r="B239" s="25" t="n"/>
      <c r="C239" s="50" t="n"/>
      <c r="D239" s="25" t="n"/>
      <c r="E239" s="25" t="n"/>
      <c r="F239" s="25" t="n"/>
      <c r="G239" s="50" t="n"/>
      <c r="H239" s="50" t="n"/>
      <c r="I239" s="27">
        <f>IFERROR(IF(A239="","",MAX(0,H239-G239)),"")</f>
        <v/>
      </c>
      <c r="J239" s="28" t="n"/>
      <c r="K239" s="28" t="n"/>
      <c r="L239" s="28" t="n"/>
      <c r="M239" s="25" t="n"/>
      <c r="N239" s="25" t="n"/>
      <c r="O239" s="25" t="n"/>
      <c r="P239" s="25" t="n"/>
      <c r="Q239" s="25" t="n"/>
      <c r="R239" s="51" t="n"/>
      <c r="S239" s="52" t="n"/>
      <c r="T239" s="51" t="n"/>
      <c r="U239" s="52" t="n"/>
      <c r="V239" s="52" t="n"/>
      <c r="W239" s="53">
        <f>IFERROR(IF(A239="","",ROUND(I239*J239*R239*(1-S239),2)),"")</f>
        <v/>
      </c>
      <c r="X239" s="53">
        <f>IFERROR(IF(A239="","",ROUND(W239*IF(V239="",'Setup &amp; Lists'!$B$7,V239),2)),"")</f>
        <v/>
      </c>
      <c r="Y239" s="53">
        <f>IFERROR(IF(A239="","",ROUND((W239+IF('Setup &amp; Lists'!$B$8="Yes",T239,0)+IF('Setup &amp; Lists'!$B$9="Yes",X239,0))*IF(U239="",'Setup &amp; Lists'!$B$6,U239),2)),"")</f>
        <v/>
      </c>
      <c r="Z239" s="53">
        <f>IFERROR(IF(A239="","",ROUND(W239+T239+X239+Y239,2)),"")</f>
        <v/>
      </c>
      <c r="AA239" s="51" t="n"/>
      <c r="AB239" s="53">
        <f>IFERROR(IF(A239="","",ROUND(IF(AA239&lt;&gt;"",AA239,Z239*'Setup &amp; Lists'!$B$10),2)),"")</f>
        <v/>
      </c>
      <c r="AC239" s="51" t="n"/>
      <c r="AD239" s="53">
        <f>IFERROR(IF(A239="","",MAX(0,ROUND(Z239-AC239,2))),"")</f>
        <v/>
      </c>
      <c r="AE239" s="32">
        <f>IFERROR(IF(A239="","",IF(AD239=0,"Paid",IF(AC239&gt;=AB239,"Deposit Met",IF(AC239&gt;0,"Partial Payment","Unpaid")))),"")</f>
        <v/>
      </c>
      <c r="AF239" s="54">
        <f>IFERROR(IF(OR(A239="",G239=""),"",G239-('Setup &amp; Lists'!$B$11/24)),"")</f>
        <v/>
      </c>
      <c r="AG239" s="25" t="n"/>
      <c r="AH239" s="25" t="n"/>
      <c r="AI239" s="50" t="n"/>
      <c r="AJ239" s="32">
        <f>IFERROR(IF(A239="","",IF(H239&lt;=G239,"Departure must be after arrival",IF(OR(J239="",J239&lt;1),"Rooms must be at least 1",IF(D239="","Guest name missing",IF(COUNTIF($A$2:$A$251,A239)&gt;1,"Duplicate reservation ID",IF(AND(P239="Confirmed",G239&gt;=TODAY(),G239&lt;=TODAY()+'Setup &amp; Lists'!$B$12,Q239=""),"Assign room for near-term arrival",IF(AND(G239&lt;TODAY(),P239="Confirmed"),"Past-due confirmed arrival",IF(AND(G239&gt;TODAY(),P239="Confirmed",AC239&lt;AB239),"Deposit shortfall",IF(AND(H239&lt;TODAY(),AD239&gt;0,P239&lt;&gt;"Cancelled"),"Balance remains after departure",IF(R239&lt;0,"Nightly rate is negative",IF(AC239&gt;Z239,"Deposit paid exceeds total value",""))))))))))),"")</f>
        <v/>
      </c>
    </row>
    <row r="240">
      <c r="A240" s="25" t="n"/>
      <c r="B240" s="25" t="n"/>
      <c r="C240" s="50" t="n"/>
      <c r="D240" s="25" t="n"/>
      <c r="E240" s="25" t="n"/>
      <c r="F240" s="25" t="n"/>
      <c r="G240" s="50" t="n"/>
      <c r="H240" s="50" t="n"/>
      <c r="I240" s="27">
        <f>IFERROR(IF(A240="","",MAX(0,H240-G240)),"")</f>
        <v/>
      </c>
      <c r="J240" s="28" t="n"/>
      <c r="K240" s="28" t="n"/>
      <c r="L240" s="28" t="n"/>
      <c r="M240" s="25" t="n"/>
      <c r="N240" s="25" t="n"/>
      <c r="O240" s="25" t="n"/>
      <c r="P240" s="25" t="n"/>
      <c r="Q240" s="25" t="n"/>
      <c r="R240" s="51" t="n"/>
      <c r="S240" s="52" t="n"/>
      <c r="T240" s="51" t="n"/>
      <c r="U240" s="52" t="n"/>
      <c r="V240" s="52" t="n"/>
      <c r="W240" s="53">
        <f>IFERROR(IF(A240="","",ROUND(I240*J240*R240*(1-S240),2)),"")</f>
        <v/>
      </c>
      <c r="X240" s="53">
        <f>IFERROR(IF(A240="","",ROUND(W240*IF(V240="",'Setup &amp; Lists'!$B$7,V240),2)),"")</f>
        <v/>
      </c>
      <c r="Y240" s="53">
        <f>IFERROR(IF(A240="","",ROUND((W240+IF('Setup &amp; Lists'!$B$8="Yes",T240,0)+IF('Setup &amp; Lists'!$B$9="Yes",X240,0))*IF(U240="",'Setup &amp; Lists'!$B$6,U240),2)),"")</f>
        <v/>
      </c>
      <c r="Z240" s="53">
        <f>IFERROR(IF(A240="","",ROUND(W240+T240+X240+Y240,2)),"")</f>
        <v/>
      </c>
      <c r="AA240" s="51" t="n"/>
      <c r="AB240" s="53">
        <f>IFERROR(IF(A240="","",ROUND(IF(AA240&lt;&gt;"",AA240,Z240*'Setup &amp; Lists'!$B$10),2)),"")</f>
        <v/>
      </c>
      <c r="AC240" s="51" t="n"/>
      <c r="AD240" s="53">
        <f>IFERROR(IF(A240="","",MAX(0,ROUND(Z240-AC240,2))),"")</f>
        <v/>
      </c>
      <c r="AE240" s="32">
        <f>IFERROR(IF(A240="","",IF(AD240=0,"Paid",IF(AC240&gt;=AB240,"Deposit Met",IF(AC240&gt;0,"Partial Payment","Unpaid")))),"")</f>
        <v/>
      </c>
      <c r="AF240" s="54">
        <f>IFERROR(IF(OR(A240="",G240=""),"",G240-('Setup &amp; Lists'!$B$11/24)),"")</f>
        <v/>
      </c>
      <c r="AG240" s="25" t="n"/>
      <c r="AH240" s="25" t="n"/>
      <c r="AI240" s="50" t="n"/>
      <c r="AJ240" s="32">
        <f>IFERROR(IF(A240="","",IF(H240&lt;=G240,"Departure must be after arrival",IF(OR(J240="",J240&lt;1),"Rooms must be at least 1",IF(D240="","Guest name missing",IF(COUNTIF($A$2:$A$251,A240)&gt;1,"Duplicate reservation ID",IF(AND(P240="Confirmed",G240&gt;=TODAY(),G240&lt;=TODAY()+'Setup &amp; Lists'!$B$12,Q240=""),"Assign room for near-term arrival",IF(AND(G240&lt;TODAY(),P240="Confirmed"),"Past-due confirmed arrival",IF(AND(G240&gt;TODAY(),P240="Confirmed",AC240&lt;AB240),"Deposit shortfall",IF(AND(H240&lt;TODAY(),AD240&gt;0,P240&lt;&gt;"Cancelled"),"Balance remains after departure",IF(R240&lt;0,"Nightly rate is negative",IF(AC240&gt;Z240,"Deposit paid exceeds total value",""))))))))))),"")</f>
        <v/>
      </c>
    </row>
    <row r="241">
      <c r="A241" s="25" t="n"/>
      <c r="B241" s="25" t="n"/>
      <c r="C241" s="50" t="n"/>
      <c r="D241" s="25" t="n"/>
      <c r="E241" s="25" t="n"/>
      <c r="F241" s="25" t="n"/>
      <c r="G241" s="50" t="n"/>
      <c r="H241" s="50" t="n"/>
      <c r="I241" s="27">
        <f>IFERROR(IF(A241="","",MAX(0,H241-G241)),"")</f>
        <v/>
      </c>
      <c r="J241" s="28" t="n"/>
      <c r="K241" s="28" t="n"/>
      <c r="L241" s="28" t="n"/>
      <c r="M241" s="25" t="n"/>
      <c r="N241" s="25" t="n"/>
      <c r="O241" s="25" t="n"/>
      <c r="P241" s="25" t="n"/>
      <c r="Q241" s="25" t="n"/>
      <c r="R241" s="51" t="n"/>
      <c r="S241" s="52" t="n"/>
      <c r="T241" s="51" t="n"/>
      <c r="U241" s="52" t="n"/>
      <c r="V241" s="52" t="n"/>
      <c r="W241" s="53">
        <f>IFERROR(IF(A241="","",ROUND(I241*J241*R241*(1-S241),2)),"")</f>
        <v/>
      </c>
      <c r="X241" s="53">
        <f>IFERROR(IF(A241="","",ROUND(W241*IF(V241="",'Setup &amp; Lists'!$B$7,V241),2)),"")</f>
        <v/>
      </c>
      <c r="Y241" s="53">
        <f>IFERROR(IF(A241="","",ROUND((W241+IF('Setup &amp; Lists'!$B$8="Yes",T241,0)+IF('Setup &amp; Lists'!$B$9="Yes",X241,0))*IF(U241="",'Setup &amp; Lists'!$B$6,U241),2)),"")</f>
        <v/>
      </c>
      <c r="Z241" s="53">
        <f>IFERROR(IF(A241="","",ROUND(W241+T241+X241+Y241,2)),"")</f>
        <v/>
      </c>
      <c r="AA241" s="51" t="n"/>
      <c r="AB241" s="53">
        <f>IFERROR(IF(A241="","",ROUND(IF(AA241&lt;&gt;"",AA241,Z241*'Setup &amp; Lists'!$B$10),2)),"")</f>
        <v/>
      </c>
      <c r="AC241" s="51" t="n"/>
      <c r="AD241" s="53">
        <f>IFERROR(IF(A241="","",MAX(0,ROUND(Z241-AC241,2))),"")</f>
        <v/>
      </c>
      <c r="AE241" s="32">
        <f>IFERROR(IF(A241="","",IF(AD241=0,"Paid",IF(AC241&gt;=AB241,"Deposit Met",IF(AC241&gt;0,"Partial Payment","Unpaid")))),"")</f>
        <v/>
      </c>
      <c r="AF241" s="54">
        <f>IFERROR(IF(OR(A241="",G241=""),"",G241-('Setup &amp; Lists'!$B$11/24)),"")</f>
        <v/>
      </c>
      <c r="AG241" s="25" t="n"/>
      <c r="AH241" s="25" t="n"/>
      <c r="AI241" s="50" t="n"/>
      <c r="AJ241" s="32">
        <f>IFERROR(IF(A241="","",IF(H241&lt;=G241,"Departure must be after arrival",IF(OR(J241="",J241&lt;1),"Rooms must be at least 1",IF(D241="","Guest name missing",IF(COUNTIF($A$2:$A$251,A241)&gt;1,"Duplicate reservation ID",IF(AND(P241="Confirmed",G241&gt;=TODAY(),G241&lt;=TODAY()+'Setup &amp; Lists'!$B$12,Q241=""),"Assign room for near-term arrival",IF(AND(G241&lt;TODAY(),P241="Confirmed"),"Past-due confirmed arrival",IF(AND(G241&gt;TODAY(),P241="Confirmed",AC241&lt;AB241),"Deposit shortfall",IF(AND(H241&lt;TODAY(),AD241&gt;0,P241&lt;&gt;"Cancelled"),"Balance remains after departure",IF(R241&lt;0,"Nightly rate is negative",IF(AC241&gt;Z241,"Deposit paid exceeds total value",""))))))))))),"")</f>
        <v/>
      </c>
    </row>
    <row r="242">
      <c r="A242" s="25" t="n"/>
      <c r="B242" s="25" t="n"/>
      <c r="C242" s="50" t="n"/>
      <c r="D242" s="25" t="n"/>
      <c r="E242" s="25" t="n"/>
      <c r="F242" s="25" t="n"/>
      <c r="G242" s="50" t="n"/>
      <c r="H242" s="50" t="n"/>
      <c r="I242" s="27">
        <f>IFERROR(IF(A242="","",MAX(0,H242-G242)),"")</f>
        <v/>
      </c>
      <c r="J242" s="28" t="n"/>
      <c r="K242" s="28" t="n"/>
      <c r="L242" s="28" t="n"/>
      <c r="M242" s="25" t="n"/>
      <c r="N242" s="25" t="n"/>
      <c r="O242" s="25" t="n"/>
      <c r="P242" s="25" t="n"/>
      <c r="Q242" s="25" t="n"/>
      <c r="R242" s="51" t="n"/>
      <c r="S242" s="52" t="n"/>
      <c r="T242" s="51" t="n"/>
      <c r="U242" s="52" t="n"/>
      <c r="V242" s="52" t="n"/>
      <c r="W242" s="53">
        <f>IFERROR(IF(A242="","",ROUND(I242*J242*R242*(1-S242),2)),"")</f>
        <v/>
      </c>
      <c r="X242" s="53">
        <f>IFERROR(IF(A242="","",ROUND(W242*IF(V242="",'Setup &amp; Lists'!$B$7,V242),2)),"")</f>
        <v/>
      </c>
      <c r="Y242" s="53">
        <f>IFERROR(IF(A242="","",ROUND((W242+IF('Setup &amp; Lists'!$B$8="Yes",T242,0)+IF('Setup &amp; Lists'!$B$9="Yes",X242,0))*IF(U242="",'Setup &amp; Lists'!$B$6,U242),2)),"")</f>
        <v/>
      </c>
      <c r="Z242" s="53">
        <f>IFERROR(IF(A242="","",ROUND(W242+T242+X242+Y242,2)),"")</f>
        <v/>
      </c>
      <c r="AA242" s="51" t="n"/>
      <c r="AB242" s="53">
        <f>IFERROR(IF(A242="","",ROUND(IF(AA242&lt;&gt;"",AA242,Z242*'Setup &amp; Lists'!$B$10),2)),"")</f>
        <v/>
      </c>
      <c r="AC242" s="51" t="n"/>
      <c r="AD242" s="53">
        <f>IFERROR(IF(A242="","",MAX(0,ROUND(Z242-AC242,2))),"")</f>
        <v/>
      </c>
      <c r="AE242" s="32">
        <f>IFERROR(IF(A242="","",IF(AD242=0,"Paid",IF(AC242&gt;=AB242,"Deposit Met",IF(AC242&gt;0,"Partial Payment","Unpaid")))),"")</f>
        <v/>
      </c>
      <c r="AF242" s="54">
        <f>IFERROR(IF(OR(A242="",G242=""),"",G242-('Setup &amp; Lists'!$B$11/24)),"")</f>
        <v/>
      </c>
      <c r="AG242" s="25" t="n"/>
      <c r="AH242" s="25" t="n"/>
      <c r="AI242" s="50" t="n"/>
      <c r="AJ242" s="32">
        <f>IFERROR(IF(A242="","",IF(H242&lt;=G242,"Departure must be after arrival",IF(OR(J242="",J242&lt;1),"Rooms must be at least 1",IF(D242="","Guest name missing",IF(COUNTIF($A$2:$A$251,A242)&gt;1,"Duplicate reservation ID",IF(AND(P242="Confirmed",G242&gt;=TODAY(),G242&lt;=TODAY()+'Setup &amp; Lists'!$B$12,Q242=""),"Assign room for near-term arrival",IF(AND(G242&lt;TODAY(),P242="Confirmed"),"Past-due confirmed arrival",IF(AND(G242&gt;TODAY(),P242="Confirmed",AC242&lt;AB242),"Deposit shortfall",IF(AND(H242&lt;TODAY(),AD242&gt;0,P242&lt;&gt;"Cancelled"),"Balance remains after departure",IF(R242&lt;0,"Nightly rate is negative",IF(AC242&gt;Z242,"Deposit paid exceeds total value",""))))))))))),"")</f>
        <v/>
      </c>
    </row>
    <row r="243">
      <c r="A243" s="25" t="n"/>
      <c r="B243" s="25" t="n"/>
      <c r="C243" s="50" t="n"/>
      <c r="D243" s="25" t="n"/>
      <c r="E243" s="25" t="n"/>
      <c r="F243" s="25" t="n"/>
      <c r="G243" s="50" t="n"/>
      <c r="H243" s="50" t="n"/>
      <c r="I243" s="27">
        <f>IFERROR(IF(A243="","",MAX(0,H243-G243)),"")</f>
        <v/>
      </c>
      <c r="J243" s="28" t="n"/>
      <c r="K243" s="28" t="n"/>
      <c r="L243" s="28" t="n"/>
      <c r="M243" s="25" t="n"/>
      <c r="N243" s="25" t="n"/>
      <c r="O243" s="25" t="n"/>
      <c r="P243" s="25" t="n"/>
      <c r="Q243" s="25" t="n"/>
      <c r="R243" s="51" t="n"/>
      <c r="S243" s="52" t="n"/>
      <c r="T243" s="51" t="n"/>
      <c r="U243" s="52" t="n"/>
      <c r="V243" s="52" t="n"/>
      <c r="W243" s="53">
        <f>IFERROR(IF(A243="","",ROUND(I243*J243*R243*(1-S243),2)),"")</f>
        <v/>
      </c>
      <c r="X243" s="53">
        <f>IFERROR(IF(A243="","",ROUND(W243*IF(V243="",'Setup &amp; Lists'!$B$7,V243),2)),"")</f>
        <v/>
      </c>
      <c r="Y243" s="53">
        <f>IFERROR(IF(A243="","",ROUND((W243+IF('Setup &amp; Lists'!$B$8="Yes",T243,0)+IF('Setup &amp; Lists'!$B$9="Yes",X243,0))*IF(U243="",'Setup &amp; Lists'!$B$6,U243),2)),"")</f>
        <v/>
      </c>
      <c r="Z243" s="53">
        <f>IFERROR(IF(A243="","",ROUND(W243+T243+X243+Y243,2)),"")</f>
        <v/>
      </c>
      <c r="AA243" s="51" t="n"/>
      <c r="AB243" s="53">
        <f>IFERROR(IF(A243="","",ROUND(IF(AA243&lt;&gt;"",AA243,Z243*'Setup &amp; Lists'!$B$10),2)),"")</f>
        <v/>
      </c>
      <c r="AC243" s="51" t="n"/>
      <c r="AD243" s="53">
        <f>IFERROR(IF(A243="","",MAX(0,ROUND(Z243-AC243,2))),"")</f>
        <v/>
      </c>
      <c r="AE243" s="32">
        <f>IFERROR(IF(A243="","",IF(AD243=0,"Paid",IF(AC243&gt;=AB243,"Deposit Met",IF(AC243&gt;0,"Partial Payment","Unpaid")))),"")</f>
        <v/>
      </c>
      <c r="AF243" s="54">
        <f>IFERROR(IF(OR(A243="",G243=""),"",G243-('Setup &amp; Lists'!$B$11/24)),"")</f>
        <v/>
      </c>
      <c r="AG243" s="25" t="n"/>
      <c r="AH243" s="25" t="n"/>
      <c r="AI243" s="50" t="n"/>
      <c r="AJ243" s="32">
        <f>IFERROR(IF(A243="","",IF(H243&lt;=G243,"Departure must be after arrival",IF(OR(J243="",J243&lt;1),"Rooms must be at least 1",IF(D243="","Guest name missing",IF(COUNTIF($A$2:$A$251,A243)&gt;1,"Duplicate reservation ID",IF(AND(P243="Confirmed",G243&gt;=TODAY(),G243&lt;=TODAY()+'Setup &amp; Lists'!$B$12,Q243=""),"Assign room for near-term arrival",IF(AND(G243&lt;TODAY(),P243="Confirmed"),"Past-due confirmed arrival",IF(AND(G243&gt;TODAY(),P243="Confirmed",AC243&lt;AB243),"Deposit shortfall",IF(AND(H243&lt;TODAY(),AD243&gt;0,P243&lt;&gt;"Cancelled"),"Balance remains after departure",IF(R243&lt;0,"Nightly rate is negative",IF(AC243&gt;Z243,"Deposit paid exceeds total value",""))))))))))),"")</f>
        <v/>
      </c>
    </row>
    <row r="244">
      <c r="A244" s="25" t="n"/>
      <c r="B244" s="25" t="n"/>
      <c r="C244" s="50" t="n"/>
      <c r="D244" s="25" t="n"/>
      <c r="E244" s="25" t="n"/>
      <c r="F244" s="25" t="n"/>
      <c r="G244" s="50" t="n"/>
      <c r="H244" s="50" t="n"/>
      <c r="I244" s="27">
        <f>IFERROR(IF(A244="","",MAX(0,H244-G244)),"")</f>
        <v/>
      </c>
      <c r="J244" s="28" t="n"/>
      <c r="K244" s="28" t="n"/>
      <c r="L244" s="28" t="n"/>
      <c r="M244" s="25" t="n"/>
      <c r="N244" s="25" t="n"/>
      <c r="O244" s="25" t="n"/>
      <c r="P244" s="25" t="n"/>
      <c r="Q244" s="25" t="n"/>
      <c r="R244" s="51" t="n"/>
      <c r="S244" s="52" t="n"/>
      <c r="T244" s="51" t="n"/>
      <c r="U244" s="52" t="n"/>
      <c r="V244" s="52" t="n"/>
      <c r="W244" s="53">
        <f>IFERROR(IF(A244="","",ROUND(I244*J244*R244*(1-S244),2)),"")</f>
        <v/>
      </c>
      <c r="X244" s="53">
        <f>IFERROR(IF(A244="","",ROUND(W244*IF(V244="",'Setup &amp; Lists'!$B$7,V244),2)),"")</f>
        <v/>
      </c>
      <c r="Y244" s="53">
        <f>IFERROR(IF(A244="","",ROUND((W244+IF('Setup &amp; Lists'!$B$8="Yes",T244,0)+IF('Setup &amp; Lists'!$B$9="Yes",X244,0))*IF(U244="",'Setup &amp; Lists'!$B$6,U244),2)),"")</f>
        <v/>
      </c>
      <c r="Z244" s="53">
        <f>IFERROR(IF(A244="","",ROUND(W244+T244+X244+Y244,2)),"")</f>
        <v/>
      </c>
      <c r="AA244" s="51" t="n"/>
      <c r="AB244" s="53">
        <f>IFERROR(IF(A244="","",ROUND(IF(AA244&lt;&gt;"",AA244,Z244*'Setup &amp; Lists'!$B$10),2)),"")</f>
        <v/>
      </c>
      <c r="AC244" s="51" t="n"/>
      <c r="AD244" s="53">
        <f>IFERROR(IF(A244="","",MAX(0,ROUND(Z244-AC244,2))),"")</f>
        <v/>
      </c>
      <c r="AE244" s="32">
        <f>IFERROR(IF(A244="","",IF(AD244=0,"Paid",IF(AC244&gt;=AB244,"Deposit Met",IF(AC244&gt;0,"Partial Payment","Unpaid")))),"")</f>
        <v/>
      </c>
      <c r="AF244" s="54">
        <f>IFERROR(IF(OR(A244="",G244=""),"",G244-('Setup &amp; Lists'!$B$11/24)),"")</f>
        <v/>
      </c>
      <c r="AG244" s="25" t="n"/>
      <c r="AH244" s="25" t="n"/>
      <c r="AI244" s="50" t="n"/>
      <c r="AJ244" s="32">
        <f>IFERROR(IF(A244="","",IF(H244&lt;=G244,"Departure must be after arrival",IF(OR(J244="",J244&lt;1),"Rooms must be at least 1",IF(D244="","Guest name missing",IF(COUNTIF($A$2:$A$251,A244)&gt;1,"Duplicate reservation ID",IF(AND(P244="Confirmed",G244&gt;=TODAY(),G244&lt;=TODAY()+'Setup &amp; Lists'!$B$12,Q244=""),"Assign room for near-term arrival",IF(AND(G244&lt;TODAY(),P244="Confirmed"),"Past-due confirmed arrival",IF(AND(G244&gt;TODAY(),P244="Confirmed",AC244&lt;AB244),"Deposit shortfall",IF(AND(H244&lt;TODAY(),AD244&gt;0,P244&lt;&gt;"Cancelled"),"Balance remains after departure",IF(R244&lt;0,"Nightly rate is negative",IF(AC244&gt;Z244,"Deposit paid exceeds total value",""))))))))))),"")</f>
        <v/>
      </c>
    </row>
    <row r="245">
      <c r="A245" s="25" t="n"/>
      <c r="B245" s="25" t="n"/>
      <c r="C245" s="50" t="n"/>
      <c r="D245" s="25" t="n"/>
      <c r="E245" s="25" t="n"/>
      <c r="F245" s="25" t="n"/>
      <c r="G245" s="50" t="n"/>
      <c r="H245" s="50" t="n"/>
      <c r="I245" s="27">
        <f>IFERROR(IF(A245="","",MAX(0,H245-G245)),"")</f>
        <v/>
      </c>
      <c r="J245" s="28" t="n"/>
      <c r="K245" s="28" t="n"/>
      <c r="L245" s="28" t="n"/>
      <c r="M245" s="25" t="n"/>
      <c r="N245" s="25" t="n"/>
      <c r="O245" s="25" t="n"/>
      <c r="P245" s="25" t="n"/>
      <c r="Q245" s="25" t="n"/>
      <c r="R245" s="51" t="n"/>
      <c r="S245" s="52" t="n"/>
      <c r="T245" s="51" t="n"/>
      <c r="U245" s="52" t="n"/>
      <c r="V245" s="52" t="n"/>
      <c r="W245" s="53">
        <f>IFERROR(IF(A245="","",ROUND(I245*J245*R245*(1-S245),2)),"")</f>
        <v/>
      </c>
      <c r="X245" s="53">
        <f>IFERROR(IF(A245="","",ROUND(W245*IF(V245="",'Setup &amp; Lists'!$B$7,V245),2)),"")</f>
        <v/>
      </c>
      <c r="Y245" s="53">
        <f>IFERROR(IF(A245="","",ROUND((W245+IF('Setup &amp; Lists'!$B$8="Yes",T245,0)+IF('Setup &amp; Lists'!$B$9="Yes",X245,0))*IF(U245="",'Setup &amp; Lists'!$B$6,U245),2)),"")</f>
        <v/>
      </c>
      <c r="Z245" s="53">
        <f>IFERROR(IF(A245="","",ROUND(W245+T245+X245+Y245,2)),"")</f>
        <v/>
      </c>
      <c r="AA245" s="51" t="n"/>
      <c r="AB245" s="53">
        <f>IFERROR(IF(A245="","",ROUND(IF(AA245&lt;&gt;"",AA245,Z245*'Setup &amp; Lists'!$B$10),2)),"")</f>
        <v/>
      </c>
      <c r="AC245" s="51" t="n"/>
      <c r="AD245" s="53">
        <f>IFERROR(IF(A245="","",MAX(0,ROUND(Z245-AC245,2))),"")</f>
        <v/>
      </c>
      <c r="AE245" s="32">
        <f>IFERROR(IF(A245="","",IF(AD245=0,"Paid",IF(AC245&gt;=AB245,"Deposit Met",IF(AC245&gt;0,"Partial Payment","Unpaid")))),"")</f>
        <v/>
      </c>
      <c r="AF245" s="54">
        <f>IFERROR(IF(OR(A245="",G245=""),"",G245-('Setup &amp; Lists'!$B$11/24)),"")</f>
        <v/>
      </c>
      <c r="AG245" s="25" t="n"/>
      <c r="AH245" s="25" t="n"/>
      <c r="AI245" s="50" t="n"/>
      <c r="AJ245" s="32">
        <f>IFERROR(IF(A245="","",IF(H245&lt;=G245,"Departure must be after arrival",IF(OR(J245="",J245&lt;1),"Rooms must be at least 1",IF(D245="","Guest name missing",IF(COUNTIF($A$2:$A$251,A245)&gt;1,"Duplicate reservation ID",IF(AND(P245="Confirmed",G245&gt;=TODAY(),G245&lt;=TODAY()+'Setup &amp; Lists'!$B$12,Q245=""),"Assign room for near-term arrival",IF(AND(G245&lt;TODAY(),P245="Confirmed"),"Past-due confirmed arrival",IF(AND(G245&gt;TODAY(),P245="Confirmed",AC245&lt;AB245),"Deposit shortfall",IF(AND(H245&lt;TODAY(),AD245&gt;0,P245&lt;&gt;"Cancelled"),"Balance remains after departure",IF(R245&lt;0,"Nightly rate is negative",IF(AC245&gt;Z245,"Deposit paid exceeds total value",""))))))))))),"")</f>
        <v/>
      </c>
    </row>
    <row r="246">
      <c r="A246" s="25" t="n"/>
      <c r="B246" s="25" t="n"/>
      <c r="C246" s="50" t="n"/>
      <c r="D246" s="25" t="n"/>
      <c r="E246" s="25" t="n"/>
      <c r="F246" s="25" t="n"/>
      <c r="G246" s="50" t="n"/>
      <c r="H246" s="50" t="n"/>
      <c r="I246" s="27">
        <f>IFERROR(IF(A246="","",MAX(0,H246-G246)),"")</f>
        <v/>
      </c>
      <c r="J246" s="28" t="n"/>
      <c r="K246" s="28" t="n"/>
      <c r="L246" s="28" t="n"/>
      <c r="M246" s="25" t="n"/>
      <c r="N246" s="25" t="n"/>
      <c r="O246" s="25" t="n"/>
      <c r="P246" s="25" t="n"/>
      <c r="Q246" s="25" t="n"/>
      <c r="R246" s="51" t="n"/>
      <c r="S246" s="52" t="n"/>
      <c r="T246" s="51" t="n"/>
      <c r="U246" s="52" t="n"/>
      <c r="V246" s="52" t="n"/>
      <c r="W246" s="53">
        <f>IFERROR(IF(A246="","",ROUND(I246*J246*R246*(1-S246),2)),"")</f>
        <v/>
      </c>
      <c r="X246" s="53">
        <f>IFERROR(IF(A246="","",ROUND(W246*IF(V246="",'Setup &amp; Lists'!$B$7,V246),2)),"")</f>
        <v/>
      </c>
      <c r="Y246" s="53">
        <f>IFERROR(IF(A246="","",ROUND((W246+IF('Setup &amp; Lists'!$B$8="Yes",T246,0)+IF('Setup &amp; Lists'!$B$9="Yes",X246,0))*IF(U246="",'Setup &amp; Lists'!$B$6,U246),2)),"")</f>
        <v/>
      </c>
      <c r="Z246" s="53">
        <f>IFERROR(IF(A246="","",ROUND(W246+T246+X246+Y246,2)),"")</f>
        <v/>
      </c>
      <c r="AA246" s="51" t="n"/>
      <c r="AB246" s="53">
        <f>IFERROR(IF(A246="","",ROUND(IF(AA246&lt;&gt;"",AA246,Z246*'Setup &amp; Lists'!$B$10),2)),"")</f>
        <v/>
      </c>
      <c r="AC246" s="51" t="n"/>
      <c r="AD246" s="53">
        <f>IFERROR(IF(A246="","",MAX(0,ROUND(Z246-AC246,2))),"")</f>
        <v/>
      </c>
      <c r="AE246" s="32">
        <f>IFERROR(IF(A246="","",IF(AD246=0,"Paid",IF(AC246&gt;=AB246,"Deposit Met",IF(AC246&gt;0,"Partial Payment","Unpaid")))),"")</f>
        <v/>
      </c>
      <c r="AF246" s="54">
        <f>IFERROR(IF(OR(A246="",G246=""),"",G246-('Setup &amp; Lists'!$B$11/24)),"")</f>
        <v/>
      </c>
      <c r="AG246" s="25" t="n"/>
      <c r="AH246" s="25" t="n"/>
      <c r="AI246" s="50" t="n"/>
      <c r="AJ246" s="32">
        <f>IFERROR(IF(A246="","",IF(H246&lt;=G246,"Departure must be after arrival",IF(OR(J246="",J246&lt;1),"Rooms must be at least 1",IF(D246="","Guest name missing",IF(COUNTIF($A$2:$A$251,A246)&gt;1,"Duplicate reservation ID",IF(AND(P246="Confirmed",G246&gt;=TODAY(),G246&lt;=TODAY()+'Setup &amp; Lists'!$B$12,Q246=""),"Assign room for near-term arrival",IF(AND(G246&lt;TODAY(),P246="Confirmed"),"Past-due confirmed arrival",IF(AND(G246&gt;TODAY(),P246="Confirmed",AC246&lt;AB246),"Deposit shortfall",IF(AND(H246&lt;TODAY(),AD246&gt;0,P246&lt;&gt;"Cancelled"),"Balance remains after departure",IF(R246&lt;0,"Nightly rate is negative",IF(AC246&gt;Z246,"Deposit paid exceeds total value",""))))))))))),"")</f>
        <v/>
      </c>
    </row>
    <row r="247">
      <c r="A247" s="25" t="n"/>
      <c r="B247" s="25" t="n"/>
      <c r="C247" s="50" t="n"/>
      <c r="D247" s="25" t="n"/>
      <c r="E247" s="25" t="n"/>
      <c r="F247" s="25" t="n"/>
      <c r="G247" s="50" t="n"/>
      <c r="H247" s="50" t="n"/>
      <c r="I247" s="27">
        <f>IFERROR(IF(A247="","",MAX(0,H247-G247)),"")</f>
        <v/>
      </c>
      <c r="J247" s="28" t="n"/>
      <c r="K247" s="28" t="n"/>
      <c r="L247" s="28" t="n"/>
      <c r="M247" s="25" t="n"/>
      <c r="N247" s="25" t="n"/>
      <c r="O247" s="25" t="n"/>
      <c r="P247" s="25" t="n"/>
      <c r="Q247" s="25" t="n"/>
      <c r="R247" s="51" t="n"/>
      <c r="S247" s="52" t="n"/>
      <c r="T247" s="51" t="n"/>
      <c r="U247" s="52" t="n"/>
      <c r="V247" s="52" t="n"/>
      <c r="W247" s="53">
        <f>IFERROR(IF(A247="","",ROUND(I247*J247*R247*(1-S247),2)),"")</f>
        <v/>
      </c>
      <c r="X247" s="53">
        <f>IFERROR(IF(A247="","",ROUND(W247*IF(V247="",'Setup &amp; Lists'!$B$7,V247),2)),"")</f>
        <v/>
      </c>
      <c r="Y247" s="53">
        <f>IFERROR(IF(A247="","",ROUND((W247+IF('Setup &amp; Lists'!$B$8="Yes",T247,0)+IF('Setup &amp; Lists'!$B$9="Yes",X247,0))*IF(U247="",'Setup &amp; Lists'!$B$6,U247),2)),"")</f>
        <v/>
      </c>
      <c r="Z247" s="53">
        <f>IFERROR(IF(A247="","",ROUND(W247+T247+X247+Y247,2)),"")</f>
        <v/>
      </c>
      <c r="AA247" s="51" t="n"/>
      <c r="AB247" s="53">
        <f>IFERROR(IF(A247="","",ROUND(IF(AA247&lt;&gt;"",AA247,Z247*'Setup &amp; Lists'!$B$10),2)),"")</f>
        <v/>
      </c>
      <c r="AC247" s="51" t="n"/>
      <c r="AD247" s="53">
        <f>IFERROR(IF(A247="","",MAX(0,ROUND(Z247-AC247,2))),"")</f>
        <v/>
      </c>
      <c r="AE247" s="32">
        <f>IFERROR(IF(A247="","",IF(AD247=0,"Paid",IF(AC247&gt;=AB247,"Deposit Met",IF(AC247&gt;0,"Partial Payment","Unpaid")))),"")</f>
        <v/>
      </c>
      <c r="AF247" s="54">
        <f>IFERROR(IF(OR(A247="",G247=""),"",G247-('Setup &amp; Lists'!$B$11/24)),"")</f>
        <v/>
      </c>
      <c r="AG247" s="25" t="n"/>
      <c r="AH247" s="25" t="n"/>
      <c r="AI247" s="50" t="n"/>
      <c r="AJ247" s="32">
        <f>IFERROR(IF(A247="","",IF(H247&lt;=G247,"Departure must be after arrival",IF(OR(J247="",J247&lt;1),"Rooms must be at least 1",IF(D247="","Guest name missing",IF(COUNTIF($A$2:$A$251,A247)&gt;1,"Duplicate reservation ID",IF(AND(P247="Confirmed",G247&gt;=TODAY(),G247&lt;=TODAY()+'Setup &amp; Lists'!$B$12,Q247=""),"Assign room for near-term arrival",IF(AND(G247&lt;TODAY(),P247="Confirmed"),"Past-due confirmed arrival",IF(AND(G247&gt;TODAY(),P247="Confirmed",AC247&lt;AB247),"Deposit shortfall",IF(AND(H247&lt;TODAY(),AD247&gt;0,P247&lt;&gt;"Cancelled"),"Balance remains after departure",IF(R247&lt;0,"Nightly rate is negative",IF(AC247&gt;Z247,"Deposit paid exceeds total value",""))))))))))),"")</f>
        <v/>
      </c>
    </row>
    <row r="248">
      <c r="A248" s="25" t="n"/>
      <c r="B248" s="25" t="n"/>
      <c r="C248" s="50" t="n"/>
      <c r="D248" s="25" t="n"/>
      <c r="E248" s="25" t="n"/>
      <c r="F248" s="25" t="n"/>
      <c r="G248" s="50" t="n"/>
      <c r="H248" s="50" t="n"/>
      <c r="I248" s="27">
        <f>IFERROR(IF(A248="","",MAX(0,H248-G248)),"")</f>
        <v/>
      </c>
      <c r="J248" s="28" t="n"/>
      <c r="K248" s="28" t="n"/>
      <c r="L248" s="28" t="n"/>
      <c r="M248" s="25" t="n"/>
      <c r="N248" s="25" t="n"/>
      <c r="O248" s="25" t="n"/>
      <c r="P248" s="25" t="n"/>
      <c r="Q248" s="25" t="n"/>
      <c r="R248" s="51" t="n"/>
      <c r="S248" s="52" t="n"/>
      <c r="T248" s="51" t="n"/>
      <c r="U248" s="52" t="n"/>
      <c r="V248" s="52" t="n"/>
      <c r="W248" s="53">
        <f>IFERROR(IF(A248="","",ROUND(I248*J248*R248*(1-S248),2)),"")</f>
        <v/>
      </c>
      <c r="X248" s="53">
        <f>IFERROR(IF(A248="","",ROUND(W248*IF(V248="",'Setup &amp; Lists'!$B$7,V248),2)),"")</f>
        <v/>
      </c>
      <c r="Y248" s="53">
        <f>IFERROR(IF(A248="","",ROUND((W248+IF('Setup &amp; Lists'!$B$8="Yes",T248,0)+IF('Setup &amp; Lists'!$B$9="Yes",X248,0))*IF(U248="",'Setup &amp; Lists'!$B$6,U248),2)),"")</f>
        <v/>
      </c>
      <c r="Z248" s="53">
        <f>IFERROR(IF(A248="","",ROUND(W248+T248+X248+Y248,2)),"")</f>
        <v/>
      </c>
      <c r="AA248" s="51" t="n"/>
      <c r="AB248" s="53">
        <f>IFERROR(IF(A248="","",ROUND(IF(AA248&lt;&gt;"",AA248,Z248*'Setup &amp; Lists'!$B$10),2)),"")</f>
        <v/>
      </c>
      <c r="AC248" s="51" t="n"/>
      <c r="AD248" s="53">
        <f>IFERROR(IF(A248="","",MAX(0,ROUND(Z248-AC248,2))),"")</f>
        <v/>
      </c>
      <c r="AE248" s="32">
        <f>IFERROR(IF(A248="","",IF(AD248=0,"Paid",IF(AC248&gt;=AB248,"Deposit Met",IF(AC248&gt;0,"Partial Payment","Unpaid")))),"")</f>
        <v/>
      </c>
      <c r="AF248" s="54">
        <f>IFERROR(IF(OR(A248="",G248=""),"",G248-('Setup &amp; Lists'!$B$11/24)),"")</f>
        <v/>
      </c>
      <c r="AG248" s="25" t="n"/>
      <c r="AH248" s="25" t="n"/>
      <c r="AI248" s="50" t="n"/>
      <c r="AJ248" s="32">
        <f>IFERROR(IF(A248="","",IF(H248&lt;=G248,"Departure must be after arrival",IF(OR(J248="",J248&lt;1),"Rooms must be at least 1",IF(D248="","Guest name missing",IF(COUNTIF($A$2:$A$251,A248)&gt;1,"Duplicate reservation ID",IF(AND(P248="Confirmed",G248&gt;=TODAY(),G248&lt;=TODAY()+'Setup &amp; Lists'!$B$12,Q248=""),"Assign room for near-term arrival",IF(AND(G248&lt;TODAY(),P248="Confirmed"),"Past-due confirmed arrival",IF(AND(G248&gt;TODAY(),P248="Confirmed",AC248&lt;AB248),"Deposit shortfall",IF(AND(H248&lt;TODAY(),AD248&gt;0,P248&lt;&gt;"Cancelled"),"Balance remains after departure",IF(R248&lt;0,"Nightly rate is negative",IF(AC248&gt;Z248,"Deposit paid exceeds total value",""))))))))))),"")</f>
        <v/>
      </c>
    </row>
    <row r="249">
      <c r="A249" s="25" t="n"/>
      <c r="B249" s="25" t="n"/>
      <c r="C249" s="50" t="n"/>
      <c r="D249" s="25" t="n"/>
      <c r="E249" s="25" t="n"/>
      <c r="F249" s="25" t="n"/>
      <c r="G249" s="50" t="n"/>
      <c r="H249" s="50" t="n"/>
      <c r="I249" s="27">
        <f>IFERROR(IF(A249="","",MAX(0,H249-G249)),"")</f>
        <v/>
      </c>
      <c r="J249" s="28" t="n"/>
      <c r="K249" s="28" t="n"/>
      <c r="L249" s="28" t="n"/>
      <c r="M249" s="25" t="n"/>
      <c r="N249" s="25" t="n"/>
      <c r="O249" s="25" t="n"/>
      <c r="P249" s="25" t="n"/>
      <c r="Q249" s="25" t="n"/>
      <c r="R249" s="51" t="n"/>
      <c r="S249" s="52" t="n"/>
      <c r="T249" s="51" t="n"/>
      <c r="U249" s="52" t="n"/>
      <c r="V249" s="52" t="n"/>
      <c r="W249" s="53">
        <f>IFERROR(IF(A249="","",ROUND(I249*J249*R249*(1-S249),2)),"")</f>
        <v/>
      </c>
      <c r="X249" s="53">
        <f>IFERROR(IF(A249="","",ROUND(W249*IF(V249="",'Setup &amp; Lists'!$B$7,V249),2)),"")</f>
        <v/>
      </c>
      <c r="Y249" s="53">
        <f>IFERROR(IF(A249="","",ROUND((W249+IF('Setup &amp; Lists'!$B$8="Yes",T249,0)+IF('Setup &amp; Lists'!$B$9="Yes",X249,0))*IF(U249="",'Setup &amp; Lists'!$B$6,U249),2)),"")</f>
        <v/>
      </c>
      <c r="Z249" s="53">
        <f>IFERROR(IF(A249="","",ROUND(W249+T249+X249+Y249,2)),"")</f>
        <v/>
      </c>
      <c r="AA249" s="51" t="n"/>
      <c r="AB249" s="53">
        <f>IFERROR(IF(A249="","",ROUND(IF(AA249&lt;&gt;"",AA249,Z249*'Setup &amp; Lists'!$B$10),2)),"")</f>
        <v/>
      </c>
      <c r="AC249" s="51" t="n"/>
      <c r="AD249" s="53">
        <f>IFERROR(IF(A249="","",MAX(0,ROUND(Z249-AC249,2))),"")</f>
        <v/>
      </c>
      <c r="AE249" s="32">
        <f>IFERROR(IF(A249="","",IF(AD249=0,"Paid",IF(AC249&gt;=AB249,"Deposit Met",IF(AC249&gt;0,"Partial Payment","Unpaid")))),"")</f>
        <v/>
      </c>
      <c r="AF249" s="54">
        <f>IFERROR(IF(OR(A249="",G249=""),"",G249-('Setup &amp; Lists'!$B$11/24)),"")</f>
        <v/>
      </c>
      <c r="AG249" s="25" t="n"/>
      <c r="AH249" s="25" t="n"/>
      <c r="AI249" s="50" t="n"/>
      <c r="AJ249" s="32">
        <f>IFERROR(IF(A249="","",IF(H249&lt;=G249,"Departure must be after arrival",IF(OR(J249="",J249&lt;1),"Rooms must be at least 1",IF(D249="","Guest name missing",IF(COUNTIF($A$2:$A$251,A249)&gt;1,"Duplicate reservation ID",IF(AND(P249="Confirmed",G249&gt;=TODAY(),G249&lt;=TODAY()+'Setup &amp; Lists'!$B$12,Q249=""),"Assign room for near-term arrival",IF(AND(G249&lt;TODAY(),P249="Confirmed"),"Past-due confirmed arrival",IF(AND(G249&gt;TODAY(),P249="Confirmed",AC249&lt;AB249),"Deposit shortfall",IF(AND(H249&lt;TODAY(),AD249&gt;0,P249&lt;&gt;"Cancelled"),"Balance remains after departure",IF(R249&lt;0,"Nightly rate is negative",IF(AC249&gt;Z249,"Deposit paid exceeds total value",""))))))))))),"")</f>
        <v/>
      </c>
    </row>
    <row r="250">
      <c r="A250" s="25" t="n"/>
      <c r="B250" s="25" t="n"/>
      <c r="C250" s="50" t="n"/>
      <c r="D250" s="25" t="n"/>
      <c r="E250" s="25" t="n"/>
      <c r="F250" s="25" t="n"/>
      <c r="G250" s="50" t="n"/>
      <c r="H250" s="50" t="n"/>
      <c r="I250" s="27">
        <f>IFERROR(IF(A250="","",MAX(0,H250-G250)),"")</f>
        <v/>
      </c>
      <c r="J250" s="28" t="n"/>
      <c r="K250" s="28" t="n"/>
      <c r="L250" s="28" t="n"/>
      <c r="M250" s="25" t="n"/>
      <c r="N250" s="25" t="n"/>
      <c r="O250" s="25" t="n"/>
      <c r="P250" s="25" t="n"/>
      <c r="Q250" s="25" t="n"/>
      <c r="R250" s="51" t="n"/>
      <c r="S250" s="52" t="n"/>
      <c r="T250" s="51" t="n"/>
      <c r="U250" s="52" t="n"/>
      <c r="V250" s="52" t="n"/>
      <c r="W250" s="53">
        <f>IFERROR(IF(A250="","",ROUND(I250*J250*R250*(1-S250),2)),"")</f>
        <v/>
      </c>
      <c r="X250" s="53">
        <f>IFERROR(IF(A250="","",ROUND(W250*IF(V250="",'Setup &amp; Lists'!$B$7,V250),2)),"")</f>
        <v/>
      </c>
      <c r="Y250" s="53">
        <f>IFERROR(IF(A250="","",ROUND((W250+IF('Setup &amp; Lists'!$B$8="Yes",T250,0)+IF('Setup &amp; Lists'!$B$9="Yes",X250,0))*IF(U250="",'Setup &amp; Lists'!$B$6,U250),2)),"")</f>
        <v/>
      </c>
      <c r="Z250" s="53">
        <f>IFERROR(IF(A250="","",ROUND(W250+T250+X250+Y250,2)),"")</f>
        <v/>
      </c>
      <c r="AA250" s="51" t="n"/>
      <c r="AB250" s="53">
        <f>IFERROR(IF(A250="","",ROUND(IF(AA250&lt;&gt;"",AA250,Z250*'Setup &amp; Lists'!$B$10),2)),"")</f>
        <v/>
      </c>
      <c r="AC250" s="51" t="n"/>
      <c r="AD250" s="53">
        <f>IFERROR(IF(A250="","",MAX(0,ROUND(Z250-AC250,2))),"")</f>
        <v/>
      </c>
      <c r="AE250" s="32">
        <f>IFERROR(IF(A250="","",IF(AD250=0,"Paid",IF(AC250&gt;=AB250,"Deposit Met",IF(AC250&gt;0,"Partial Payment","Unpaid")))),"")</f>
        <v/>
      </c>
      <c r="AF250" s="54">
        <f>IFERROR(IF(OR(A250="",G250=""),"",G250-('Setup &amp; Lists'!$B$11/24)),"")</f>
        <v/>
      </c>
      <c r="AG250" s="25" t="n"/>
      <c r="AH250" s="25" t="n"/>
      <c r="AI250" s="50" t="n"/>
      <c r="AJ250" s="32">
        <f>IFERROR(IF(A250="","",IF(H250&lt;=G250,"Departure must be after arrival",IF(OR(J250="",J250&lt;1),"Rooms must be at least 1",IF(D250="","Guest name missing",IF(COUNTIF($A$2:$A$251,A250)&gt;1,"Duplicate reservation ID",IF(AND(P250="Confirmed",G250&gt;=TODAY(),G250&lt;=TODAY()+'Setup &amp; Lists'!$B$12,Q250=""),"Assign room for near-term arrival",IF(AND(G250&lt;TODAY(),P250="Confirmed"),"Past-due confirmed arrival",IF(AND(G250&gt;TODAY(),P250="Confirmed",AC250&lt;AB250),"Deposit shortfall",IF(AND(H250&lt;TODAY(),AD250&gt;0,P250&lt;&gt;"Cancelled"),"Balance remains after departure",IF(R250&lt;0,"Nightly rate is negative",IF(AC250&gt;Z250,"Deposit paid exceeds total value",""))))))))))),"")</f>
        <v/>
      </c>
    </row>
    <row r="251">
      <c r="A251" s="25" t="n"/>
      <c r="B251" s="25" t="n"/>
      <c r="C251" s="50" t="n"/>
      <c r="D251" s="25" t="n"/>
      <c r="E251" s="25" t="n"/>
      <c r="F251" s="25" t="n"/>
      <c r="G251" s="50" t="n"/>
      <c r="H251" s="50" t="n"/>
      <c r="I251" s="27">
        <f>IFERROR(IF(A251="","",MAX(0,H251-G251)),"")</f>
        <v/>
      </c>
      <c r="J251" s="28" t="n"/>
      <c r="K251" s="28" t="n"/>
      <c r="L251" s="28" t="n"/>
      <c r="M251" s="25" t="n"/>
      <c r="N251" s="25" t="n"/>
      <c r="O251" s="25" t="n"/>
      <c r="P251" s="25" t="n"/>
      <c r="Q251" s="25" t="n"/>
      <c r="R251" s="51" t="n"/>
      <c r="S251" s="52" t="n"/>
      <c r="T251" s="51" t="n"/>
      <c r="U251" s="52" t="n"/>
      <c r="V251" s="52" t="n"/>
      <c r="W251" s="53">
        <f>IFERROR(IF(A251="","",ROUND(I251*J251*R251*(1-S251),2)),"")</f>
        <v/>
      </c>
      <c r="X251" s="53">
        <f>IFERROR(IF(A251="","",ROUND(W251*IF(V251="",'Setup &amp; Lists'!$B$7,V251),2)),"")</f>
        <v/>
      </c>
      <c r="Y251" s="53">
        <f>IFERROR(IF(A251="","",ROUND((W251+IF('Setup &amp; Lists'!$B$8="Yes",T251,0)+IF('Setup &amp; Lists'!$B$9="Yes",X251,0))*IF(U251="",'Setup &amp; Lists'!$B$6,U251),2)),"")</f>
        <v/>
      </c>
      <c r="Z251" s="53">
        <f>IFERROR(IF(A251="","",ROUND(W251+T251+X251+Y251,2)),"")</f>
        <v/>
      </c>
      <c r="AA251" s="51" t="n"/>
      <c r="AB251" s="53">
        <f>IFERROR(IF(A251="","",ROUND(IF(AA251&lt;&gt;"",AA251,Z251*'Setup &amp; Lists'!$B$10),2)),"")</f>
        <v/>
      </c>
      <c r="AC251" s="51" t="n"/>
      <c r="AD251" s="53">
        <f>IFERROR(IF(A251="","",MAX(0,ROUND(Z251-AC251,2))),"")</f>
        <v/>
      </c>
      <c r="AE251" s="32">
        <f>IFERROR(IF(A251="","",IF(AD251=0,"Paid",IF(AC251&gt;=AB251,"Deposit Met",IF(AC251&gt;0,"Partial Payment","Unpaid")))),"")</f>
        <v/>
      </c>
      <c r="AF251" s="54">
        <f>IFERROR(IF(OR(A251="",G251=""),"",G251-('Setup &amp; Lists'!$B$11/24)),"")</f>
        <v/>
      </c>
      <c r="AG251" s="25" t="n"/>
      <c r="AH251" s="25" t="n"/>
      <c r="AI251" s="50" t="n"/>
      <c r="AJ251" s="32">
        <f>IFERROR(IF(A251="","",IF(H251&lt;=G251,"Departure must be after arrival",IF(OR(J251="",J251&lt;1),"Rooms must be at least 1",IF(D251="","Guest name missing",IF(COUNTIF($A$2:$A$251,A251)&gt;1,"Duplicate reservation ID",IF(AND(P251="Confirmed",G251&gt;=TODAY(),G251&lt;=TODAY()+'Setup &amp; Lists'!$B$12,Q251=""),"Assign room for near-term arrival",IF(AND(G251&lt;TODAY(),P251="Confirmed"),"Past-due confirmed arrival",IF(AND(G251&gt;TODAY(),P251="Confirmed",AC251&lt;AB251),"Deposit shortfall",IF(AND(H251&lt;TODAY(),AD251&gt;0,P251&lt;&gt;"Cancelled"),"Balance remains after departure",IF(R251&lt;0,"Nightly rate is negative",IF(AC251&gt;Z251,"Deposit paid exceeds total value",""))))))))))),"")</f>
        <v/>
      </c>
    </row>
  </sheetData>
  <autoFilter ref="A1:AJ251"/>
  <conditionalFormatting sqref="A2:A251">
    <cfRule type="expression" priority="1" dxfId="2">
      <formula>AND($A2&lt;&gt;"",COUNTIF($A$2:$A$251,$A2)&gt;1)</formula>
    </cfRule>
  </conditionalFormatting>
  <conditionalFormatting sqref="AJ2:AJ251">
    <cfRule type="expression" priority="2" dxfId="0">
      <formula>$AJ2&lt;&gt;""</formula>
    </cfRule>
  </conditionalFormatting>
  <conditionalFormatting sqref="AD2:AD251">
    <cfRule type="expression" priority="3" dxfId="2">
      <formula>AND($AD2&gt;0,$H2&lt;TODAY(),$P2&lt;&gt;"Cancelled")</formula>
    </cfRule>
  </conditionalFormatting>
  <conditionalFormatting sqref="A2:AJ251">
    <cfRule type="expression" priority="4" dxfId="3">
      <formula>AND($P2="Confirmed",$G2&gt;TODAY(),$AC2&lt;$AB2)</formula>
    </cfRule>
    <cfRule type="expression" priority="5" dxfId="3">
      <formula>AND($P2="Confirmed",$G2&gt;=TODAY(),$G2&lt;=TODAY()+'Setup &amp; Lists'!$B$12,$Q2="")</formula>
    </cfRule>
    <cfRule type="expression" priority="7" dxfId="4">
      <formula>$P2="Cancelled"</formula>
    </cfRule>
    <cfRule type="expression" priority="8" dxfId="5">
      <formula>$G2=TODAY()</formula>
    </cfRule>
    <cfRule type="expression" priority="9" dxfId="6">
      <formula>$P2="In House"</formula>
    </cfRule>
  </conditionalFormatting>
  <conditionalFormatting sqref="AE2:AE251">
    <cfRule type="expression" priority="6" dxfId="1">
      <formula>$AE2="Paid"</formula>
    </cfRule>
  </conditionalFormatting>
  <dataValidations count="11">
    <dataValidation sqref="C2:C251 G2:H251 AI2:AI251" showDropDown="0" showInputMessage="0" showErrorMessage="0" allowBlank="0" type="date" operator="between">
      <formula1>DATE(2000,1,1)</formula1>
      <formula2>DATE(2100,12,31)</formula2>
    </dataValidation>
    <dataValidation sqref="J2:J251" showDropDown="0" showInputMessage="0" showErrorMessage="0" allowBlank="0" type="whole" operator="between">
      <formula1>1</formula1>
      <formula2>'Setup &amp; Lists'!$B$14</formula2>
    </dataValidation>
    <dataValidation sqref="K2:K251" showDropDown="0" showInputMessage="0" showErrorMessage="0" allowBlank="0" type="whole" operator="between">
      <formula1>1</formula1>
      <formula2>'Setup &amp; Lists'!$B$15</formula2>
    </dataValidation>
    <dataValidation sqref="L2:L251" showDropDown="0" showInputMessage="0" showErrorMessage="0" allowBlank="0" type="whole" operator="between">
      <formula1>0</formula1>
      <formula2>'Setup &amp; Lists'!$B$15</formula2>
    </dataValidation>
    <dataValidation sqref="R2:R251 T2:T251 AA2:AA251 AC2:AC251" showDropDown="0" showInputMessage="0" showErrorMessage="0" allowBlank="0" type="decimal" operator="greaterThanOrEqual">
      <formula1>0</formula1>
    </dataValidation>
    <dataValidation sqref="S2:S251 U2:V251" showDropDown="0" showInputMessage="0" showErrorMessage="0" allowBlank="0" type="decimal" operator="between">
      <formula1>0</formula1>
      <formula2>1</formula2>
    </dataValidation>
    <dataValidation sqref="M2:M251" showDropDown="0" showInputMessage="0" showErrorMessage="0" allowBlank="0" type="list">
      <formula1>'Setup &amp; Lists'!$A$22:$A$26</formula1>
    </dataValidation>
    <dataValidation sqref="N2:N251" showDropDown="0" showInputMessage="0" showErrorMessage="0" allowBlank="0" type="list">
      <formula1>'Setup &amp; Lists'!$D$21:$D$29</formula1>
    </dataValidation>
    <dataValidation sqref="O2:O251" showDropDown="0" showInputMessage="0" showErrorMessage="0" allowBlank="0" type="list">
      <formula1>'Setup &amp; Lists'!$E$21:$E$29</formula1>
    </dataValidation>
    <dataValidation sqref="P2:P251" showDropDown="0" showInputMessage="0" showErrorMessage="0" allowBlank="0" type="list">
      <formula1>'Setup &amp; Lists'!$F$21:$F$27</formula1>
    </dataValidation>
    <dataValidation sqref="AH2:AH251" showDropDown="0" showInputMessage="0" showErrorMessage="0" allowBlank="0" type="list">
      <formula1>'Setup &amp; Lists'!$G$21:$G$25</formula1>
    </dataValidation>
  </dataValidations>
  <pageMargins left="0.75" right="0.75" top="1" bottom="1" header="0.5" footer="0.5"/>
  <pageSetup orientation="landscape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zoomScale="70" zoomScaleNormal="7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2" customWidth="1" min="2" max="2"/>
    <col width="24" customWidth="1" min="4" max="4"/>
    <col width="24" customWidth="1" min="5" max="5"/>
    <col width="24" customWidth="1" min="6" max="6"/>
    <col width="24" customWidth="1" min="7" max="7"/>
    <col width="24" customWidth="1" min="8" max="8"/>
  </cols>
  <sheetData>
    <row r="1">
      <c r="A1" s="1" t="inlineStr">
        <is>
          <t>Setup &amp; Lists</t>
        </is>
      </c>
    </row>
    <row r="2"/>
    <row r="3">
      <c r="A3" s="7" t="inlineStr">
        <is>
          <t>Property Assumptions</t>
        </is>
      </c>
      <c r="B3" s="8" t="n"/>
    </row>
    <row r="4">
      <c r="A4" s="4" t="inlineStr">
        <is>
          <t>Property Name</t>
        </is>
      </c>
      <c r="B4" s="34" t="inlineStr">
        <is>
          <t>Harbor Point Hotel</t>
        </is>
      </c>
    </row>
    <row r="5">
      <c r="A5" s="4" t="inlineStr">
        <is>
          <t>Total Sellable Rooms</t>
        </is>
      </c>
      <c r="B5" s="35" t="n">
        <v>48</v>
      </c>
    </row>
    <row r="6">
      <c r="A6" s="4" t="inlineStr">
        <is>
          <t>Default Room Tax Rate</t>
        </is>
      </c>
      <c r="B6" s="55" t="n">
        <v>0.12</v>
      </c>
    </row>
    <row r="7">
      <c r="A7" s="4" t="inlineStr">
        <is>
          <t>Default Service Charge Rate</t>
        </is>
      </c>
      <c r="B7" s="55" t="n">
        <v>0</v>
      </c>
    </row>
    <row r="8">
      <c r="A8" s="4" t="inlineStr">
        <is>
          <t>Extras Taxable?</t>
        </is>
      </c>
      <c r="B8" s="34" t="inlineStr">
        <is>
          <t>Yes</t>
        </is>
      </c>
    </row>
    <row r="9">
      <c r="A9" s="4" t="inlineStr">
        <is>
          <t>Service Charge Taxable?</t>
        </is>
      </c>
      <c r="B9" s="34" t="inlineStr">
        <is>
          <t>No</t>
        </is>
      </c>
    </row>
    <row r="10">
      <c r="A10" s="4" t="inlineStr">
        <is>
          <t>Default Deposit Percentage</t>
        </is>
      </c>
      <c r="B10" s="55" t="n">
        <v>0.25</v>
      </c>
    </row>
    <row r="11">
      <c r="A11" s="4" t="inlineStr">
        <is>
          <t>Cancellation Cutoff Hours</t>
        </is>
      </c>
      <c r="B11" s="35" t="n">
        <v>48</v>
      </c>
    </row>
    <row r="12">
      <c r="A12" s="4" t="inlineStr">
        <is>
          <t>Room Assignment Warning Days</t>
        </is>
      </c>
      <c r="B12" s="35" t="n">
        <v>2</v>
      </c>
    </row>
    <row r="13">
      <c r="A13" s="4" t="inlineStr">
        <is>
          <t>Target Occupancy</t>
        </is>
      </c>
      <c r="B13" s="55" t="n">
        <v>0.75</v>
      </c>
    </row>
    <row r="14">
      <c r="A14" s="4" t="inlineStr">
        <is>
          <t>Maximum Rooms per Reservation</t>
        </is>
      </c>
      <c r="B14" s="35" t="n">
        <v>10</v>
      </c>
    </row>
    <row r="15">
      <c r="A15" s="4" t="inlineStr">
        <is>
          <t>Maximum Guests per Reservation</t>
        </is>
      </c>
      <c r="B15" s="35" t="n">
        <v>20</v>
      </c>
    </row>
    <row r="17">
      <c r="A17" s="37" t="inlineStr">
        <is>
          <t>Tax rates, service charges, deposit practices, cancellation timing, and occupancy targets vary by property and jurisdiction. Review and update these internal assumptions before using the workbook.</t>
        </is>
      </c>
      <c r="B17" s="56" t="n"/>
      <c r="C17" s="56" t="n"/>
      <c r="D17" s="56" t="n"/>
      <c r="E17" s="56" t="n"/>
      <c r="F17" s="56" t="n"/>
      <c r="G17" s="56" t="n"/>
      <c r="H17" s="57" t="n"/>
    </row>
    <row r="18">
      <c r="A18" s="58" t="n"/>
      <c r="B18" s="59" t="n"/>
      <c r="C18" s="59" t="n"/>
      <c r="D18" s="59" t="n"/>
      <c r="E18" s="59" t="n"/>
      <c r="F18" s="59" t="n"/>
      <c r="G18" s="59" t="n"/>
      <c r="H18" s="60" t="n"/>
    </row>
    <row r="20">
      <c r="A20" s="7" t="inlineStr">
        <is>
          <t>Room Type Inventory</t>
        </is>
      </c>
      <c r="B20" s="8" t="n"/>
      <c r="D20" s="7" t="inlineStr">
        <is>
          <t>Rate Plans</t>
        </is>
      </c>
      <c r="E20" s="7" t="inlineStr">
        <is>
          <t>Booking Sources</t>
        </is>
      </c>
      <c r="F20" s="7" t="inlineStr">
        <is>
          <t>Reservation Statuses</t>
        </is>
      </c>
      <c r="G20" s="7" t="inlineStr">
        <is>
          <t>Reservation Owners</t>
        </is>
      </c>
      <c r="H20" s="7" t="inlineStr">
        <is>
          <t>Yes / No</t>
        </is>
      </c>
    </row>
    <row r="21">
      <c r="A21" s="17" t="inlineStr">
        <is>
          <t>Room Type</t>
        </is>
      </c>
      <c r="B21" s="17" t="inlineStr">
        <is>
          <t>Sellable Rooms</t>
        </is>
      </c>
      <c r="D21" s="21" t="inlineStr">
        <is>
          <t>Best Available Rate</t>
        </is>
      </c>
      <c r="E21" s="21" t="inlineStr">
        <is>
          <t>Direct Website</t>
        </is>
      </c>
      <c r="F21" s="21" t="inlineStr">
        <is>
          <t>Inquiry</t>
        </is>
      </c>
      <c r="G21" s="21" t="inlineStr">
        <is>
          <t>Front Desk</t>
        </is>
      </c>
      <c r="H21" s="21" t="inlineStr">
        <is>
          <t>Yes</t>
        </is>
      </c>
    </row>
    <row r="22">
      <c r="A22" s="34" t="inlineStr">
        <is>
          <t>Standard King</t>
        </is>
      </c>
      <c r="B22" s="34" t="n">
        <v>16</v>
      </c>
      <c r="D22" s="21" t="inlineStr">
        <is>
          <t>Advance Purchase</t>
        </is>
      </c>
      <c r="E22" s="21" t="inlineStr">
        <is>
          <t>Phone</t>
        </is>
      </c>
      <c r="F22" s="21" t="inlineStr">
        <is>
          <t>Tentative</t>
        </is>
      </c>
      <c r="G22" s="21" t="inlineStr">
        <is>
          <t>Reservations</t>
        </is>
      </c>
      <c r="H22" s="21" t="inlineStr">
        <is>
          <t>No</t>
        </is>
      </c>
    </row>
    <row r="23">
      <c r="A23" s="34" t="inlineStr">
        <is>
          <t>Double Queen</t>
        </is>
      </c>
      <c r="B23" s="34" t="n">
        <v>18</v>
      </c>
      <c r="D23" s="21" t="inlineStr">
        <is>
          <t>Corporate</t>
        </is>
      </c>
      <c r="E23" s="21" t="inlineStr">
        <is>
          <t>Walk-In</t>
        </is>
      </c>
      <c r="F23" s="21" t="inlineStr">
        <is>
          <t>Confirmed</t>
        </is>
      </c>
      <c r="G23" s="21" t="inlineStr">
        <is>
          <t>Sales</t>
        </is>
      </c>
    </row>
    <row r="24">
      <c r="A24" s="34" t="inlineStr">
        <is>
          <t>Deluxe King</t>
        </is>
      </c>
      <c r="B24" s="34" t="n">
        <v>8</v>
      </c>
      <c r="D24" s="21" t="inlineStr">
        <is>
          <t>Government</t>
        </is>
      </c>
      <c r="E24" s="21" t="inlineStr">
        <is>
          <t>Email</t>
        </is>
      </c>
      <c r="F24" s="21" t="inlineStr">
        <is>
          <t>In House</t>
        </is>
      </c>
      <c r="G24" s="21" t="inlineStr">
        <is>
          <t>Revenue Manager</t>
        </is>
      </c>
    </row>
    <row r="25">
      <c r="A25" s="34" t="inlineStr">
        <is>
          <t>Junior Suite</t>
        </is>
      </c>
      <c r="B25" s="34" t="n">
        <v>4</v>
      </c>
      <c r="D25" s="21" t="inlineStr">
        <is>
          <t>AAA</t>
        </is>
      </c>
      <c r="E25" s="21" t="inlineStr">
        <is>
          <t>Corporate</t>
        </is>
      </c>
      <c r="F25" s="21" t="inlineStr">
        <is>
          <t>Checked Out</t>
        </is>
      </c>
      <c r="G25" s="21" t="inlineStr">
        <is>
          <t>General Manager</t>
        </is>
      </c>
    </row>
    <row r="26">
      <c r="A26" s="34" t="inlineStr">
        <is>
          <t>Accessible King</t>
        </is>
      </c>
      <c r="B26" s="34" t="n">
        <v>2</v>
      </c>
      <c r="D26" s="21" t="inlineStr">
        <is>
          <t>Senior</t>
        </is>
      </c>
      <c r="E26" s="21" t="inlineStr">
        <is>
          <t>Group Sales</t>
        </is>
      </c>
      <c r="F26" s="21" t="inlineStr">
        <is>
          <t>Cancelled</t>
        </is>
      </c>
    </row>
    <row r="27">
      <c r="A27" s="4" t="inlineStr">
        <is>
          <t>Inventory Total</t>
        </is>
      </c>
      <c r="B27" s="16">
        <f>IFERROR(SUM('Setup &amp; Lists'!$B$22:$B$26),0)</f>
        <v/>
      </c>
      <c r="D27" s="21" t="inlineStr">
        <is>
          <t>Package</t>
        </is>
      </c>
      <c r="E27" s="21" t="inlineStr">
        <is>
          <t>Expedia</t>
        </is>
      </c>
      <c r="F27" s="21" t="inlineStr">
        <is>
          <t>No Show</t>
        </is>
      </c>
    </row>
    <row r="28">
      <c r="A28" s="4" t="inlineStr">
        <is>
          <t>Inventory Check</t>
        </is>
      </c>
      <c r="B28" s="16">
        <f>IFERROR(IF('Setup &amp; Lists'!$B$27='Setup &amp; Lists'!$B$5,"Inventory matches property total","Review room-type inventory"),"")</f>
        <v/>
      </c>
      <c r="D28" s="21" t="inlineStr">
        <is>
          <t>Group</t>
        </is>
      </c>
      <c r="E28" s="21" t="inlineStr">
        <is>
          <t>Booking.com</t>
        </is>
      </c>
    </row>
    <row r="29">
      <c r="D29" s="21" t="inlineStr">
        <is>
          <t>Complimentary</t>
        </is>
      </c>
      <c r="E29" s="21" t="inlineStr">
        <is>
          <t>Other Online Travel Agency</t>
        </is>
      </c>
    </row>
  </sheetData>
  <mergeCells count="2">
    <mergeCell ref="A1:H2"/>
    <mergeCell ref="A17:H18"/>
  </mergeCells>
  <conditionalFormatting sqref="B28">
    <cfRule type="expression" priority="1" dxfId="0">
      <formula>B28="Review room-type inventory"</formula>
    </cfRule>
  </conditionalFormatting>
  <dataValidations count="4">
    <dataValidation sqref="B8:B9" showDropDown="0" showInputMessage="0" showErrorMessage="0" allowBlank="0" type="list">
      <formula1>'Setup &amp; Lists'!$H$21:$H$22</formula1>
    </dataValidation>
    <dataValidation sqref="B6:B7 B10 B13" showDropDown="0" showInputMessage="0" showErrorMessage="0" allowBlank="0" type="decimal" operator="between">
      <formula1>0</formula1>
      <formula2>1</formula2>
    </dataValidation>
    <dataValidation sqref="B5 B11:B12 B22:B26" showDropDown="0" showInputMessage="0" showErrorMessage="0" allowBlank="0" type="whole" operator="greaterThanOrEqual">
      <formula1>0</formula1>
    </dataValidation>
    <dataValidation sqref="B14:B15" showDropDown="0" showInputMessage="0" showErrorMessage="0" allowBlank="0" type="whole" operator="greaterThanOrEqual">
      <formula1>1</formula1>
    </dataValidation>
  </dataValidations>
  <pageMargins left="0.75" right="0.75" top="1" bottom="1" header="0.5" footer="0.5"/>
  <pageSetup orientation="portrait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zoomScale="70" zoomScaleNormal="7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Hotel Reservation Tracker Instructions</t>
        </is>
      </c>
    </row>
    <row r="2"/>
    <row r="4">
      <c r="A4" s="7" t="inlineStr">
        <is>
          <t>Getting Started</t>
        </is>
      </c>
    </row>
    <row r="5" ht="28" customHeight="1">
      <c r="A5" s="38" t="inlineStr">
        <is>
          <t>1. Review the blue assumption cells on Setup &amp; Lists.</t>
        </is>
      </c>
      <c r="B5" s="61" t="n"/>
      <c r="C5" s="61" t="n"/>
      <c r="D5" s="61" t="n"/>
      <c r="E5" s="61" t="n"/>
      <c r="F5" s="61" t="n"/>
      <c r="G5" s="61" t="n"/>
      <c r="H5" s="62" t="n"/>
    </row>
    <row r="6" ht="28" customHeight="1">
      <c r="A6" s="39" t="inlineStr">
        <is>
          <t>2. Confirm total sellable rooms and room-type inventory.</t>
        </is>
      </c>
      <c r="B6" s="61" t="n"/>
      <c r="C6" s="61" t="n"/>
      <c r="D6" s="61" t="n"/>
      <c r="E6" s="61" t="n"/>
      <c r="F6" s="61" t="n"/>
      <c r="G6" s="61" t="n"/>
      <c r="H6" s="62" t="n"/>
    </row>
    <row r="7" ht="28" customHeight="1">
      <c r="A7" s="38" t="inlineStr">
        <is>
          <t>3. Update tax, service charge, deposit, and cancellation assumptions for the property.</t>
        </is>
      </c>
      <c r="B7" s="61" t="n"/>
      <c r="C7" s="61" t="n"/>
      <c r="D7" s="61" t="n"/>
      <c r="E7" s="61" t="n"/>
      <c r="F7" s="61" t="n"/>
      <c r="G7" s="61" t="n"/>
      <c r="H7" s="62" t="n"/>
    </row>
    <row r="8" ht="28" customHeight="1">
      <c r="A8" s="39" t="inlineStr">
        <is>
          <t>4. Set the Dashboard business date and reporting period.</t>
        </is>
      </c>
      <c r="B8" s="61" t="n"/>
      <c r="C8" s="61" t="n"/>
      <c r="D8" s="61" t="n"/>
      <c r="E8" s="61" t="n"/>
      <c r="F8" s="61" t="n"/>
      <c r="G8" s="61" t="n"/>
      <c r="H8" s="62" t="n"/>
    </row>
    <row r="10">
      <c r="A10" s="7" t="inlineStr">
        <is>
          <t>Adding a Reservation</t>
        </is>
      </c>
    </row>
    <row r="11" ht="28" customHeight="1">
      <c r="A11" s="38" t="inlineStr">
        <is>
          <t>1. Enter a unique reservation ID.</t>
        </is>
      </c>
      <c r="B11" s="61" t="n"/>
      <c r="C11" s="61" t="n"/>
      <c r="D11" s="61" t="n"/>
      <c r="E11" s="61" t="n"/>
      <c r="F11" s="61" t="n"/>
      <c r="G11" s="61" t="n"/>
      <c r="H11" s="62" t="n"/>
    </row>
    <row r="12" ht="28" customHeight="1">
      <c r="A12" s="39" t="inlineStr">
        <is>
          <t>2. Enter guest and stay information.</t>
        </is>
      </c>
      <c r="B12" s="61" t="n"/>
      <c r="C12" s="61" t="n"/>
      <c r="D12" s="61" t="n"/>
      <c r="E12" s="61" t="n"/>
      <c r="F12" s="61" t="n"/>
      <c r="G12" s="61" t="n"/>
      <c r="H12" s="62" t="n"/>
    </row>
    <row r="13" ht="28" customHeight="1">
      <c r="A13" s="38" t="inlineStr">
        <is>
          <t>3. Select room type, rate plan, booking source, and status from the dropdowns.</t>
        </is>
      </c>
      <c r="B13" s="61" t="n"/>
      <c r="C13" s="61" t="n"/>
      <c r="D13" s="61" t="n"/>
      <c r="E13" s="61" t="n"/>
      <c r="F13" s="61" t="n"/>
      <c r="G13" s="61" t="n"/>
      <c r="H13" s="62" t="n"/>
    </row>
    <row r="14" ht="28" customHeight="1">
      <c r="A14" s="39" t="inlineStr">
        <is>
          <t>4. Enter nightly rate, optional discount, extras, and payments.</t>
        </is>
      </c>
      <c r="B14" s="61" t="n"/>
      <c r="C14" s="61" t="n"/>
      <c r="D14" s="61" t="n"/>
      <c r="E14" s="61" t="n"/>
      <c r="F14" s="61" t="n"/>
      <c r="G14" s="61" t="n"/>
      <c r="H14" s="62" t="n"/>
    </row>
    <row r="15" ht="28" customHeight="1">
      <c r="A15" s="38" t="inlineStr">
        <is>
          <t>5. Use overrides only when the reservation differs from property defaults.</t>
        </is>
      </c>
      <c r="B15" s="61" t="n"/>
      <c r="C15" s="61" t="n"/>
      <c r="D15" s="61" t="n"/>
      <c r="E15" s="61" t="n"/>
      <c r="F15" s="61" t="n"/>
      <c r="G15" s="61" t="n"/>
      <c r="H15" s="62" t="n"/>
    </row>
    <row r="16" ht="28" customHeight="1">
      <c r="A16" s="39" t="inlineStr">
        <is>
          <t>6. Review the Operational Check column before completing the entry.</t>
        </is>
      </c>
      <c r="B16" s="61" t="n"/>
      <c r="C16" s="61" t="n"/>
      <c r="D16" s="61" t="n"/>
      <c r="E16" s="61" t="n"/>
      <c r="F16" s="61" t="n"/>
      <c r="G16" s="61" t="n"/>
      <c r="H16" s="62" t="n"/>
    </row>
    <row r="18">
      <c r="A18" s="7" t="inlineStr">
        <is>
          <t>Daily Front Desk Use</t>
        </is>
      </c>
    </row>
    <row r="19" ht="28" customHeight="1">
      <c r="A19" s="38" t="inlineStr">
        <is>
          <t>Review arrivals, departures, unassigned reservations, deposit shortfalls, and past-due balances.</t>
        </is>
      </c>
      <c r="B19" s="61" t="n"/>
      <c r="C19" s="61" t="n"/>
      <c r="D19" s="61" t="n"/>
      <c r="E19" s="61" t="n"/>
      <c r="F19" s="61" t="n"/>
      <c r="G19" s="61" t="n"/>
      <c r="H19" s="62" t="n"/>
    </row>
    <row r="20" ht="28" customHeight="1">
      <c r="A20" s="39" t="inlineStr">
        <is>
          <t>Update status to In House at check-in and Checked Out after departure.</t>
        </is>
      </c>
      <c r="B20" s="61" t="n"/>
      <c r="C20" s="61" t="n"/>
      <c r="D20" s="61" t="n"/>
      <c r="E20" s="61" t="n"/>
      <c r="F20" s="61" t="n"/>
      <c r="G20" s="61" t="n"/>
      <c r="H20" s="62" t="n"/>
    </row>
    <row r="21" ht="28" customHeight="1">
      <c r="A21" s="38" t="inlineStr">
        <is>
          <t>Enter assigned room numbers as they become available.</t>
        </is>
      </c>
      <c r="B21" s="61" t="n"/>
      <c r="C21" s="61" t="n"/>
      <c r="D21" s="61" t="n"/>
      <c r="E21" s="61" t="n"/>
      <c r="F21" s="61" t="n"/>
      <c r="G21" s="61" t="n"/>
      <c r="H21" s="62" t="n"/>
    </row>
    <row r="22" ht="28" customHeight="1">
      <c r="A22" s="39" t="inlineStr">
        <is>
          <t>Record the date of the latest guest contact.</t>
        </is>
      </c>
      <c r="B22" s="61" t="n"/>
      <c r="C22" s="61" t="n"/>
      <c r="D22" s="61" t="n"/>
      <c r="E22" s="61" t="n"/>
      <c r="F22" s="61" t="n"/>
      <c r="G22" s="61" t="n"/>
      <c r="H22" s="62" t="n"/>
    </row>
    <row r="23" ht="28" customHeight="1">
      <c r="A23" s="38" t="inlineStr">
        <is>
          <t>Review red and amber exceptions each day.</t>
        </is>
      </c>
      <c r="B23" s="61" t="n"/>
      <c r="C23" s="61" t="n"/>
      <c r="D23" s="61" t="n"/>
      <c r="E23" s="61" t="n"/>
      <c r="F23" s="61" t="n"/>
      <c r="G23" s="61" t="n"/>
      <c r="H23" s="62" t="n"/>
    </row>
    <row r="25">
      <c r="A25" s="7" t="inlineStr">
        <is>
          <t>Dashboard Notes</t>
        </is>
      </c>
    </row>
    <row r="26" ht="28" customHeight="1">
      <c r="A26" s="39" t="inlineStr">
        <is>
          <t>Business-date occupancy is based on active reservations covering the selected date.</t>
        </is>
      </c>
      <c r="B26" s="61" t="n"/>
      <c r="C26" s="61" t="n"/>
      <c r="D26" s="61" t="n"/>
      <c r="E26" s="61" t="n"/>
      <c r="F26" s="61" t="n"/>
      <c r="G26" s="61" t="n"/>
      <c r="H26" s="62" t="n"/>
    </row>
    <row r="27" ht="28" customHeight="1">
      <c r="A27" s="38" t="inlineStr">
        <is>
          <t>Cancelled and No Show reservations are excluded from occupied-room and revenue KPIs.</t>
        </is>
      </c>
      <c r="B27" s="61" t="n"/>
      <c r="C27" s="61" t="n"/>
      <c r="D27" s="61" t="n"/>
      <c r="E27" s="61" t="n"/>
      <c r="F27" s="61" t="n"/>
      <c r="G27" s="61" t="n"/>
      <c r="H27" s="62" t="n"/>
    </row>
    <row r="28" ht="28" customHeight="1">
      <c r="A28" s="39" t="inlineStr">
        <is>
          <t>Revenue is estimated from reservation inputs and is not an accounting posting.</t>
        </is>
      </c>
      <c r="B28" s="61" t="n"/>
      <c r="C28" s="61" t="n"/>
      <c r="D28" s="61" t="n"/>
      <c r="E28" s="61" t="n"/>
      <c r="F28" s="61" t="n"/>
      <c r="G28" s="61" t="n"/>
      <c r="H28" s="62" t="n"/>
    </row>
    <row r="29" ht="28" customHeight="1">
      <c r="A29" s="38" t="inlineStr">
        <is>
          <t>The external reference field is for manual cross-reference only.</t>
        </is>
      </c>
      <c r="B29" s="61" t="n"/>
      <c r="C29" s="61" t="n"/>
      <c r="D29" s="61" t="n"/>
      <c r="E29" s="61" t="n"/>
      <c r="F29" s="61" t="n"/>
      <c r="G29" s="61" t="n"/>
      <c r="H29" s="62" t="n"/>
    </row>
    <row r="31">
      <c r="A31" s="7" t="inlineStr">
        <is>
          <t>Data Entry Notes</t>
        </is>
      </c>
    </row>
    <row r="32" ht="28" customHeight="1">
      <c r="A32" s="39" t="inlineStr">
        <is>
          <t>Dates display as m/d/yyyy.</t>
        </is>
      </c>
      <c r="B32" s="61" t="n"/>
      <c r="C32" s="61" t="n"/>
      <c r="D32" s="61" t="n"/>
      <c r="E32" s="61" t="n"/>
      <c r="F32" s="61" t="n"/>
      <c r="G32" s="61" t="n"/>
      <c r="H32" s="62" t="n"/>
    </row>
    <row r="33" ht="28" customHeight="1">
      <c r="A33" s="38" t="inlineStr">
        <is>
          <t>Currency displays as $#,##0.00.</t>
        </is>
      </c>
      <c r="B33" s="61" t="n"/>
      <c r="C33" s="61" t="n"/>
      <c r="D33" s="61" t="n"/>
      <c r="E33" s="61" t="n"/>
      <c r="F33" s="61" t="n"/>
      <c r="G33" s="61" t="n"/>
      <c r="H33" s="62" t="n"/>
    </row>
    <row r="34" ht="28" customHeight="1">
      <c r="A34" s="39" t="inlineStr">
        <is>
          <t>Do not paste over calculated columns.</t>
        </is>
      </c>
      <c r="B34" s="61" t="n"/>
      <c r="C34" s="61" t="n"/>
      <c r="D34" s="61" t="n"/>
      <c r="E34" s="61" t="n"/>
      <c r="F34" s="61" t="n"/>
      <c r="G34" s="61" t="n"/>
      <c r="H34" s="62" t="n"/>
    </row>
    <row r="35" ht="28" customHeight="1">
      <c r="A35" s="38" t="inlineStr">
        <is>
          <t>Use table filters to locate arrivals, departures, sources, statuses, or unpaid balances.</t>
        </is>
      </c>
      <c r="B35" s="61" t="n"/>
      <c r="C35" s="61" t="n"/>
      <c r="D35" s="61" t="n"/>
      <c r="E35" s="61" t="n"/>
      <c r="F35" s="61" t="n"/>
      <c r="G35" s="61" t="n"/>
      <c r="H35" s="62" t="n"/>
    </row>
    <row r="36" ht="28" customHeight="1">
      <c r="A36" s="39" t="inlineStr">
        <is>
          <t>Save backup copies regularly.</t>
        </is>
      </c>
      <c r="B36" s="61" t="n"/>
      <c r="C36" s="61" t="n"/>
      <c r="D36" s="61" t="n"/>
      <c r="E36" s="61" t="n"/>
      <c r="F36" s="61" t="n"/>
      <c r="G36" s="61" t="n"/>
      <c r="H36" s="62" t="n"/>
    </row>
    <row r="38">
      <c r="A38" s="7" t="inlineStr">
        <is>
          <t>Important Limitation</t>
        </is>
      </c>
    </row>
    <row r="39" ht="28" customHeight="1">
      <c r="A39" s="38" t="inlineStr">
        <is>
          <t>This workbook is an operational tracking tool. It does not replace a property management system, payment processor, accounting system, legal review, or local tax guidance.</t>
        </is>
      </c>
      <c r="B39" s="61" t="n"/>
      <c r="C39" s="61" t="n"/>
      <c r="D39" s="61" t="n"/>
      <c r="E39" s="61" t="n"/>
      <c r="F39" s="61" t="n"/>
      <c r="G39" s="61" t="n"/>
      <c r="H39" s="62" t="n"/>
    </row>
  </sheetData>
  <mergeCells count="32">
    <mergeCell ref="A39:H39"/>
    <mergeCell ref="A15:H15"/>
    <mergeCell ref="A36:H36"/>
    <mergeCell ref="A11:H11"/>
    <mergeCell ref="A6:H6"/>
    <mergeCell ref="A7:H7"/>
    <mergeCell ref="A25:H25"/>
    <mergeCell ref="A16:H16"/>
    <mergeCell ref="A27:H27"/>
    <mergeCell ref="A12:H12"/>
    <mergeCell ref="A18:H18"/>
    <mergeCell ref="A26:H26"/>
    <mergeCell ref="A21:H21"/>
    <mergeCell ref="A33:H33"/>
    <mergeCell ref="A14:H14"/>
    <mergeCell ref="A5:H5"/>
    <mergeCell ref="A23:H23"/>
    <mergeCell ref="A32:H32"/>
    <mergeCell ref="A1:H2"/>
    <mergeCell ref="A8:H8"/>
    <mergeCell ref="A22:H22"/>
    <mergeCell ref="A4:H4"/>
    <mergeCell ref="A29:H29"/>
    <mergeCell ref="A35:H35"/>
    <mergeCell ref="A20:H20"/>
    <mergeCell ref="A38:H38"/>
    <mergeCell ref="A10:H10"/>
    <mergeCell ref="A28:H28"/>
    <mergeCell ref="A13:H13"/>
    <mergeCell ref="A19:H19"/>
    <mergeCell ref="A31:H31"/>
    <mergeCell ref="A34:H34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2026-09-05T20:14:06Z</dcterms:created>
  <dcterms:modified xmlns:dcterms="http://purl.org/dc/terms/" xmlns:xsi="http://www.w3.org/2001/XMLSchema-instance" xsi:type="dcterms:W3CDTF">2026-09-05T20:14:08+00:00Z</dcterms:modified>
</cp:coreProperties>
</file>