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Purchase Orders" sheetId="2" state="visible" r:id="rId2"/>
    <sheet xmlns:r="http://schemas.openxmlformats.org/officeDocument/2006/relationships" name="Settings" sheetId="3" state="visible" r:id="rId3"/>
    <sheet xmlns:r="http://schemas.openxmlformats.org/officeDocument/2006/relationships" name="Instructions" sheetId="4" state="visible" r:id="rId4"/>
  </sheets>
  <definedNames>
    <definedName name="_xlnm.Print_Area" localSheetId="0">'Dashboard'!$A$1:$R$40</definedName>
    <definedName name="_xlnm.Print_Area" localSheetId="1">'Purchase Orders'!$A$1:$AO$255</definedName>
  </definedNames>
  <calcPr calcId="124519" calcMode="auto" fullCalcOnLoad="1" forceFullCalc="1"/>
</workbook>
</file>

<file path=xl/styles.xml><?xml version="1.0" encoding="utf-8"?>
<styleSheet xmlns="http://schemas.openxmlformats.org/spreadsheetml/2006/main">
  <numFmts count="3">
    <numFmt numFmtId="164" formatCode="m/d/yyyy"/>
    <numFmt numFmtId="165" formatCode="$#,##0.00"/>
    <numFmt numFmtId="166" formatCode="0.0"/>
  </numFmts>
  <fonts count="7">
    <font>
      <name val="Calibri"/>
      <family val="2"/>
      <color theme="1"/>
      <sz val="11"/>
      <scheme val="minor"/>
    </font>
    <font>
      <name val="Calibri"/>
      <b val="1"/>
      <color rgb="00FFFFFF"/>
      <sz val="18"/>
    </font>
    <font>
      <name val="Calibri"/>
      <color rgb="0052606D"/>
      <sz val="9"/>
    </font>
    <font>
      <name val="Calibri"/>
      <b val="1"/>
      <color rgb="00FFFFFF"/>
      <sz val="11"/>
    </font>
    <font>
      <name val="Calibri"/>
      <color rgb="001F2933"/>
      <sz val="10"/>
    </font>
    <font>
      <name val="Calibri"/>
      <b val="1"/>
      <color rgb="00FFFFFF"/>
      <sz val="12"/>
    </font>
    <font>
      <name val="Calibri"/>
      <b val="1"/>
      <color rgb="0017324D"/>
      <sz val="18"/>
    </font>
  </fonts>
  <fills count="9">
    <fill>
      <patternFill/>
    </fill>
    <fill>
      <patternFill patternType="gray125"/>
    </fill>
    <fill>
      <patternFill patternType="solid">
        <fgColor rgb="0017324D"/>
      </patternFill>
    </fill>
    <fill>
      <patternFill patternType="solid">
        <fgColor rgb="002B5D74"/>
      </patternFill>
    </fill>
    <fill>
      <patternFill patternType="solid">
        <fgColor rgb="00F2F7F8"/>
      </patternFill>
    </fill>
    <fill>
      <patternFill patternType="solid">
        <fgColor rgb="00DDEBF7"/>
      </patternFill>
    </fill>
    <fill>
      <patternFill patternType="solid">
        <fgColor rgb="00FFF1CE"/>
      </patternFill>
    </fill>
    <fill>
      <patternFill patternType="solid">
        <fgColor rgb="00D9E1E8"/>
      </patternFill>
    </fill>
    <fill>
      <patternFill patternType="solid">
        <fgColor rgb="00FFFFFF"/>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55">
    <xf numFmtId="0" fontId="0" fillId="0" borderId="0" pivotButton="0" quotePrefix="0" xfId="0"/>
    <xf numFmtId="0" fontId="1" fillId="2" borderId="0" applyAlignment="1" pivotButton="0" quotePrefix="0" xfId="0">
      <alignment horizontal="left" vertical="center"/>
    </xf>
    <xf numFmtId="0" fontId="2" fillId="0" borderId="0" pivotButton="0" quotePrefix="0" xfId="0"/>
    <xf numFmtId="164" fontId="0" fillId="0" borderId="0" pivotButton="0" quotePrefix="0" xfId="0"/>
    <xf numFmtId="0" fontId="3" fillId="3" borderId="1" pivotButton="0" quotePrefix="0" xfId="0"/>
    <xf numFmtId="0" fontId="4" fillId="6" borderId="1" pivotButton="0" quotePrefix="0" xfId="0"/>
    <xf numFmtId="0" fontId="3" fillId="3" borderId="1" applyAlignment="1" pivotButton="0" quotePrefix="0" xfId="0">
      <alignment horizontal="left" vertical="top" wrapText="1"/>
    </xf>
    <xf numFmtId="1" fontId="6" fillId="4" borderId="1" applyAlignment="1" pivotButton="0" quotePrefix="0" xfId="0">
      <alignment horizontal="center" vertical="center"/>
    </xf>
    <xf numFmtId="165" fontId="6" fillId="4" borderId="1" applyAlignment="1" pivotButton="0" quotePrefix="0" xfId="0">
      <alignment horizontal="center" vertical="center"/>
    </xf>
    <xf numFmtId="166" fontId="6" fillId="4" borderId="1" applyAlignment="1" pivotButton="0" quotePrefix="0" xfId="0">
      <alignment horizontal="center" vertical="center"/>
    </xf>
    <xf numFmtId="0" fontId="5" fillId="2" borderId="0" pivotButton="0" quotePrefix="0" xfId="0"/>
    <xf numFmtId="0" fontId="3" fillId="3" borderId="1" applyAlignment="1" pivotButton="0" quotePrefix="0" xfId="0">
      <alignment horizontal="center" vertical="center"/>
    </xf>
    <xf numFmtId="0" fontId="0" fillId="4" borderId="1" applyAlignment="1" pivotButton="0" quotePrefix="0" xfId="0">
      <alignment horizontal="left" vertical="top" wrapText="1"/>
    </xf>
    <xf numFmtId="164" fontId="0" fillId="4" borderId="1" applyAlignment="1" pivotButton="0" quotePrefix="0" xfId="0">
      <alignment horizontal="left" vertical="top" wrapText="1"/>
    </xf>
    <xf numFmtId="165" fontId="0" fillId="4" borderId="1" applyAlignment="1" pivotButton="0" quotePrefix="0" xfId="0">
      <alignment horizontal="left" vertical="top" wrapText="1"/>
    </xf>
    <xf numFmtId="0" fontId="0" fillId="8" borderId="1" applyAlignment="1" pivotButton="0" quotePrefix="0" xfId="0">
      <alignment horizontal="left" vertical="top" wrapText="1"/>
    </xf>
    <xf numFmtId="164" fontId="0" fillId="8" borderId="1" applyAlignment="1" pivotButton="0" quotePrefix="0" xfId="0">
      <alignment horizontal="left" vertical="top" wrapText="1"/>
    </xf>
    <xf numFmtId="165" fontId="0" fillId="8" borderId="1" applyAlignment="1" pivotButton="0" quotePrefix="0" xfId="0">
      <alignment horizontal="left" vertical="top" wrapText="1"/>
    </xf>
    <xf numFmtId="0" fontId="0" fillId="4" borderId="1" pivotButton="0" quotePrefix="0" xfId="0"/>
    <xf numFmtId="165" fontId="0" fillId="4" borderId="1" pivotButton="0" quotePrefix="0" xfId="0"/>
    <xf numFmtId="0" fontId="0" fillId="8" borderId="1" pivotButton="0" quotePrefix="0" xfId="0"/>
    <xf numFmtId="165" fontId="0" fillId="8" borderId="1" pivotButton="0" quotePrefix="0" xfId="0"/>
    <xf numFmtId="0" fontId="3" fillId="2" borderId="1" applyAlignment="1" pivotButton="0" quotePrefix="0" xfId="0">
      <alignment horizontal="center" vertical="center"/>
    </xf>
    <xf numFmtId="0" fontId="4" fillId="6" borderId="1" applyAlignment="1" pivotButton="0" quotePrefix="0" xfId="0">
      <alignment horizontal="left" vertical="center"/>
    </xf>
    <xf numFmtId="0" fontId="4" fillId="7" borderId="1" applyAlignment="1" pivotButton="0" quotePrefix="0" xfId="0">
      <alignment horizontal="left" vertical="center"/>
    </xf>
    <xf numFmtId="0" fontId="4" fillId="6" borderId="1" applyAlignment="1" pivotButton="0" quotePrefix="0" xfId="0">
      <alignment horizontal="left" vertical="top" wrapText="1"/>
    </xf>
    <xf numFmtId="164" fontId="4" fillId="6" borderId="1" applyAlignment="1" pivotButton="0" quotePrefix="0" xfId="0">
      <alignment horizontal="left" vertical="center"/>
    </xf>
    <xf numFmtId="1" fontId="4" fillId="7" borderId="1" applyAlignment="1" pivotButton="0" quotePrefix="0" xfId="0">
      <alignment horizontal="left" vertical="center"/>
    </xf>
    <xf numFmtId="2" fontId="4" fillId="6" borderId="1" applyAlignment="1" pivotButton="0" quotePrefix="0" xfId="0">
      <alignment horizontal="left" vertical="center"/>
    </xf>
    <xf numFmtId="165" fontId="4" fillId="6" borderId="1" applyAlignment="1" pivotButton="0" quotePrefix="0" xfId="0">
      <alignment horizontal="left" vertical="center"/>
    </xf>
    <xf numFmtId="10" fontId="4" fillId="6" borderId="1" applyAlignment="1" pivotButton="0" quotePrefix="0" xfId="0">
      <alignment horizontal="left" vertical="center"/>
    </xf>
    <xf numFmtId="165" fontId="4" fillId="7" borderId="1" applyAlignment="1" pivotButton="0" quotePrefix="0" xfId="0">
      <alignment horizontal="left" vertical="center"/>
    </xf>
    <xf numFmtId="10" fontId="4" fillId="7" borderId="1" applyAlignment="1" pivotButton="0" quotePrefix="0" xfId="0">
      <alignment horizontal="left" vertical="center"/>
    </xf>
    <xf numFmtId="0" fontId="2" fillId="0" borderId="0" applyAlignment="1" pivotButton="0" quotePrefix="0" xfId="0">
      <alignment horizontal="left" vertical="top" wrapText="1"/>
    </xf>
    <xf numFmtId="0" fontId="4" fillId="4" borderId="1" applyAlignment="1" pivotButton="0" quotePrefix="0" xfId="0">
      <alignment horizontal="left" vertical="center"/>
    </xf>
    <xf numFmtId="10" fontId="4" fillId="5" borderId="1" applyAlignment="1" pivotButton="0" quotePrefix="0" xfId="0">
      <alignment horizontal="left" vertical="center"/>
    </xf>
    <xf numFmtId="0" fontId="4" fillId="4" borderId="1" applyAlignment="1" pivotButton="0" quotePrefix="0" xfId="0">
      <alignment horizontal="left" vertical="top" wrapText="1"/>
    </xf>
    <xf numFmtId="165" fontId="4" fillId="5" borderId="1" applyAlignment="1" pivotButton="0" quotePrefix="0" xfId="0">
      <alignment horizontal="left" vertical="center"/>
    </xf>
    <xf numFmtId="1" fontId="4" fillId="5" borderId="1" applyAlignment="1" pivotButton="0" quotePrefix="0" xfId="0">
      <alignment horizontal="left" vertical="center"/>
    </xf>
    <xf numFmtId="0" fontId="4" fillId="5" borderId="1" pivotButton="0" quotePrefix="0" xfId="0"/>
    <xf numFmtId="0" fontId="0" fillId="5" borderId="1" pivotButton="0" quotePrefix="0" xfId="0"/>
    <xf numFmtId="0" fontId="5" fillId="3" borderId="1" applyAlignment="1" pivotButton="0" quotePrefix="0" xfId="0">
      <alignment horizontal="left" vertical="top" wrapText="1"/>
    </xf>
    <xf numFmtId="164" fontId="0" fillId="0" borderId="0" pivotButton="0" quotePrefix="0" xfId="0"/>
    <xf numFmtId="165" fontId="6" fillId="4" borderId="1" applyAlignment="1" pivotButton="0" quotePrefix="0" xfId="0">
      <alignment horizontal="center" vertical="center"/>
    </xf>
    <xf numFmtId="166" fontId="6" fillId="4" borderId="1" applyAlignment="1" pivotButton="0" quotePrefix="0" xfId="0">
      <alignment horizontal="center" vertical="center"/>
    </xf>
    <xf numFmtId="164" fontId="0" fillId="4" borderId="1" applyAlignment="1" pivotButton="0" quotePrefix="0" xfId="0">
      <alignment horizontal="left" vertical="top" wrapText="1"/>
    </xf>
    <xf numFmtId="165" fontId="0" fillId="4" borderId="1" applyAlignment="1" pivotButton="0" quotePrefix="0" xfId="0">
      <alignment horizontal="left" vertical="top" wrapText="1"/>
    </xf>
    <xf numFmtId="164" fontId="0" fillId="8" borderId="1" applyAlignment="1" pivotButton="0" quotePrefix="0" xfId="0">
      <alignment horizontal="left" vertical="top" wrapText="1"/>
    </xf>
    <xf numFmtId="165" fontId="0" fillId="8" borderId="1" applyAlignment="1" pivotButton="0" quotePrefix="0" xfId="0">
      <alignment horizontal="left" vertical="top" wrapText="1"/>
    </xf>
    <xf numFmtId="165" fontId="0" fillId="4" borderId="1" pivotButton="0" quotePrefix="0" xfId="0"/>
    <xf numFmtId="165" fontId="0" fillId="8" borderId="1" pivotButton="0" quotePrefix="0" xfId="0"/>
    <xf numFmtId="164" fontId="4" fillId="6" borderId="1" applyAlignment="1" pivotButton="0" quotePrefix="0" xfId="0">
      <alignment horizontal="left" vertical="center"/>
    </xf>
    <xf numFmtId="165" fontId="4" fillId="6" borderId="1" applyAlignment="1" pivotButton="0" quotePrefix="0" xfId="0">
      <alignment horizontal="left" vertical="center"/>
    </xf>
    <xf numFmtId="165" fontId="4" fillId="7" borderId="1" applyAlignment="1" pivotButton="0" quotePrefix="0" xfId="0">
      <alignment horizontal="left" vertical="center"/>
    </xf>
    <xf numFmtId="165" fontId="4" fillId="5" borderId="1" applyAlignment="1" pivotButton="0" quotePrefix="0" xfId="0">
      <alignment horizontal="left" vertical="center"/>
    </xf>
  </cellXfs>
  <cellStyles count="1">
    <cellStyle name="Normal" xfId="0" builtinId="0" hidden="0"/>
  </cellStyles>
  <dxfs count="3">
    <dxf>
      <font>
        <name val="Calibri"/>
        <b val="1"/>
        <color rgb="00C73939"/>
        <sz val="10"/>
      </font>
      <fill>
        <patternFill patternType="solid">
          <fgColor rgb="00F4CCCC"/>
        </patternFill>
      </fill>
    </dxf>
    <dxf>
      <font>
        <name val="Calibri"/>
        <b val="1"/>
        <color rgb="009C6500"/>
        <sz val="10"/>
      </font>
      <fill>
        <patternFill patternType="solid">
          <fgColor rgb="00FFF2CC"/>
        </patternFill>
      </fill>
    </dxf>
    <dxf>
      <font>
        <name val="Calibri"/>
        <b val="1"/>
        <color rgb="00147D64"/>
        <sz val="10"/>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Expected PO Value by Department</a:t>
            </a:r>
          </a:p>
        </rich>
      </tx>
    </title>
    <plotArea>
      <barChart>
        <barDir val="bar"/>
        <grouping val="clustered"/>
        <ser>
          <idx val="0"/>
          <order val="0"/>
          <tx>
            <strRef>
              <f>'Dashboard'!B33</f>
            </strRef>
          </tx>
          <spPr>
            <a:ln xmlns:a="http://schemas.openxmlformats.org/drawingml/2006/main">
              <a:prstDash val="solid"/>
            </a:ln>
          </spPr>
          <cat>
            <numRef>
              <f>'Dashboard'!$A$34:$A$40</f>
            </numRef>
          </cat>
          <val>
            <numRef>
              <f>'Dashboard'!$B$34:$B$40</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Expected PO Value</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Department</a:t>
                </a:r>
              </a:p>
            </rich>
          </tx>
        </title>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Purchase Orders by Status</a:t>
            </a:r>
          </a:p>
        </rich>
      </tx>
    </title>
    <plotArea>
      <doughnutChart>
        <varyColors val="1"/>
        <ser>
          <idx val="0"/>
          <order val="0"/>
          <tx>
            <strRef>
              <f>'Dashboard'!G33</f>
            </strRef>
          </tx>
          <spPr>
            <a:ln xmlns:a="http://schemas.openxmlformats.org/drawingml/2006/main">
              <a:prstDash val="solid"/>
            </a:ln>
          </spPr>
          <cat>
            <numRef>
              <f>'Dashboard'!$F$34:$F$37</f>
            </numRef>
          </cat>
          <val>
            <numRef>
              <f>'Dashboard'!$G$34:$G$37</f>
            </numRef>
          </val>
        </ser>
        <dLbls>
          <showLegendKey val="0"/>
          <showVal val="0"/>
        </dLbls>
        <firstSliceAng val="270"/>
        <holeSize val="55"/>
      </doughnutChart>
    </plotArea>
    <legend>
      <legendPos val="r"/>
    </legend>
    <plotVisOnly val="1"/>
    <dispBlanksAs val="gap"/>
  </chart>
</chartSpace>
</file>

<file path=xl/comments/comment1.xml><?xml version="1.0" encoding="utf-8"?>
<comments xmlns="http://schemas.openxmlformats.org/spreadsheetml/2006/main">
  <authors>
    <author>Workbook</author>
  </authors>
  <commentList>
    <comment ref="V5" authorId="0" shapeId="0">
      <text>
        <t>Confirm the applicable tax treatment and rate for each purchase order. This workbook does not provide tax advice.</t>
      </text>
    </comment>
  </commentList>
</comments>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4</row>
      <rowOff>0</rowOff>
    </from>
    <ext cx="504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19</row>
      <rowOff>0</rowOff>
    </from>
    <ext cx="432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PurchaseOrders" displayName="tblPurchaseOrders" ref="A5:AO255" headerRowCount="1">
  <autoFilter ref="A5:AO255"/>
  <tableColumns count="41">
    <tableColumn id="1" name="PO Number"/>
    <tableColumn id="2" name="Property"/>
    <tableColumn id="3" name="Department"/>
    <tableColumn id="4" name="Requester"/>
    <tableColumn id="5" name="Vendor ID"/>
    <tableColumn id="6" name="Vendor Name"/>
    <tableColumn id="7" name="External System Reference"/>
    <tableColumn id="8" name="PO Date"/>
    <tableColumn id="9" name="Need-By Date"/>
    <tableColumn id="10" name="Approval Status"/>
    <tableColumn id="11" name="Approved By"/>
    <tableColumn id="12" name="Approval Date"/>
    <tableColumn id="13" name="Approval Days"/>
    <tableColumn id="14" name="PO Status"/>
    <tableColumn id="15" name="Closed Date"/>
    <tableColumn id="16" name="Cost Code"/>
    <tableColumn id="17" name="Item or Service Description"/>
    <tableColumn id="18" name="Quantity Ordered"/>
    <tableColumn id="19" name="Unit Cost"/>
    <tableColumn id="20" name="Discount"/>
    <tableColumn id="21" name="Taxable"/>
    <tableColumn id="22" name="Tax Rate"/>
    <tableColumn id="23" name="Freight"/>
    <tableColumn id="24" name="Line Subtotal"/>
    <tableColumn id="25" name="Tax Amount"/>
    <tableColumn id="26" name="Expected Total"/>
    <tableColumn id="27" name="Quantity Received"/>
    <tableColumn id="28" name="Last Received Date"/>
    <tableColumn id="29" name="Receipt Status"/>
    <tableColumn id="30" name="Receiving Notes"/>
    <tableColumn id="31" name="Invoice Number"/>
    <tableColumn id="32" name="Invoice Date"/>
    <tableColumn id="33" name="Invoice Amount"/>
    <tableColumn id="34" name="Invoice Variance"/>
    <tableColumn id="35" name="Invoice Variance Percent"/>
    <tableColumn id="36" name="Payment Status"/>
    <tableColumn id="37" name="Payment Date"/>
    <tableColumn id="38" name="Uninvoiced Commitment"/>
    <tableColumn id="39" name="Days Open"/>
    <tableColumn id="40" name="Attention Flag"/>
    <tableColumn id="41" name="Buyer Notes"/>
  </tableColumns>
  <tableStyleInfo name="TableStyleMedium2" showRowStripes="1"/>
</table>
</file>

<file path=xl/tables/table2.xml><?xml version="1.0" encoding="utf-8"?>
<table xmlns="http://schemas.openxmlformats.org/spreadsheetml/2006/main" id="2" name="tblProperties" displayName="tblProperties" ref="A15:B115" headerRowCount="1">
  <autoFilter ref="A15:B115"/>
  <tableColumns count="2">
    <tableColumn id="1" name="Property"/>
    <tableColumn id="2" name="Active"/>
  </tableColumns>
  <tableStyleInfo name="TableStyleMedium2" showRowStripes="1"/>
</table>
</file>

<file path=xl/tables/table3.xml><?xml version="1.0" encoding="utf-8"?>
<table xmlns="http://schemas.openxmlformats.org/spreadsheetml/2006/main" id="3" name="tblDepartments" displayName="tblDepartments" ref="D15:E115" headerRowCount="1">
  <autoFilter ref="D15:E115"/>
  <tableColumns count="2">
    <tableColumn id="4" name="Department"/>
    <tableColumn id="5" name="Active"/>
  </tableColumns>
  <tableStyleInfo name="TableStyleMedium2" showRowStripes="1"/>
</table>
</file>

<file path=xl/tables/table4.xml><?xml version="1.0" encoding="utf-8"?>
<table xmlns="http://schemas.openxmlformats.org/spreadsheetml/2006/main" id="4" name="tblVendors" displayName="tblVendors" ref="G15:M115" headerRowCount="1">
  <autoFilter ref="G15:M115"/>
  <tableColumns count="7">
    <tableColumn id="7" name="Vendor ID"/>
    <tableColumn id="8" name="Vendor Name"/>
    <tableColumn id="9" name="Primary Category"/>
    <tableColumn id="10" name="Contact Name"/>
    <tableColumn id="11" name="Contact Phone"/>
    <tableColumn id="12" name="Contact Email"/>
    <tableColumn id="13" name="Active"/>
  </tableColumns>
  <tableStyleInfo name="TableStyleMedium2" showRowStripes="1"/>
</table>
</file>

<file path=xl/tables/table5.xml><?xml version="1.0" encoding="utf-8"?>
<table xmlns="http://schemas.openxmlformats.org/spreadsheetml/2006/main" id="5" name="tblCostCodes" displayName="tblCostCodes" ref="O15:Q115" headerRowCount="1">
  <autoFilter ref="O15:Q115"/>
  <tableColumns count="3">
    <tableColumn id="15" name="Cost Code"/>
    <tableColumn id="16" name="Cost Code Description"/>
    <tableColumn id="17" name="Active"/>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table" Target="/xl/tables/table3.xml" Id="rId2"/><Relationship Type="http://schemas.openxmlformats.org/officeDocument/2006/relationships/table" Target="/xl/tables/table4.xml" Id="rId3"/><Relationship Type="http://schemas.openxmlformats.org/officeDocument/2006/relationships/table" Target="/xl/tables/table5.xml" Id="rId4"/></Relationships>
</file>

<file path=xl/worksheets/sheet1.xml><?xml version="1.0" encoding="utf-8"?>
<worksheet xmlns="http://schemas.openxmlformats.org/spreadsheetml/2006/main">
  <sheetPr>
    <outlinePr summaryBelow="1" summaryRight="1"/>
    <pageSetUpPr/>
  </sheetPr>
  <dimension ref="A1:R101"/>
  <sheetViews>
    <sheetView showGridLines="0" zoomScale="70" zoomScaleNormal="70" workbookViewId="0">
      <pane ySplit="4" topLeftCell="A5" activePane="bottomLeft" state="frozen"/>
      <selection pane="bottomLeft" activeCell="A1" sqref="A1"/>
    </sheetView>
  </sheetViews>
  <sheetFormatPr baseColWidth="8" defaultRowHeight="15"/>
  <cols>
    <col width="24" customWidth="1" min="1" max="1"/>
    <col width="18" customWidth="1" min="2" max="2"/>
    <col width="22" customWidth="1" min="3" max="3"/>
    <col width="18" customWidth="1" min="4" max="4"/>
    <col width="16" customWidth="1" min="5" max="5"/>
    <col width="20" customWidth="1" min="6" max="6"/>
    <col width="20" customWidth="1" min="7" max="7"/>
    <col width="18" customWidth="1" min="8" max="8"/>
    <col width="2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s>
  <sheetData>
    <row r="1">
      <c r="A1" s="1" t="inlineStr">
        <is>
          <t>Hotel Purchase Order Dashboard</t>
        </is>
      </c>
    </row>
    <row r="2">
      <c r="A2" s="2" t="inlineStr">
        <is>
          <t>Monitor approvals, deliveries, invoices, and open purchasing commitments.</t>
        </is>
      </c>
    </row>
    <row r="3">
      <c r="A3" t="inlineStr">
        <is>
          <t>As of</t>
        </is>
      </c>
      <c r="B3" s="42">
        <f>IFERROR(TODAY(),"")</f>
        <v/>
      </c>
    </row>
    <row r="4">
      <c r="A4" s="4" t="inlineStr">
        <is>
          <t>Property Filter</t>
        </is>
      </c>
      <c r="B4" s="5" t="inlineStr">
        <is>
          <t>All</t>
        </is>
      </c>
      <c r="C4" s="4" t="inlineStr">
        <is>
          <t>Department Filter</t>
        </is>
      </c>
      <c r="D4" s="5" t="inlineStr">
        <is>
          <t>All</t>
        </is>
      </c>
    </row>
    <row r="5"/>
    <row r="6">
      <c r="A6" s="6" t="inlineStr">
        <is>
          <t>Total Purchase Orders</t>
        </is>
      </c>
      <c r="B6" s="7">
        <f>IFERROR(COUNTIFS('Purchase Orders'!$A$6:$A$255,"&lt;&gt;",'Purchase Orders'!$B$6:$B$255,IF($B$4="All","&lt;&gt;",$B$4),'Purchase Orders'!$C$6:$C$255,IF($D$4="All","&lt;&gt;",$D$4)),0)</f>
        <v/>
      </c>
      <c r="D6" s="6" t="inlineStr">
        <is>
          <t>Open Purchase Orders</t>
        </is>
      </c>
      <c r="E6" s="7">
        <f>IFERROR(COUNTIFS('Purchase Orders'!$N$6:$N$255,"Open",'Purchase Orders'!$B$6:$B$255,IF($B$4="All","&lt;&gt;",$B$4),'Purchase Orders'!$C$6:$C$255,IF($D$4="All","&lt;&gt;",$D$4)),0)</f>
        <v/>
      </c>
      <c r="G6" s="6" t="inlineStr">
        <is>
          <t>Pending Approval</t>
        </is>
      </c>
      <c r="H6" s="7">
        <f>IFERROR(COUNTIFS('Purchase Orders'!$J$6:$J$255,"Pending",'Purchase Orders'!$B$6:$B$255,IF($B$4="All","&lt;&gt;",$B$4),'Purchase Orders'!$C$6:$C$255,IF($D$4="All","&lt;&gt;",$D$4)),0)</f>
        <v/>
      </c>
    </row>
    <row r="7"/>
    <row r="8"/>
    <row r="9">
      <c r="A9" s="6" t="inlineStr">
        <is>
          <t>Overdue Deliveries</t>
        </is>
      </c>
      <c r="B9" s="7">
        <f>IFERROR(COUNTIFS('Purchase Orders'!$AN$6:$AN$255,"Delivery Overdue",'Purchase Orders'!$B$6:$B$255,IF($B$4="All","&lt;&gt;",$B$4),'Purchase Orders'!$C$6:$C$255,IF($D$4="All","&lt;&gt;",$D$4)),0)</f>
        <v/>
      </c>
      <c r="D9" s="6" t="inlineStr">
        <is>
          <t>Expected PO Value</t>
        </is>
      </c>
      <c r="E9" s="43">
        <f>IFERROR(SUMIFS('Purchase Orders'!$Z$6:$Z$255,'Purchase Orders'!$N$6:$N$255,"&lt;&gt;Canceled",'Purchase Orders'!$B$6:$B$255,IF($B$4="All","&lt;&gt;",$B$4),'Purchase Orders'!$C$6:$C$255,IF($D$4="All","&lt;&gt;",$D$4)),0)</f>
        <v/>
      </c>
      <c r="G9" s="6" t="inlineStr">
        <is>
          <t>Open Commitment</t>
        </is>
      </c>
      <c r="H9" s="43">
        <f>IFERROR(SUMIFS('Purchase Orders'!$AL$6:$AL$255,'Purchase Orders'!$A$6:$A$255,"&lt;&gt;",'Purchase Orders'!$B$6:$B$255,IF($B$4="All","&lt;&gt;",$B$4),'Purchase Orders'!$C$6:$C$255,IF($D$4="All","&lt;&gt;",$D$4)),0)</f>
        <v/>
      </c>
    </row>
    <row r="10"/>
    <row r="11"/>
    <row r="12">
      <c r="A12" s="6" t="inlineStr">
        <is>
          <t>Invoice Variance</t>
        </is>
      </c>
      <c r="B12" s="43">
        <f>IFERROR(SUMIFS('Purchase Orders'!$AH$6:$AH$255,'Purchase Orders'!$AG$6:$AG$255,"&lt;&gt;",'Purchase Orders'!$B$6:$B$255,IF($B$4="All","&lt;&gt;",$B$4),'Purchase Orders'!$C$6:$C$255,IF($D$4="All","&lt;&gt;",$D$4)),0)</f>
        <v/>
      </c>
      <c r="D12" s="6" t="inlineStr">
        <is>
          <t>Average Approval Days</t>
        </is>
      </c>
      <c r="E12" s="44">
        <f>IFERROR(AVERAGEIFS('Purchase Orders'!$M$6:$M$255,'Purchase Orders'!$J$6:$J$255,"Approved",'Purchase Orders'!$B$6:$B$255,IF($B$4="All","&lt;&gt;",$B$4),'Purchase Orders'!$C$6:$C$255,IF($D$4="All","&lt;&gt;",$D$4)),0)</f>
        <v/>
      </c>
      <c r="G12" s="6" t="inlineStr">
        <is>
          <t>Partial Receipts</t>
        </is>
      </c>
      <c r="H12" s="7">
        <f>IFERROR(COUNTIFS('Purchase Orders'!$AC$6:$AC$255,"Partially Received",'Purchase Orders'!$B$6:$B$255,IF($B$4="All","&lt;&gt;",$B$4),'Purchase Orders'!$C$6:$C$255,IF($D$4="All","&lt;&gt;",$D$4)),0)</f>
        <v/>
      </c>
    </row>
    <row r="13"/>
    <row r="14"/>
    <row r="15">
      <c r="A15" s="6" t="inlineStr">
        <is>
          <t>Attention Required</t>
        </is>
      </c>
      <c r="B15" s="7">
        <f>IFERROR(COUNTIFS('Purchase Orders'!$AN$6:$AN$255,"&lt;&gt;",'Purchase Orders'!$N$6:$N$255,"&lt;&gt;Closed",'Purchase Orders'!$N$6:$N$255,"&lt;&gt;Canceled",'Purchase Orders'!$B$6:$B$255,IF($B$4="All","&lt;&gt;",$B$4),'Purchase Orders'!$C$6:$C$255,IF($D$4="All","&lt;&gt;",$D$4)),0)</f>
        <v/>
      </c>
    </row>
    <row r="16"/>
    <row r="17"/>
    <row r="18">
      <c r="A18" s="10" t="inlineStr">
        <is>
          <t>Purchase Orders Requiring Attention</t>
        </is>
      </c>
    </row>
    <row r="19">
      <c r="A19" s="11" t="inlineStr">
        <is>
          <t>PO Number</t>
        </is>
      </c>
      <c r="B19" s="11" t="inlineStr">
        <is>
          <t>Property</t>
        </is>
      </c>
      <c r="C19" s="11" t="inlineStr">
        <is>
          <t>Department</t>
        </is>
      </c>
      <c r="D19" s="11" t="inlineStr">
        <is>
          <t>Vendor</t>
        </is>
      </c>
      <c r="E19" s="11" t="inlineStr">
        <is>
          <t>Need-By Date</t>
        </is>
      </c>
      <c r="F19" s="11" t="inlineStr">
        <is>
          <t>Expected Total</t>
        </is>
      </c>
      <c r="G19" s="11" t="inlineStr">
        <is>
          <t>Receipt Status</t>
        </is>
      </c>
      <c r="H19" s="11" t="inlineStr">
        <is>
          <t>Approval Status</t>
        </is>
      </c>
      <c r="I19" s="11" t="inlineStr">
        <is>
          <t>Attention Flag</t>
        </is>
      </c>
    </row>
    <row r="20">
      <c r="A20" s="12">
        <f>IFERROR(INDEX('Purchase Orders'!$A$6:$A$255,MATCH(1,'Purchase Orders'!$AP$6:$AP$255,0)),"")</f>
        <v/>
      </c>
      <c r="B20" s="12">
        <f>IFERROR(INDEX('Purchase Orders'!$B$6:$B$255,MATCH(1,'Purchase Orders'!$AP$6:$AP$255,0)),"")</f>
        <v/>
      </c>
      <c r="C20" s="12">
        <f>IFERROR(INDEX('Purchase Orders'!$C$6:$C$255,MATCH(1,'Purchase Orders'!$AP$6:$AP$255,0)),"")</f>
        <v/>
      </c>
      <c r="D20" s="12">
        <f>IFERROR(INDEX('Purchase Orders'!$F$6:$F$255,MATCH(1,'Purchase Orders'!$AP$6:$AP$255,0)),"")</f>
        <v/>
      </c>
      <c r="E20" s="45">
        <f>IFERROR(INDEX('Purchase Orders'!$I$6:$I$255,MATCH(1,'Purchase Orders'!$AP$6:$AP$255,0)),"")</f>
        <v/>
      </c>
      <c r="F20" s="46">
        <f>IFERROR(INDEX('Purchase Orders'!$Z$6:$Z$255,MATCH(1,'Purchase Orders'!$AP$6:$AP$255,0)),"")</f>
        <v/>
      </c>
      <c r="G20" s="12">
        <f>IFERROR(INDEX('Purchase Orders'!$AC$6:$AC$255,MATCH(1,'Purchase Orders'!$AP$6:$AP$255,0)),"")</f>
        <v/>
      </c>
      <c r="H20" s="12">
        <f>IFERROR(INDEX('Purchase Orders'!$J$6:$J$255,MATCH(1,'Purchase Orders'!$AP$6:$AP$255,0)),"")</f>
        <v/>
      </c>
      <c r="I20" s="12">
        <f>IFERROR(INDEX('Purchase Orders'!$AN$6:$AN$255,MATCH(1,'Purchase Orders'!$AP$6:$AP$255,0)),"")</f>
        <v/>
      </c>
    </row>
    <row r="21">
      <c r="A21" s="15">
        <f>IFERROR(INDEX('Purchase Orders'!$A$6:$A$255,MATCH(2,'Purchase Orders'!$AP$6:$AP$255,0)),"")</f>
        <v/>
      </c>
      <c r="B21" s="15">
        <f>IFERROR(INDEX('Purchase Orders'!$B$6:$B$255,MATCH(2,'Purchase Orders'!$AP$6:$AP$255,0)),"")</f>
        <v/>
      </c>
      <c r="C21" s="15">
        <f>IFERROR(INDEX('Purchase Orders'!$C$6:$C$255,MATCH(2,'Purchase Orders'!$AP$6:$AP$255,0)),"")</f>
        <v/>
      </c>
      <c r="D21" s="15">
        <f>IFERROR(INDEX('Purchase Orders'!$F$6:$F$255,MATCH(2,'Purchase Orders'!$AP$6:$AP$255,0)),"")</f>
        <v/>
      </c>
      <c r="E21" s="47">
        <f>IFERROR(INDEX('Purchase Orders'!$I$6:$I$255,MATCH(2,'Purchase Orders'!$AP$6:$AP$255,0)),"")</f>
        <v/>
      </c>
      <c r="F21" s="48">
        <f>IFERROR(INDEX('Purchase Orders'!$Z$6:$Z$255,MATCH(2,'Purchase Orders'!$AP$6:$AP$255,0)),"")</f>
        <v/>
      </c>
      <c r="G21" s="15">
        <f>IFERROR(INDEX('Purchase Orders'!$AC$6:$AC$255,MATCH(2,'Purchase Orders'!$AP$6:$AP$255,0)),"")</f>
        <v/>
      </c>
      <c r="H21" s="15">
        <f>IFERROR(INDEX('Purchase Orders'!$J$6:$J$255,MATCH(2,'Purchase Orders'!$AP$6:$AP$255,0)),"")</f>
        <v/>
      </c>
      <c r="I21" s="15">
        <f>IFERROR(INDEX('Purchase Orders'!$AN$6:$AN$255,MATCH(2,'Purchase Orders'!$AP$6:$AP$255,0)),"")</f>
        <v/>
      </c>
    </row>
    <row r="22">
      <c r="A22" s="12">
        <f>IFERROR(INDEX('Purchase Orders'!$A$6:$A$255,MATCH(3,'Purchase Orders'!$AP$6:$AP$255,0)),"")</f>
        <v/>
      </c>
      <c r="B22" s="12">
        <f>IFERROR(INDEX('Purchase Orders'!$B$6:$B$255,MATCH(3,'Purchase Orders'!$AP$6:$AP$255,0)),"")</f>
        <v/>
      </c>
      <c r="C22" s="12">
        <f>IFERROR(INDEX('Purchase Orders'!$C$6:$C$255,MATCH(3,'Purchase Orders'!$AP$6:$AP$255,0)),"")</f>
        <v/>
      </c>
      <c r="D22" s="12">
        <f>IFERROR(INDEX('Purchase Orders'!$F$6:$F$255,MATCH(3,'Purchase Orders'!$AP$6:$AP$255,0)),"")</f>
        <v/>
      </c>
      <c r="E22" s="45">
        <f>IFERROR(INDEX('Purchase Orders'!$I$6:$I$255,MATCH(3,'Purchase Orders'!$AP$6:$AP$255,0)),"")</f>
        <v/>
      </c>
      <c r="F22" s="46">
        <f>IFERROR(INDEX('Purchase Orders'!$Z$6:$Z$255,MATCH(3,'Purchase Orders'!$AP$6:$AP$255,0)),"")</f>
        <v/>
      </c>
      <c r="G22" s="12">
        <f>IFERROR(INDEX('Purchase Orders'!$AC$6:$AC$255,MATCH(3,'Purchase Orders'!$AP$6:$AP$255,0)),"")</f>
        <v/>
      </c>
      <c r="H22" s="12">
        <f>IFERROR(INDEX('Purchase Orders'!$J$6:$J$255,MATCH(3,'Purchase Orders'!$AP$6:$AP$255,0)),"")</f>
        <v/>
      </c>
      <c r="I22" s="12">
        <f>IFERROR(INDEX('Purchase Orders'!$AN$6:$AN$255,MATCH(3,'Purchase Orders'!$AP$6:$AP$255,0)),"")</f>
        <v/>
      </c>
    </row>
    <row r="23">
      <c r="A23" s="15">
        <f>IFERROR(INDEX('Purchase Orders'!$A$6:$A$255,MATCH(4,'Purchase Orders'!$AP$6:$AP$255,0)),"")</f>
        <v/>
      </c>
      <c r="B23" s="15">
        <f>IFERROR(INDEX('Purchase Orders'!$B$6:$B$255,MATCH(4,'Purchase Orders'!$AP$6:$AP$255,0)),"")</f>
        <v/>
      </c>
      <c r="C23" s="15">
        <f>IFERROR(INDEX('Purchase Orders'!$C$6:$C$255,MATCH(4,'Purchase Orders'!$AP$6:$AP$255,0)),"")</f>
        <v/>
      </c>
      <c r="D23" s="15">
        <f>IFERROR(INDEX('Purchase Orders'!$F$6:$F$255,MATCH(4,'Purchase Orders'!$AP$6:$AP$255,0)),"")</f>
        <v/>
      </c>
      <c r="E23" s="47">
        <f>IFERROR(INDEX('Purchase Orders'!$I$6:$I$255,MATCH(4,'Purchase Orders'!$AP$6:$AP$255,0)),"")</f>
        <v/>
      </c>
      <c r="F23" s="48">
        <f>IFERROR(INDEX('Purchase Orders'!$Z$6:$Z$255,MATCH(4,'Purchase Orders'!$AP$6:$AP$255,0)),"")</f>
        <v/>
      </c>
      <c r="G23" s="15">
        <f>IFERROR(INDEX('Purchase Orders'!$AC$6:$AC$255,MATCH(4,'Purchase Orders'!$AP$6:$AP$255,0)),"")</f>
        <v/>
      </c>
      <c r="H23" s="15">
        <f>IFERROR(INDEX('Purchase Orders'!$J$6:$J$255,MATCH(4,'Purchase Orders'!$AP$6:$AP$255,0)),"")</f>
        <v/>
      </c>
      <c r="I23" s="15">
        <f>IFERROR(INDEX('Purchase Orders'!$AN$6:$AN$255,MATCH(4,'Purchase Orders'!$AP$6:$AP$255,0)),"")</f>
        <v/>
      </c>
    </row>
    <row r="24">
      <c r="A24" s="12">
        <f>IFERROR(INDEX('Purchase Orders'!$A$6:$A$255,MATCH(5,'Purchase Orders'!$AP$6:$AP$255,0)),"")</f>
        <v/>
      </c>
      <c r="B24" s="12">
        <f>IFERROR(INDEX('Purchase Orders'!$B$6:$B$255,MATCH(5,'Purchase Orders'!$AP$6:$AP$255,0)),"")</f>
        <v/>
      </c>
      <c r="C24" s="12">
        <f>IFERROR(INDEX('Purchase Orders'!$C$6:$C$255,MATCH(5,'Purchase Orders'!$AP$6:$AP$255,0)),"")</f>
        <v/>
      </c>
      <c r="D24" s="12">
        <f>IFERROR(INDEX('Purchase Orders'!$F$6:$F$255,MATCH(5,'Purchase Orders'!$AP$6:$AP$255,0)),"")</f>
        <v/>
      </c>
      <c r="E24" s="45">
        <f>IFERROR(INDEX('Purchase Orders'!$I$6:$I$255,MATCH(5,'Purchase Orders'!$AP$6:$AP$255,0)),"")</f>
        <v/>
      </c>
      <c r="F24" s="46">
        <f>IFERROR(INDEX('Purchase Orders'!$Z$6:$Z$255,MATCH(5,'Purchase Orders'!$AP$6:$AP$255,0)),"")</f>
        <v/>
      </c>
      <c r="G24" s="12">
        <f>IFERROR(INDEX('Purchase Orders'!$AC$6:$AC$255,MATCH(5,'Purchase Orders'!$AP$6:$AP$255,0)),"")</f>
        <v/>
      </c>
      <c r="H24" s="12">
        <f>IFERROR(INDEX('Purchase Orders'!$J$6:$J$255,MATCH(5,'Purchase Orders'!$AP$6:$AP$255,0)),"")</f>
        <v/>
      </c>
      <c r="I24" s="12">
        <f>IFERROR(INDEX('Purchase Orders'!$AN$6:$AN$255,MATCH(5,'Purchase Orders'!$AP$6:$AP$255,0)),"")</f>
        <v/>
      </c>
    </row>
    <row r="25">
      <c r="A25" s="15">
        <f>IFERROR(INDEX('Purchase Orders'!$A$6:$A$255,MATCH(6,'Purchase Orders'!$AP$6:$AP$255,0)),"")</f>
        <v/>
      </c>
      <c r="B25" s="15">
        <f>IFERROR(INDEX('Purchase Orders'!$B$6:$B$255,MATCH(6,'Purchase Orders'!$AP$6:$AP$255,0)),"")</f>
        <v/>
      </c>
      <c r="C25" s="15">
        <f>IFERROR(INDEX('Purchase Orders'!$C$6:$C$255,MATCH(6,'Purchase Orders'!$AP$6:$AP$255,0)),"")</f>
        <v/>
      </c>
      <c r="D25" s="15">
        <f>IFERROR(INDEX('Purchase Orders'!$F$6:$F$255,MATCH(6,'Purchase Orders'!$AP$6:$AP$255,0)),"")</f>
        <v/>
      </c>
      <c r="E25" s="47">
        <f>IFERROR(INDEX('Purchase Orders'!$I$6:$I$255,MATCH(6,'Purchase Orders'!$AP$6:$AP$255,0)),"")</f>
        <v/>
      </c>
      <c r="F25" s="48">
        <f>IFERROR(INDEX('Purchase Orders'!$Z$6:$Z$255,MATCH(6,'Purchase Orders'!$AP$6:$AP$255,0)),"")</f>
        <v/>
      </c>
      <c r="G25" s="15">
        <f>IFERROR(INDEX('Purchase Orders'!$AC$6:$AC$255,MATCH(6,'Purchase Orders'!$AP$6:$AP$255,0)),"")</f>
        <v/>
      </c>
      <c r="H25" s="15">
        <f>IFERROR(INDEX('Purchase Orders'!$J$6:$J$255,MATCH(6,'Purchase Orders'!$AP$6:$AP$255,0)),"")</f>
        <v/>
      </c>
      <c r="I25" s="15">
        <f>IFERROR(INDEX('Purchase Orders'!$AN$6:$AN$255,MATCH(6,'Purchase Orders'!$AP$6:$AP$255,0)),"")</f>
        <v/>
      </c>
    </row>
    <row r="26">
      <c r="A26" s="12">
        <f>IFERROR(INDEX('Purchase Orders'!$A$6:$A$255,MATCH(7,'Purchase Orders'!$AP$6:$AP$255,0)),"")</f>
        <v/>
      </c>
      <c r="B26" s="12">
        <f>IFERROR(INDEX('Purchase Orders'!$B$6:$B$255,MATCH(7,'Purchase Orders'!$AP$6:$AP$255,0)),"")</f>
        <v/>
      </c>
      <c r="C26" s="12">
        <f>IFERROR(INDEX('Purchase Orders'!$C$6:$C$255,MATCH(7,'Purchase Orders'!$AP$6:$AP$255,0)),"")</f>
        <v/>
      </c>
      <c r="D26" s="12">
        <f>IFERROR(INDEX('Purchase Orders'!$F$6:$F$255,MATCH(7,'Purchase Orders'!$AP$6:$AP$255,0)),"")</f>
        <v/>
      </c>
      <c r="E26" s="45">
        <f>IFERROR(INDEX('Purchase Orders'!$I$6:$I$255,MATCH(7,'Purchase Orders'!$AP$6:$AP$255,0)),"")</f>
        <v/>
      </c>
      <c r="F26" s="46">
        <f>IFERROR(INDEX('Purchase Orders'!$Z$6:$Z$255,MATCH(7,'Purchase Orders'!$AP$6:$AP$255,0)),"")</f>
        <v/>
      </c>
      <c r="G26" s="12">
        <f>IFERROR(INDEX('Purchase Orders'!$AC$6:$AC$255,MATCH(7,'Purchase Orders'!$AP$6:$AP$255,0)),"")</f>
        <v/>
      </c>
      <c r="H26" s="12">
        <f>IFERROR(INDEX('Purchase Orders'!$J$6:$J$255,MATCH(7,'Purchase Orders'!$AP$6:$AP$255,0)),"")</f>
        <v/>
      </c>
      <c r="I26" s="12">
        <f>IFERROR(INDEX('Purchase Orders'!$AN$6:$AN$255,MATCH(7,'Purchase Orders'!$AP$6:$AP$255,0)),"")</f>
        <v/>
      </c>
    </row>
    <row r="27">
      <c r="A27" s="15">
        <f>IFERROR(INDEX('Purchase Orders'!$A$6:$A$255,MATCH(8,'Purchase Orders'!$AP$6:$AP$255,0)),"")</f>
        <v/>
      </c>
      <c r="B27" s="15">
        <f>IFERROR(INDEX('Purchase Orders'!$B$6:$B$255,MATCH(8,'Purchase Orders'!$AP$6:$AP$255,0)),"")</f>
        <v/>
      </c>
      <c r="C27" s="15">
        <f>IFERROR(INDEX('Purchase Orders'!$C$6:$C$255,MATCH(8,'Purchase Orders'!$AP$6:$AP$255,0)),"")</f>
        <v/>
      </c>
      <c r="D27" s="15">
        <f>IFERROR(INDEX('Purchase Orders'!$F$6:$F$255,MATCH(8,'Purchase Orders'!$AP$6:$AP$255,0)),"")</f>
        <v/>
      </c>
      <c r="E27" s="47">
        <f>IFERROR(INDEX('Purchase Orders'!$I$6:$I$255,MATCH(8,'Purchase Orders'!$AP$6:$AP$255,0)),"")</f>
        <v/>
      </c>
      <c r="F27" s="48">
        <f>IFERROR(INDEX('Purchase Orders'!$Z$6:$Z$255,MATCH(8,'Purchase Orders'!$AP$6:$AP$255,0)),"")</f>
        <v/>
      </c>
      <c r="G27" s="15">
        <f>IFERROR(INDEX('Purchase Orders'!$AC$6:$AC$255,MATCH(8,'Purchase Orders'!$AP$6:$AP$255,0)),"")</f>
        <v/>
      </c>
      <c r="H27" s="15">
        <f>IFERROR(INDEX('Purchase Orders'!$J$6:$J$255,MATCH(8,'Purchase Orders'!$AP$6:$AP$255,0)),"")</f>
        <v/>
      </c>
      <c r="I27" s="15">
        <f>IFERROR(INDEX('Purchase Orders'!$AN$6:$AN$255,MATCH(8,'Purchase Orders'!$AP$6:$AP$255,0)),"")</f>
        <v/>
      </c>
    </row>
    <row r="28">
      <c r="A28" s="12">
        <f>IFERROR(INDEX('Purchase Orders'!$A$6:$A$255,MATCH(9,'Purchase Orders'!$AP$6:$AP$255,0)),"")</f>
        <v/>
      </c>
      <c r="B28" s="12">
        <f>IFERROR(INDEX('Purchase Orders'!$B$6:$B$255,MATCH(9,'Purchase Orders'!$AP$6:$AP$255,0)),"")</f>
        <v/>
      </c>
      <c r="C28" s="12">
        <f>IFERROR(INDEX('Purchase Orders'!$C$6:$C$255,MATCH(9,'Purchase Orders'!$AP$6:$AP$255,0)),"")</f>
        <v/>
      </c>
      <c r="D28" s="12">
        <f>IFERROR(INDEX('Purchase Orders'!$F$6:$F$255,MATCH(9,'Purchase Orders'!$AP$6:$AP$255,0)),"")</f>
        <v/>
      </c>
      <c r="E28" s="45">
        <f>IFERROR(INDEX('Purchase Orders'!$I$6:$I$255,MATCH(9,'Purchase Orders'!$AP$6:$AP$255,0)),"")</f>
        <v/>
      </c>
      <c r="F28" s="46">
        <f>IFERROR(INDEX('Purchase Orders'!$Z$6:$Z$255,MATCH(9,'Purchase Orders'!$AP$6:$AP$255,0)),"")</f>
        <v/>
      </c>
      <c r="G28" s="12">
        <f>IFERROR(INDEX('Purchase Orders'!$AC$6:$AC$255,MATCH(9,'Purchase Orders'!$AP$6:$AP$255,0)),"")</f>
        <v/>
      </c>
      <c r="H28" s="12">
        <f>IFERROR(INDEX('Purchase Orders'!$J$6:$J$255,MATCH(9,'Purchase Orders'!$AP$6:$AP$255,0)),"")</f>
        <v/>
      </c>
      <c r="I28" s="12">
        <f>IFERROR(INDEX('Purchase Orders'!$AN$6:$AN$255,MATCH(9,'Purchase Orders'!$AP$6:$AP$255,0)),"")</f>
        <v/>
      </c>
    </row>
    <row r="29">
      <c r="A29" s="15">
        <f>IFERROR(INDEX('Purchase Orders'!$A$6:$A$255,MATCH(10,'Purchase Orders'!$AP$6:$AP$255,0)),"")</f>
        <v/>
      </c>
      <c r="B29" s="15">
        <f>IFERROR(INDEX('Purchase Orders'!$B$6:$B$255,MATCH(10,'Purchase Orders'!$AP$6:$AP$255,0)),"")</f>
        <v/>
      </c>
      <c r="C29" s="15">
        <f>IFERROR(INDEX('Purchase Orders'!$C$6:$C$255,MATCH(10,'Purchase Orders'!$AP$6:$AP$255,0)),"")</f>
        <v/>
      </c>
      <c r="D29" s="15">
        <f>IFERROR(INDEX('Purchase Orders'!$F$6:$F$255,MATCH(10,'Purchase Orders'!$AP$6:$AP$255,0)),"")</f>
        <v/>
      </c>
      <c r="E29" s="47">
        <f>IFERROR(INDEX('Purchase Orders'!$I$6:$I$255,MATCH(10,'Purchase Orders'!$AP$6:$AP$255,0)),"")</f>
        <v/>
      </c>
      <c r="F29" s="48">
        <f>IFERROR(INDEX('Purchase Orders'!$Z$6:$Z$255,MATCH(10,'Purchase Orders'!$AP$6:$AP$255,0)),"")</f>
        <v/>
      </c>
      <c r="G29" s="15">
        <f>IFERROR(INDEX('Purchase Orders'!$AC$6:$AC$255,MATCH(10,'Purchase Orders'!$AP$6:$AP$255,0)),"")</f>
        <v/>
      </c>
      <c r="H29" s="15">
        <f>IFERROR(INDEX('Purchase Orders'!$J$6:$J$255,MATCH(10,'Purchase Orders'!$AP$6:$AP$255,0)),"")</f>
        <v/>
      </c>
      <c r="I29" s="15">
        <f>IFERROR(INDEX('Purchase Orders'!$AN$6:$AN$255,MATCH(10,'Purchase Orders'!$AP$6:$AP$255,0)),"")</f>
        <v/>
      </c>
    </row>
    <row r="30">
      <c r="A30">
        <f>""</f>
        <v/>
      </c>
      <c r="E30">
        <f>""</f>
        <v/>
      </c>
      <c r="F30">
        <f>""</f>
        <v/>
      </c>
      <c r="I30">
        <f>""</f>
        <v/>
      </c>
    </row>
    <row r="31">
      <c r="A31">
        <f>""</f>
        <v/>
      </c>
      <c r="E31">
        <f>""</f>
        <v/>
      </c>
      <c r="F31">
        <f>""</f>
        <v/>
      </c>
      <c r="I31">
        <f>""</f>
        <v/>
      </c>
    </row>
    <row r="32">
      <c r="A32" s="10" t="inlineStr">
        <is>
          <t>Spend by Department Summary</t>
        </is>
      </c>
      <c r="E32">
        <f>""</f>
        <v/>
      </c>
      <c r="F32" s="10" t="inlineStr">
        <is>
          <t>PO Status Summary</t>
        </is>
      </c>
      <c r="I32">
        <f>""</f>
        <v/>
      </c>
    </row>
    <row r="33">
      <c r="A33" s="4" t="inlineStr">
        <is>
          <t>Department</t>
        </is>
      </c>
      <c r="B33" s="4" t="inlineStr">
        <is>
          <t>Expected PO Value</t>
        </is>
      </c>
      <c r="C33" s="4" t="inlineStr">
        <is>
          <t>Open Commitment</t>
        </is>
      </c>
      <c r="D33" s="4" t="inlineStr">
        <is>
          <t>PO Count</t>
        </is>
      </c>
      <c r="E33">
        <f>""</f>
        <v/>
      </c>
      <c r="F33" s="4" t="inlineStr">
        <is>
          <t>PO Status</t>
        </is>
      </c>
      <c r="G33" s="4" t="inlineStr">
        <is>
          <t>PO Count</t>
        </is>
      </c>
      <c r="H33" s="4" t="inlineStr">
        <is>
          <t>Expected Value</t>
        </is>
      </c>
      <c r="I33">
        <f>""</f>
        <v/>
      </c>
    </row>
    <row r="34">
      <c r="A34" s="18" t="inlineStr">
        <is>
          <t>Administration</t>
        </is>
      </c>
      <c r="B34" s="49">
        <f>IFERROR(SUMIFS('Purchase Orders'!$Z$6:$Z$255,'Purchase Orders'!$C$6:$C$255,$A34,'Purchase Orders'!$N$6:$N$255,"&lt;&gt;Canceled",'Purchase Orders'!$B$6:$B$255,IF($B$4="All","&lt;&gt;",$B$4)),0)</f>
        <v/>
      </c>
      <c r="C34" s="49">
        <f>IFERROR(SUMIFS('Purchase Orders'!$AL$6:$AL$255,'Purchase Orders'!$C$6:$C$255,$A34,'Purchase Orders'!$B$6:$B$255,IF($B$4="All","&lt;&gt;",$B$4)),0)</f>
        <v/>
      </c>
      <c r="D34" s="18">
        <f>IFERROR(COUNTIFS('Purchase Orders'!$C$6:$C$255,$A34,'Purchase Orders'!$A$6:$A$255,"&lt;&gt;",'Purchase Orders'!$B$6:$B$255,IF($B$4="All","&lt;&gt;",$B$4)),0)</f>
        <v/>
      </c>
      <c r="E34">
        <f>""</f>
        <v/>
      </c>
      <c r="F34" s="18" t="inlineStr">
        <is>
          <t>Draft</t>
        </is>
      </c>
      <c r="G34" s="18">
        <f>IFERROR(COUNTIFS('Purchase Orders'!$N$6:$N$255,$F34,'Purchase Orders'!$B$6:$B$255,IF($B$4="All","&lt;&gt;",$B$4),'Purchase Orders'!$C$6:$C$255,IF($D$4="All","&lt;&gt;",$D$4)),0)</f>
        <v/>
      </c>
      <c r="H34" s="49">
        <f>IFERROR(SUMIFS('Purchase Orders'!$Z$6:$Z$255,'Purchase Orders'!$N$6:$N$255,$F34,'Purchase Orders'!$B$6:$B$255,IF($B$4="All","&lt;&gt;",$B$4),'Purchase Orders'!$C$6:$C$255,IF($D$4="All","&lt;&gt;",$D$4)),0)</f>
        <v/>
      </c>
      <c r="I34">
        <f>""</f>
        <v/>
      </c>
    </row>
    <row r="35">
      <c r="A35" s="20" t="inlineStr">
        <is>
          <t>Engineering</t>
        </is>
      </c>
      <c r="B35" s="50">
        <f>IFERROR(SUMIFS('Purchase Orders'!$Z$6:$Z$255,'Purchase Orders'!$C$6:$C$255,$A35,'Purchase Orders'!$N$6:$N$255,"&lt;&gt;Canceled",'Purchase Orders'!$B$6:$B$255,IF($B$4="All","&lt;&gt;",$B$4)),0)</f>
        <v/>
      </c>
      <c r="C35" s="50">
        <f>IFERROR(SUMIFS('Purchase Orders'!$AL$6:$AL$255,'Purchase Orders'!$C$6:$C$255,$A35,'Purchase Orders'!$B$6:$B$255,IF($B$4="All","&lt;&gt;",$B$4)),0)</f>
        <v/>
      </c>
      <c r="D35" s="20">
        <f>IFERROR(COUNTIFS('Purchase Orders'!$C$6:$C$255,$A35,'Purchase Orders'!$A$6:$A$255,"&lt;&gt;",'Purchase Orders'!$B$6:$B$255,IF($B$4="All","&lt;&gt;",$B$4)),0)</f>
        <v/>
      </c>
      <c r="E35">
        <f>""</f>
        <v/>
      </c>
      <c r="F35" s="20" t="inlineStr">
        <is>
          <t>Open</t>
        </is>
      </c>
      <c r="G35" s="20">
        <f>IFERROR(COUNTIFS('Purchase Orders'!$N$6:$N$255,$F35,'Purchase Orders'!$B$6:$B$255,IF($B$4="All","&lt;&gt;",$B$4),'Purchase Orders'!$C$6:$C$255,IF($D$4="All","&lt;&gt;",$D$4)),0)</f>
        <v/>
      </c>
      <c r="H35" s="50">
        <f>IFERROR(SUMIFS('Purchase Orders'!$Z$6:$Z$255,'Purchase Orders'!$N$6:$N$255,$F35,'Purchase Orders'!$B$6:$B$255,IF($B$4="All","&lt;&gt;",$B$4),'Purchase Orders'!$C$6:$C$255,IF($D$4="All","&lt;&gt;",$D$4)),0)</f>
        <v/>
      </c>
      <c r="I35">
        <f>""</f>
        <v/>
      </c>
    </row>
    <row r="36">
      <c r="A36" s="18" t="inlineStr">
        <is>
          <t>Events</t>
        </is>
      </c>
      <c r="B36" s="49">
        <f>IFERROR(SUMIFS('Purchase Orders'!$Z$6:$Z$255,'Purchase Orders'!$C$6:$C$255,$A36,'Purchase Orders'!$N$6:$N$255,"&lt;&gt;Canceled",'Purchase Orders'!$B$6:$B$255,IF($B$4="All","&lt;&gt;",$B$4)),0)</f>
        <v/>
      </c>
      <c r="C36" s="49">
        <f>IFERROR(SUMIFS('Purchase Orders'!$AL$6:$AL$255,'Purchase Orders'!$C$6:$C$255,$A36,'Purchase Orders'!$B$6:$B$255,IF($B$4="All","&lt;&gt;",$B$4)),0)</f>
        <v/>
      </c>
      <c r="D36" s="18">
        <f>IFERROR(COUNTIFS('Purchase Orders'!$C$6:$C$255,$A36,'Purchase Orders'!$A$6:$A$255,"&lt;&gt;",'Purchase Orders'!$B$6:$B$255,IF($B$4="All","&lt;&gt;",$B$4)),0)</f>
        <v/>
      </c>
      <c r="E36">
        <f>""</f>
        <v/>
      </c>
      <c r="F36" s="18" t="inlineStr">
        <is>
          <t>Closed</t>
        </is>
      </c>
      <c r="G36" s="18">
        <f>IFERROR(COUNTIFS('Purchase Orders'!$N$6:$N$255,$F36,'Purchase Orders'!$B$6:$B$255,IF($B$4="All","&lt;&gt;",$B$4),'Purchase Orders'!$C$6:$C$255,IF($D$4="All","&lt;&gt;",$D$4)),0)</f>
        <v/>
      </c>
      <c r="H36" s="49">
        <f>IFERROR(SUMIFS('Purchase Orders'!$Z$6:$Z$255,'Purchase Orders'!$N$6:$N$255,$F36,'Purchase Orders'!$B$6:$B$255,IF($B$4="All","&lt;&gt;",$B$4),'Purchase Orders'!$C$6:$C$255,IF($D$4="All","&lt;&gt;",$D$4)),0)</f>
        <v/>
      </c>
      <c r="I36">
        <f>""</f>
        <v/>
      </c>
    </row>
    <row r="37">
      <c r="A37" s="20" t="inlineStr">
        <is>
          <t>Food and Beverage</t>
        </is>
      </c>
      <c r="B37" s="50">
        <f>IFERROR(SUMIFS('Purchase Orders'!$Z$6:$Z$255,'Purchase Orders'!$C$6:$C$255,$A37,'Purchase Orders'!$N$6:$N$255,"&lt;&gt;Canceled",'Purchase Orders'!$B$6:$B$255,IF($B$4="All","&lt;&gt;",$B$4)),0)</f>
        <v/>
      </c>
      <c r="C37" s="50">
        <f>IFERROR(SUMIFS('Purchase Orders'!$AL$6:$AL$255,'Purchase Orders'!$C$6:$C$255,$A37,'Purchase Orders'!$B$6:$B$255,IF($B$4="All","&lt;&gt;",$B$4)),0)</f>
        <v/>
      </c>
      <c r="D37" s="20">
        <f>IFERROR(COUNTIFS('Purchase Orders'!$C$6:$C$255,$A37,'Purchase Orders'!$A$6:$A$255,"&lt;&gt;",'Purchase Orders'!$B$6:$B$255,IF($B$4="All","&lt;&gt;",$B$4)),0)</f>
        <v/>
      </c>
      <c r="E37">
        <f>""</f>
        <v/>
      </c>
      <c r="F37" s="20" t="inlineStr">
        <is>
          <t>Canceled</t>
        </is>
      </c>
      <c r="G37" s="20">
        <f>IFERROR(COUNTIFS('Purchase Orders'!$N$6:$N$255,$F37,'Purchase Orders'!$B$6:$B$255,IF($B$4="All","&lt;&gt;",$B$4),'Purchase Orders'!$C$6:$C$255,IF($D$4="All","&lt;&gt;",$D$4)),0)</f>
        <v/>
      </c>
      <c r="H37" s="50">
        <f>IFERROR(SUMIFS('Purchase Orders'!$Z$6:$Z$255,'Purchase Orders'!$N$6:$N$255,$F37,'Purchase Orders'!$B$6:$B$255,IF($B$4="All","&lt;&gt;",$B$4),'Purchase Orders'!$C$6:$C$255,IF($D$4="All","&lt;&gt;",$D$4)),0)</f>
        <v/>
      </c>
      <c r="I37">
        <f>""</f>
        <v/>
      </c>
    </row>
    <row r="38">
      <c r="A38" s="18" t="inlineStr">
        <is>
          <t>Front Office</t>
        </is>
      </c>
      <c r="B38" s="49">
        <f>IFERROR(SUMIFS('Purchase Orders'!$Z$6:$Z$255,'Purchase Orders'!$C$6:$C$255,$A38,'Purchase Orders'!$N$6:$N$255,"&lt;&gt;Canceled",'Purchase Orders'!$B$6:$B$255,IF($B$4="All","&lt;&gt;",$B$4)),0)</f>
        <v/>
      </c>
      <c r="C38" s="49">
        <f>IFERROR(SUMIFS('Purchase Orders'!$AL$6:$AL$255,'Purchase Orders'!$C$6:$C$255,$A38,'Purchase Orders'!$B$6:$B$255,IF($B$4="All","&lt;&gt;",$B$4)),0)</f>
        <v/>
      </c>
      <c r="D38" s="18">
        <f>IFERROR(COUNTIFS('Purchase Orders'!$C$6:$C$255,$A38,'Purchase Orders'!$A$6:$A$255,"&lt;&gt;",'Purchase Orders'!$B$6:$B$255,IF($B$4="All","&lt;&gt;",$B$4)),0)</f>
        <v/>
      </c>
      <c r="E38">
        <f>""</f>
        <v/>
      </c>
      <c r="F38">
        <f>""</f>
        <v/>
      </c>
      <c r="G38">
        <f>""</f>
        <v/>
      </c>
      <c r="H38">
        <f>""</f>
        <v/>
      </c>
      <c r="I38">
        <f>""</f>
        <v/>
      </c>
    </row>
    <row r="39">
      <c r="A39" s="20" t="inlineStr">
        <is>
          <t>Housekeeping</t>
        </is>
      </c>
      <c r="B39" s="50">
        <f>IFERROR(SUMIFS('Purchase Orders'!$Z$6:$Z$255,'Purchase Orders'!$C$6:$C$255,$A39,'Purchase Orders'!$N$6:$N$255,"&lt;&gt;Canceled",'Purchase Orders'!$B$6:$B$255,IF($B$4="All","&lt;&gt;",$B$4)),0)</f>
        <v/>
      </c>
      <c r="C39" s="50">
        <f>IFERROR(SUMIFS('Purchase Orders'!$AL$6:$AL$255,'Purchase Orders'!$C$6:$C$255,$A39,'Purchase Orders'!$B$6:$B$255,IF($B$4="All","&lt;&gt;",$B$4)),0)</f>
        <v/>
      </c>
      <c r="D39" s="20">
        <f>IFERROR(COUNTIFS('Purchase Orders'!$C$6:$C$255,$A39,'Purchase Orders'!$A$6:$A$255,"&lt;&gt;",'Purchase Orders'!$B$6:$B$255,IF($B$4="All","&lt;&gt;",$B$4)),0)</f>
        <v/>
      </c>
      <c r="E39">
        <f>""</f>
        <v/>
      </c>
      <c r="F39">
        <f>""</f>
        <v/>
      </c>
      <c r="G39">
        <f>""</f>
        <v/>
      </c>
      <c r="H39">
        <f>""</f>
        <v/>
      </c>
      <c r="I39">
        <f>""</f>
        <v/>
      </c>
    </row>
    <row r="40">
      <c r="A40" s="18" t="inlineStr">
        <is>
          <t>Security</t>
        </is>
      </c>
      <c r="B40" s="49">
        <f>IFERROR(SUMIFS('Purchase Orders'!$Z$6:$Z$255,'Purchase Orders'!$C$6:$C$255,$A40,'Purchase Orders'!$N$6:$N$255,"&lt;&gt;Canceled",'Purchase Orders'!$B$6:$B$255,IF($B$4="All","&lt;&gt;",$B$4)),0)</f>
        <v/>
      </c>
      <c r="C40" s="49">
        <f>IFERROR(SUMIFS('Purchase Orders'!$AL$6:$AL$255,'Purchase Orders'!$C$6:$C$255,$A40,'Purchase Orders'!$B$6:$B$255,IF($B$4="All","&lt;&gt;",$B$4)),0)</f>
        <v/>
      </c>
      <c r="D40" s="18">
        <f>IFERROR(COUNTIFS('Purchase Orders'!$C$6:$C$255,$A40,'Purchase Orders'!$A$6:$A$255,"&lt;&gt;",'Purchase Orders'!$B$6:$B$255,IF($B$4="All","&lt;&gt;",$B$4)),0)</f>
        <v/>
      </c>
      <c r="E40">
        <f>""</f>
        <v/>
      </c>
      <c r="F40">
        <f>""</f>
        <v/>
      </c>
      <c r="G40">
        <f>""</f>
        <v/>
      </c>
      <c r="H40">
        <f>""</f>
        <v/>
      </c>
      <c r="I40">
        <f>""</f>
        <v/>
      </c>
    </row>
    <row r="41">
      <c r="A41">
        <f>""</f>
        <v/>
      </c>
      <c r="B41">
        <f>""</f>
        <v/>
      </c>
      <c r="C41">
        <f>""</f>
        <v/>
      </c>
      <c r="D41">
        <f>""</f>
        <v/>
      </c>
      <c r="E41">
        <f>""</f>
        <v/>
      </c>
      <c r="F41">
        <f>""</f>
        <v/>
      </c>
      <c r="G41">
        <f>""</f>
        <v/>
      </c>
      <c r="H41">
        <f>""</f>
        <v/>
      </c>
      <c r="I41">
        <f>""</f>
        <v/>
      </c>
    </row>
    <row r="42">
      <c r="A42">
        <f>""</f>
        <v/>
      </c>
      <c r="B42">
        <f>""</f>
        <v/>
      </c>
      <c r="C42">
        <f>""</f>
        <v/>
      </c>
      <c r="D42">
        <f>""</f>
        <v/>
      </c>
      <c r="E42">
        <f>""</f>
        <v/>
      </c>
      <c r="F42">
        <f>""</f>
        <v/>
      </c>
      <c r="G42">
        <f>""</f>
        <v/>
      </c>
      <c r="H42">
        <f>""</f>
        <v/>
      </c>
      <c r="I42">
        <f>""</f>
        <v/>
      </c>
    </row>
    <row r="43">
      <c r="A43">
        <f>""</f>
        <v/>
      </c>
      <c r="B43">
        <f>""</f>
        <v/>
      </c>
      <c r="C43">
        <f>""</f>
        <v/>
      </c>
      <c r="D43">
        <f>""</f>
        <v/>
      </c>
      <c r="E43">
        <f>""</f>
        <v/>
      </c>
      <c r="F43">
        <f>""</f>
        <v/>
      </c>
      <c r="G43">
        <f>""</f>
        <v/>
      </c>
      <c r="H43">
        <f>""</f>
        <v/>
      </c>
      <c r="I43">
        <f>""</f>
        <v/>
      </c>
    </row>
    <row r="44">
      <c r="A44">
        <f>""</f>
        <v/>
      </c>
      <c r="B44">
        <f>""</f>
        <v/>
      </c>
      <c r="C44">
        <f>""</f>
        <v/>
      </c>
      <c r="D44">
        <f>""</f>
        <v/>
      </c>
      <c r="E44">
        <f>""</f>
        <v/>
      </c>
      <c r="F44">
        <f>""</f>
        <v/>
      </c>
      <c r="G44">
        <f>""</f>
        <v/>
      </c>
      <c r="H44">
        <f>""</f>
        <v/>
      </c>
      <c r="I44">
        <f>""</f>
        <v/>
      </c>
    </row>
    <row r="45">
      <c r="A45">
        <f>""</f>
        <v/>
      </c>
      <c r="B45">
        <f>""</f>
        <v/>
      </c>
      <c r="C45">
        <f>""</f>
        <v/>
      </c>
      <c r="D45">
        <f>""</f>
        <v/>
      </c>
      <c r="E45">
        <f>""</f>
        <v/>
      </c>
      <c r="F45">
        <f>""</f>
        <v/>
      </c>
      <c r="G45">
        <f>""</f>
        <v/>
      </c>
      <c r="H45">
        <f>""</f>
        <v/>
      </c>
      <c r="I45">
        <f>""</f>
        <v/>
      </c>
    </row>
    <row r="46">
      <c r="A46">
        <f>""</f>
        <v/>
      </c>
      <c r="B46">
        <f>""</f>
        <v/>
      </c>
      <c r="C46">
        <f>""</f>
        <v/>
      </c>
      <c r="D46">
        <f>""</f>
        <v/>
      </c>
      <c r="E46">
        <f>""</f>
        <v/>
      </c>
      <c r="F46">
        <f>""</f>
        <v/>
      </c>
      <c r="G46">
        <f>""</f>
        <v/>
      </c>
      <c r="H46">
        <f>""</f>
        <v/>
      </c>
      <c r="I46">
        <f>""</f>
        <v/>
      </c>
    </row>
    <row r="47">
      <c r="A47">
        <f>""</f>
        <v/>
      </c>
      <c r="B47">
        <f>""</f>
        <v/>
      </c>
      <c r="C47">
        <f>""</f>
        <v/>
      </c>
      <c r="D47">
        <f>""</f>
        <v/>
      </c>
      <c r="E47">
        <f>""</f>
        <v/>
      </c>
      <c r="F47">
        <f>""</f>
        <v/>
      </c>
      <c r="G47">
        <f>""</f>
        <v/>
      </c>
      <c r="H47">
        <f>""</f>
        <v/>
      </c>
      <c r="I47">
        <f>""</f>
        <v/>
      </c>
    </row>
    <row r="48">
      <c r="A48">
        <f>""</f>
        <v/>
      </c>
      <c r="B48">
        <f>""</f>
        <v/>
      </c>
      <c r="C48">
        <f>""</f>
        <v/>
      </c>
      <c r="D48">
        <f>""</f>
        <v/>
      </c>
      <c r="E48">
        <f>""</f>
        <v/>
      </c>
      <c r="F48">
        <f>""</f>
        <v/>
      </c>
      <c r="G48">
        <f>""</f>
        <v/>
      </c>
      <c r="H48">
        <f>""</f>
        <v/>
      </c>
      <c r="I48">
        <f>""</f>
        <v/>
      </c>
    </row>
    <row r="49">
      <c r="A49">
        <f>""</f>
        <v/>
      </c>
      <c r="B49">
        <f>""</f>
        <v/>
      </c>
      <c r="C49">
        <f>""</f>
        <v/>
      </c>
      <c r="D49">
        <f>""</f>
        <v/>
      </c>
      <c r="E49">
        <f>""</f>
        <v/>
      </c>
      <c r="F49">
        <f>""</f>
        <v/>
      </c>
      <c r="G49">
        <f>""</f>
        <v/>
      </c>
      <c r="H49">
        <f>""</f>
        <v/>
      </c>
      <c r="I49">
        <f>""</f>
        <v/>
      </c>
    </row>
    <row r="50">
      <c r="A50">
        <f>""</f>
        <v/>
      </c>
      <c r="B50">
        <f>""</f>
        <v/>
      </c>
      <c r="C50">
        <f>""</f>
        <v/>
      </c>
      <c r="D50">
        <f>""</f>
        <v/>
      </c>
      <c r="E50">
        <f>""</f>
        <v/>
      </c>
      <c r="F50">
        <f>""</f>
        <v/>
      </c>
      <c r="G50">
        <f>""</f>
        <v/>
      </c>
      <c r="H50">
        <f>""</f>
        <v/>
      </c>
      <c r="I50">
        <f>""</f>
        <v/>
      </c>
    </row>
    <row r="51">
      <c r="A51">
        <f>""</f>
        <v/>
      </c>
      <c r="B51">
        <f>""</f>
        <v/>
      </c>
      <c r="C51">
        <f>""</f>
        <v/>
      </c>
      <c r="D51">
        <f>""</f>
        <v/>
      </c>
      <c r="E51">
        <f>""</f>
        <v/>
      </c>
      <c r="F51">
        <f>""</f>
        <v/>
      </c>
      <c r="G51">
        <f>""</f>
        <v/>
      </c>
      <c r="H51">
        <f>""</f>
        <v/>
      </c>
      <c r="I51">
        <f>""</f>
        <v/>
      </c>
    </row>
    <row r="52">
      <c r="A52">
        <f>""</f>
        <v/>
      </c>
      <c r="B52">
        <f>""</f>
        <v/>
      </c>
      <c r="C52">
        <f>""</f>
        <v/>
      </c>
      <c r="D52">
        <f>""</f>
        <v/>
      </c>
      <c r="E52">
        <f>""</f>
        <v/>
      </c>
      <c r="F52">
        <f>""</f>
        <v/>
      </c>
      <c r="G52">
        <f>""</f>
        <v/>
      </c>
      <c r="H52">
        <f>""</f>
        <v/>
      </c>
      <c r="I52">
        <f>""</f>
        <v/>
      </c>
    </row>
    <row r="53">
      <c r="A53">
        <f>""</f>
        <v/>
      </c>
      <c r="B53">
        <f>""</f>
        <v/>
      </c>
      <c r="C53">
        <f>""</f>
        <v/>
      </c>
      <c r="D53">
        <f>""</f>
        <v/>
      </c>
      <c r="E53">
        <f>""</f>
        <v/>
      </c>
      <c r="F53">
        <f>""</f>
        <v/>
      </c>
      <c r="G53">
        <f>""</f>
        <v/>
      </c>
      <c r="H53">
        <f>""</f>
        <v/>
      </c>
      <c r="I53">
        <f>""</f>
        <v/>
      </c>
    </row>
    <row r="54">
      <c r="A54">
        <f>""</f>
        <v/>
      </c>
      <c r="B54">
        <f>""</f>
        <v/>
      </c>
      <c r="C54">
        <f>""</f>
        <v/>
      </c>
      <c r="D54">
        <f>""</f>
        <v/>
      </c>
      <c r="E54">
        <f>""</f>
        <v/>
      </c>
      <c r="F54">
        <f>""</f>
        <v/>
      </c>
      <c r="G54">
        <f>""</f>
        <v/>
      </c>
      <c r="H54">
        <f>""</f>
        <v/>
      </c>
      <c r="I54">
        <f>""</f>
        <v/>
      </c>
    </row>
    <row r="55">
      <c r="A55">
        <f>""</f>
        <v/>
      </c>
      <c r="B55">
        <f>""</f>
        <v/>
      </c>
      <c r="C55">
        <f>""</f>
        <v/>
      </c>
      <c r="D55">
        <f>""</f>
        <v/>
      </c>
      <c r="E55">
        <f>""</f>
        <v/>
      </c>
      <c r="F55">
        <f>""</f>
        <v/>
      </c>
      <c r="G55">
        <f>""</f>
        <v/>
      </c>
      <c r="H55">
        <f>""</f>
        <v/>
      </c>
      <c r="I55">
        <f>""</f>
        <v/>
      </c>
    </row>
    <row r="56">
      <c r="A56">
        <f>""</f>
        <v/>
      </c>
      <c r="B56">
        <f>""</f>
        <v/>
      </c>
      <c r="C56">
        <f>""</f>
        <v/>
      </c>
      <c r="D56">
        <f>""</f>
        <v/>
      </c>
      <c r="E56">
        <f>""</f>
        <v/>
      </c>
      <c r="F56">
        <f>""</f>
        <v/>
      </c>
      <c r="G56">
        <f>""</f>
        <v/>
      </c>
      <c r="H56">
        <f>""</f>
        <v/>
      </c>
      <c r="I56">
        <f>""</f>
        <v/>
      </c>
    </row>
    <row r="57">
      <c r="A57">
        <f>""</f>
        <v/>
      </c>
      <c r="B57">
        <f>""</f>
        <v/>
      </c>
      <c r="C57">
        <f>""</f>
        <v/>
      </c>
      <c r="D57">
        <f>""</f>
        <v/>
      </c>
      <c r="E57">
        <f>""</f>
        <v/>
      </c>
      <c r="F57">
        <f>""</f>
        <v/>
      </c>
      <c r="G57">
        <f>""</f>
        <v/>
      </c>
      <c r="H57">
        <f>""</f>
        <v/>
      </c>
      <c r="I57">
        <f>""</f>
        <v/>
      </c>
    </row>
    <row r="58">
      <c r="A58">
        <f>""</f>
        <v/>
      </c>
      <c r="B58">
        <f>""</f>
        <v/>
      </c>
      <c r="C58">
        <f>""</f>
        <v/>
      </c>
      <c r="D58">
        <f>""</f>
        <v/>
      </c>
      <c r="E58">
        <f>""</f>
        <v/>
      </c>
      <c r="F58">
        <f>""</f>
        <v/>
      </c>
      <c r="G58">
        <f>""</f>
        <v/>
      </c>
      <c r="H58">
        <f>""</f>
        <v/>
      </c>
      <c r="I58">
        <f>""</f>
        <v/>
      </c>
    </row>
    <row r="59">
      <c r="A59">
        <f>""</f>
        <v/>
      </c>
      <c r="B59">
        <f>""</f>
        <v/>
      </c>
      <c r="C59">
        <f>""</f>
        <v/>
      </c>
      <c r="D59">
        <f>""</f>
        <v/>
      </c>
      <c r="E59">
        <f>""</f>
        <v/>
      </c>
      <c r="F59">
        <f>""</f>
        <v/>
      </c>
      <c r="G59">
        <f>""</f>
        <v/>
      </c>
      <c r="H59">
        <f>""</f>
        <v/>
      </c>
      <c r="I59">
        <f>""</f>
        <v/>
      </c>
    </row>
    <row r="60">
      <c r="A60">
        <f>""</f>
        <v/>
      </c>
      <c r="B60">
        <f>""</f>
        <v/>
      </c>
      <c r="C60">
        <f>""</f>
        <v/>
      </c>
      <c r="D60">
        <f>""</f>
        <v/>
      </c>
      <c r="E60">
        <f>""</f>
        <v/>
      </c>
      <c r="F60">
        <f>""</f>
        <v/>
      </c>
      <c r="G60">
        <f>""</f>
        <v/>
      </c>
      <c r="H60">
        <f>""</f>
        <v/>
      </c>
      <c r="I60">
        <f>""</f>
        <v/>
      </c>
    </row>
    <row r="61">
      <c r="A61">
        <f>""</f>
        <v/>
      </c>
      <c r="B61">
        <f>""</f>
        <v/>
      </c>
      <c r="C61">
        <f>""</f>
        <v/>
      </c>
      <c r="D61">
        <f>""</f>
        <v/>
      </c>
      <c r="E61">
        <f>""</f>
        <v/>
      </c>
      <c r="F61">
        <f>""</f>
        <v/>
      </c>
      <c r="G61">
        <f>""</f>
        <v/>
      </c>
      <c r="H61">
        <f>""</f>
        <v/>
      </c>
      <c r="I61">
        <f>""</f>
        <v/>
      </c>
    </row>
    <row r="62">
      <c r="A62">
        <f>""</f>
        <v/>
      </c>
      <c r="B62">
        <f>""</f>
        <v/>
      </c>
      <c r="C62">
        <f>""</f>
        <v/>
      </c>
      <c r="D62">
        <f>""</f>
        <v/>
      </c>
      <c r="E62">
        <f>""</f>
        <v/>
      </c>
      <c r="F62">
        <f>""</f>
        <v/>
      </c>
      <c r="G62">
        <f>""</f>
        <v/>
      </c>
      <c r="H62">
        <f>""</f>
        <v/>
      </c>
      <c r="I62">
        <f>""</f>
        <v/>
      </c>
    </row>
    <row r="63">
      <c r="A63">
        <f>""</f>
        <v/>
      </c>
      <c r="B63">
        <f>""</f>
        <v/>
      </c>
      <c r="C63">
        <f>""</f>
        <v/>
      </c>
      <c r="D63">
        <f>""</f>
        <v/>
      </c>
      <c r="E63">
        <f>""</f>
        <v/>
      </c>
      <c r="F63">
        <f>""</f>
        <v/>
      </c>
      <c r="G63">
        <f>""</f>
        <v/>
      </c>
      <c r="H63">
        <f>""</f>
        <v/>
      </c>
      <c r="I63">
        <f>""</f>
        <v/>
      </c>
    </row>
    <row r="64">
      <c r="A64">
        <f>""</f>
        <v/>
      </c>
      <c r="B64">
        <f>""</f>
        <v/>
      </c>
      <c r="C64">
        <f>""</f>
        <v/>
      </c>
      <c r="D64">
        <f>""</f>
        <v/>
      </c>
      <c r="E64">
        <f>""</f>
        <v/>
      </c>
      <c r="F64">
        <f>""</f>
        <v/>
      </c>
      <c r="G64">
        <f>""</f>
        <v/>
      </c>
      <c r="H64">
        <f>""</f>
        <v/>
      </c>
      <c r="I64">
        <f>""</f>
        <v/>
      </c>
    </row>
    <row r="65">
      <c r="A65">
        <f>""</f>
        <v/>
      </c>
      <c r="B65">
        <f>""</f>
        <v/>
      </c>
      <c r="C65">
        <f>""</f>
        <v/>
      </c>
      <c r="D65">
        <f>""</f>
        <v/>
      </c>
      <c r="E65">
        <f>""</f>
        <v/>
      </c>
      <c r="F65">
        <f>""</f>
        <v/>
      </c>
      <c r="G65">
        <f>""</f>
        <v/>
      </c>
      <c r="H65">
        <f>""</f>
        <v/>
      </c>
      <c r="I65">
        <f>""</f>
        <v/>
      </c>
    </row>
    <row r="66">
      <c r="A66">
        <f>""</f>
        <v/>
      </c>
      <c r="B66">
        <f>""</f>
        <v/>
      </c>
      <c r="C66">
        <f>""</f>
        <v/>
      </c>
      <c r="D66">
        <f>""</f>
        <v/>
      </c>
      <c r="E66">
        <f>""</f>
        <v/>
      </c>
      <c r="F66">
        <f>""</f>
        <v/>
      </c>
      <c r="G66">
        <f>""</f>
        <v/>
      </c>
      <c r="H66">
        <f>""</f>
        <v/>
      </c>
      <c r="I66">
        <f>""</f>
        <v/>
      </c>
    </row>
    <row r="67">
      <c r="A67">
        <f>""</f>
        <v/>
      </c>
      <c r="B67">
        <f>""</f>
        <v/>
      </c>
      <c r="C67">
        <f>""</f>
        <v/>
      </c>
      <c r="D67">
        <f>""</f>
        <v/>
      </c>
      <c r="E67">
        <f>""</f>
        <v/>
      </c>
      <c r="F67">
        <f>""</f>
        <v/>
      </c>
      <c r="G67">
        <f>""</f>
        <v/>
      </c>
      <c r="H67">
        <f>""</f>
        <v/>
      </c>
      <c r="I67">
        <f>""</f>
        <v/>
      </c>
    </row>
    <row r="68">
      <c r="A68">
        <f>""</f>
        <v/>
      </c>
      <c r="B68">
        <f>""</f>
        <v/>
      </c>
      <c r="C68">
        <f>""</f>
        <v/>
      </c>
      <c r="D68">
        <f>""</f>
        <v/>
      </c>
      <c r="E68">
        <f>""</f>
        <v/>
      </c>
      <c r="F68">
        <f>""</f>
        <v/>
      </c>
      <c r="G68">
        <f>""</f>
        <v/>
      </c>
      <c r="H68">
        <f>""</f>
        <v/>
      </c>
      <c r="I68">
        <f>""</f>
        <v/>
      </c>
    </row>
    <row r="69">
      <c r="A69">
        <f>""</f>
        <v/>
      </c>
      <c r="B69">
        <f>""</f>
        <v/>
      </c>
      <c r="C69">
        <f>""</f>
        <v/>
      </c>
      <c r="D69">
        <f>""</f>
        <v/>
      </c>
      <c r="E69">
        <f>""</f>
        <v/>
      </c>
      <c r="F69">
        <f>""</f>
        <v/>
      </c>
      <c r="G69">
        <f>""</f>
        <v/>
      </c>
      <c r="H69">
        <f>""</f>
        <v/>
      </c>
      <c r="I69">
        <f>""</f>
        <v/>
      </c>
    </row>
    <row r="70">
      <c r="A70">
        <f>""</f>
        <v/>
      </c>
      <c r="B70">
        <f>""</f>
        <v/>
      </c>
      <c r="C70">
        <f>""</f>
        <v/>
      </c>
      <c r="D70">
        <f>""</f>
        <v/>
      </c>
      <c r="E70">
        <f>""</f>
        <v/>
      </c>
      <c r="F70">
        <f>""</f>
        <v/>
      </c>
      <c r="G70">
        <f>""</f>
        <v/>
      </c>
      <c r="H70">
        <f>""</f>
        <v/>
      </c>
      <c r="I70">
        <f>""</f>
        <v/>
      </c>
    </row>
    <row r="71">
      <c r="A71">
        <f>""</f>
        <v/>
      </c>
      <c r="B71">
        <f>""</f>
        <v/>
      </c>
      <c r="C71">
        <f>""</f>
        <v/>
      </c>
      <c r="D71">
        <f>""</f>
        <v/>
      </c>
      <c r="E71">
        <f>""</f>
        <v/>
      </c>
      <c r="F71">
        <f>""</f>
        <v/>
      </c>
      <c r="G71">
        <f>""</f>
        <v/>
      </c>
      <c r="H71">
        <f>""</f>
        <v/>
      </c>
      <c r="I71">
        <f>""</f>
        <v/>
      </c>
    </row>
    <row r="72">
      <c r="A72">
        <f>""</f>
        <v/>
      </c>
      <c r="B72">
        <f>""</f>
        <v/>
      </c>
      <c r="C72">
        <f>""</f>
        <v/>
      </c>
      <c r="D72">
        <f>""</f>
        <v/>
      </c>
      <c r="E72">
        <f>""</f>
        <v/>
      </c>
      <c r="F72">
        <f>""</f>
        <v/>
      </c>
      <c r="G72">
        <f>""</f>
        <v/>
      </c>
      <c r="H72">
        <f>""</f>
        <v/>
      </c>
      <c r="I72">
        <f>""</f>
        <v/>
      </c>
    </row>
    <row r="73">
      <c r="A73">
        <f>""</f>
        <v/>
      </c>
      <c r="B73">
        <f>""</f>
        <v/>
      </c>
      <c r="C73">
        <f>""</f>
        <v/>
      </c>
      <c r="D73">
        <f>""</f>
        <v/>
      </c>
      <c r="E73">
        <f>""</f>
        <v/>
      </c>
      <c r="F73">
        <f>""</f>
        <v/>
      </c>
      <c r="G73">
        <f>""</f>
        <v/>
      </c>
      <c r="H73">
        <f>""</f>
        <v/>
      </c>
      <c r="I73">
        <f>""</f>
        <v/>
      </c>
    </row>
    <row r="74">
      <c r="A74">
        <f>""</f>
        <v/>
      </c>
      <c r="B74">
        <f>""</f>
        <v/>
      </c>
      <c r="C74">
        <f>""</f>
        <v/>
      </c>
      <c r="D74">
        <f>""</f>
        <v/>
      </c>
      <c r="E74">
        <f>""</f>
        <v/>
      </c>
      <c r="F74">
        <f>""</f>
        <v/>
      </c>
      <c r="G74">
        <f>""</f>
        <v/>
      </c>
      <c r="H74">
        <f>""</f>
        <v/>
      </c>
      <c r="I74">
        <f>""</f>
        <v/>
      </c>
    </row>
    <row r="75">
      <c r="A75">
        <f>""</f>
        <v/>
      </c>
      <c r="B75">
        <f>""</f>
        <v/>
      </c>
      <c r="C75">
        <f>""</f>
        <v/>
      </c>
      <c r="D75">
        <f>""</f>
        <v/>
      </c>
      <c r="E75">
        <f>""</f>
        <v/>
      </c>
      <c r="F75">
        <f>""</f>
        <v/>
      </c>
      <c r="G75">
        <f>""</f>
        <v/>
      </c>
      <c r="H75">
        <f>""</f>
        <v/>
      </c>
      <c r="I75">
        <f>""</f>
        <v/>
      </c>
    </row>
    <row r="76">
      <c r="A76">
        <f>""</f>
        <v/>
      </c>
      <c r="B76">
        <f>""</f>
        <v/>
      </c>
      <c r="C76">
        <f>""</f>
        <v/>
      </c>
      <c r="D76">
        <f>""</f>
        <v/>
      </c>
      <c r="E76">
        <f>""</f>
        <v/>
      </c>
      <c r="F76">
        <f>""</f>
        <v/>
      </c>
      <c r="G76">
        <f>""</f>
        <v/>
      </c>
      <c r="H76">
        <f>""</f>
        <v/>
      </c>
      <c r="I76">
        <f>""</f>
        <v/>
      </c>
    </row>
    <row r="77">
      <c r="A77">
        <f>""</f>
        <v/>
      </c>
      <c r="B77">
        <f>""</f>
        <v/>
      </c>
      <c r="C77">
        <f>""</f>
        <v/>
      </c>
      <c r="D77">
        <f>""</f>
        <v/>
      </c>
      <c r="E77">
        <f>""</f>
        <v/>
      </c>
      <c r="F77">
        <f>""</f>
        <v/>
      </c>
      <c r="G77">
        <f>""</f>
        <v/>
      </c>
      <c r="H77">
        <f>""</f>
        <v/>
      </c>
      <c r="I77">
        <f>""</f>
        <v/>
      </c>
    </row>
    <row r="78">
      <c r="A78">
        <f>""</f>
        <v/>
      </c>
      <c r="B78">
        <f>""</f>
        <v/>
      </c>
      <c r="C78">
        <f>""</f>
        <v/>
      </c>
      <c r="D78">
        <f>""</f>
        <v/>
      </c>
      <c r="E78">
        <f>""</f>
        <v/>
      </c>
      <c r="F78">
        <f>""</f>
        <v/>
      </c>
      <c r="G78">
        <f>""</f>
        <v/>
      </c>
      <c r="H78">
        <f>""</f>
        <v/>
      </c>
      <c r="I78">
        <f>""</f>
        <v/>
      </c>
    </row>
    <row r="79">
      <c r="A79">
        <f>""</f>
        <v/>
      </c>
      <c r="B79">
        <f>""</f>
        <v/>
      </c>
      <c r="C79">
        <f>""</f>
        <v/>
      </c>
      <c r="D79">
        <f>""</f>
        <v/>
      </c>
      <c r="E79">
        <f>""</f>
        <v/>
      </c>
      <c r="F79">
        <f>""</f>
        <v/>
      </c>
      <c r="G79">
        <f>""</f>
        <v/>
      </c>
      <c r="H79">
        <f>""</f>
        <v/>
      </c>
      <c r="I79">
        <f>""</f>
        <v/>
      </c>
    </row>
    <row r="80">
      <c r="A80">
        <f>""</f>
        <v/>
      </c>
      <c r="B80">
        <f>""</f>
        <v/>
      </c>
      <c r="C80">
        <f>""</f>
        <v/>
      </c>
      <c r="D80">
        <f>""</f>
        <v/>
      </c>
      <c r="E80">
        <f>""</f>
        <v/>
      </c>
      <c r="F80">
        <f>""</f>
        <v/>
      </c>
      <c r="G80">
        <f>""</f>
        <v/>
      </c>
      <c r="H80">
        <f>""</f>
        <v/>
      </c>
      <c r="I80">
        <f>""</f>
        <v/>
      </c>
    </row>
    <row r="81">
      <c r="A81">
        <f>""</f>
        <v/>
      </c>
      <c r="B81">
        <f>""</f>
        <v/>
      </c>
      <c r="C81">
        <f>""</f>
        <v/>
      </c>
      <c r="D81">
        <f>""</f>
        <v/>
      </c>
      <c r="E81">
        <f>""</f>
        <v/>
      </c>
      <c r="F81">
        <f>""</f>
        <v/>
      </c>
      <c r="G81">
        <f>""</f>
        <v/>
      </c>
      <c r="H81">
        <f>""</f>
        <v/>
      </c>
      <c r="I81">
        <f>""</f>
        <v/>
      </c>
    </row>
    <row r="82">
      <c r="A82">
        <f>""</f>
        <v/>
      </c>
      <c r="B82">
        <f>""</f>
        <v/>
      </c>
      <c r="C82">
        <f>""</f>
        <v/>
      </c>
      <c r="D82">
        <f>""</f>
        <v/>
      </c>
      <c r="E82">
        <f>""</f>
        <v/>
      </c>
      <c r="F82">
        <f>""</f>
        <v/>
      </c>
      <c r="G82">
        <f>""</f>
        <v/>
      </c>
      <c r="H82">
        <f>""</f>
        <v/>
      </c>
      <c r="I82">
        <f>""</f>
        <v/>
      </c>
    </row>
    <row r="83">
      <c r="A83">
        <f>""</f>
        <v/>
      </c>
      <c r="B83">
        <f>""</f>
        <v/>
      </c>
      <c r="C83">
        <f>""</f>
        <v/>
      </c>
      <c r="D83">
        <f>""</f>
        <v/>
      </c>
      <c r="E83">
        <f>""</f>
        <v/>
      </c>
      <c r="F83">
        <f>""</f>
        <v/>
      </c>
      <c r="G83">
        <f>""</f>
        <v/>
      </c>
      <c r="H83">
        <f>""</f>
        <v/>
      </c>
      <c r="I83">
        <f>""</f>
        <v/>
      </c>
    </row>
    <row r="84">
      <c r="A84">
        <f>""</f>
        <v/>
      </c>
      <c r="B84">
        <f>""</f>
        <v/>
      </c>
      <c r="C84">
        <f>""</f>
        <v/>
      </c>
      <c r="D84">
        <f>""</f>
        <v/>
      </c>
      <c r="E84">
        <f>""</f>
        <v/>
      </c>
      <c r="F84">
        <f>""</f>
        <v/>
      </c>
      <c r="G84">
        <f>""</f>
        <v/>
      </c>
      <c r="H84">
        <f>""</f>
        <v/>
      </c>
      <c r="I84">
        <f>""</f>
        <v/>
      </c>
    </row>
    <row r="85">
      <c r="A85">
        <f>""</f>
        <v/>
      </c>
      <c r="B85">
        <f>""</f>
        <v/>
      </c>
      <c r="C85">
        <f>""</f>
        <v/>
      </c>
      <c r="D85">
        <f>""</f>
        <v/>
      </c>
      <c r="E85">
        <f>""</f>
        <v/>
      </c>
      <c r="F85">
        <f>""</f>
        <v/>
      </c>
      <c r="G85">
        <f>""</f>
        <v/>
      </c>
      <c r="H85">
        <f>""</f>
        <v/>
      </c>
      <c r="I85">
        <f>""</f>
        <v/>
      </c>
    </row>
    <row r="86">
      <c r="A86">
        <f>""</f>
        <v/>
      </c>
      <c r="B86">
        <f>""</f>
        <v/>
      </c>
      <c r="C86">
        <f>""</f>
        <v/>
      </c>
      <c r="D86">
        <f>""</f>
        <v/>
      </c>
      <c r="E86">
        <f>""</f>
        <v/>
      </c>
      <c r="F86">
        <f>""</f>
        <v/>
      </c>
      <c r="G86">
        <f>""</f>
        <v/>
      </c>
      <c r="H86">
        <f>""</f>
        <v/>
      </c>
      <c r="I86">
        <f>""</f>
        <v/>
      </c>
    </row>
    <row r="87">
      <c r="A87">
        <f>""</f>
        <v/>
      </c>
      <c r="B87">
        <f>""</f>
        <v/>
      </c>
      <c r="C87">
        <f>""</f>
        <v/>
      </c>
      <c r="D87">
        <f>""</f>
        <v/>
      </c>
      <c r="E87">
        <f>""</f>
        <v/>
      </c>
      <c r="F87">
        <f>""</f>
        <v/>
      </c>
      <c r="G87">
        <f>""</f>
        <v/>
      </c>
      <c r="H87">
        <f>""</f>
        <v/>
      </c>
      <c r="I87">
        <f>""</f>
        <v/>
      </c>
    </row>
    <row r="88">
      <c r="A88">
        <f>""</f>
        <v/>
      </c>
      <c r="B88">
        <f>""</f>
        <v/>
      </c>
      <c r="C88">
        <f>""</f>
        <v/>
      </c>
      <c r="D88">
        <f>""</f>
        <v/>
      </c>
      <c r="E88">
        <f>""</f>
        <v/>
      </c>
      <c r="F88">
        <f>""</f>
        <v/>
      </c>
      <c r="G88">
        <f>""</f>
        <v/>
      </c>
      <c r="H88">
        <f>""</f>
        <v/>
      </c>
      <c r="I88">
        <f>""</f>
        <v/>
      </c>
    </row>
    <row r="89">
      <c r="A89">
        <f>""</f>
        <v/>
      </c>
      <c r="B89">
        <f>""</f>
        <v/>
      </c>
      <c r="C89">
        <f>""</f>
        <v/>
      </c>
      <c r="D89">
        <f>""</f>
        <v/>
      </c>
      <c r="E89">
        <f>""</f>
        <v/>
      </c>
      <c r="F89">
        <f>""</f>
        <v/>
      </c>
      <c r="G89">
        <f>""</f>
        <v/>
      </c>
      <c r="H89">
        <f>""</f>
        <v/>
      </c>
      <c r="I89">
        <f>""</f>
        <v/>
      </c>
    </row>
    <row r="90">
      <c r="A90">
        <f>""</f>
        <v/>
      </c>
      <c r="B90">
        <f>""</f>
        <v/>
      </c>
      <c r="C90">
        <f>""</f>
        <v/>
      </c>
      <c r="D90">
        <f>""</f>
        <v/>
      </c>
      <c r="E90">
        <f>""</f>
        <v/>
      </c>
      <c r="F90">
        <f>""</f>
        <v/>
      </c>
      <c r="G90">
        <f>""</f>
        <v/>
      </c>
      <c r="H90">
        <f>""</f>
        <v/>
      </c>
      <c r="I90">
        <f>""</f>
        <v/>
      </c>
    </row>
    <row r="91">
      <c r="A91">
        <f>""</f>
        <v/>
      </c>
      <c r="B91">
        <f>""</f>
        <v/>
      </c>
      <c r="C91">
        <f>""</f>
        <v/>
      </c>
      <c r="D91">
        <f>""</f>
        <v/>
      </c>
      <c r="E91">
        <f>""</f>
        <v/>
      </c>
      <c r="F91">
        <f>""</f>
        <v/>
      </c>
      <c r="G91">
        <f>""</f>
        <v/>
      </c>
      <c r="H91">
        <f>""</f>
        <v/>
      </c>
      <c r="I91">
        <f>""</f>
        <v/>
      </c>
    </row>
    <row r="92">
      <c r="A92">
        <f>""</f>
        <v/>
      </c>
      <c r="B92">
        <f>""</f>
        <v/>
      </c>
      <c r="C92">
        <f>""</f>
        <v/>
      </c>
      <c r="D92">
        <f>""</f>
        <v/>
      </c>
      <c r="E92">
        <f>""</f>
        <v/>
      </c>
      <c r="F92">
        <f>""</f>
        <v/>
      </c>
      <c r="G92">
        <f>""</f>
        <v/>
      </c>
      <c r="H92">
        <f>""</f>
        <v/>
      </c>
      <c r="I92">
        <f>""</f>
        <v/>
      </c>
    </row>
    <row r="93">
      <c r="A93">
        <f>""</f>
        <v/>
      </c>
      <c r="B93">
        <f>""</f>
        <v/>
      </c>
      <c r="C93">
        <f>""</f>
        <v/>
      </c>
      <c r="D93">
        <f>""</f>
        <v/>
      </c>
      <c r="E93">
        <f>""</f>
        <v/>
      </c>
      <c r="F93">
        <f>""</f>
        <v/>
      </c>
      <c r="G93">
        <f>""</f>
        <v/>
      </c>
      <c r="H93">
        <f>""</f>
        <v/>
      </c>
      <c r="I93">
        <f>""</f>
        <v/>
      </c>
    </row>
    <row r="94">
      <c r="A94">
        <f>""</f>
        <v/>
      </c>
      <c r="B94">
        <f>""</f>
        <v/>
      </c>
      <c r="C94">
        <f>""</f>
        <v/>
      </c>
      <c r="D94">
        <f>""</f>
        <v/>
      </c>
      <c r="E94">
        <f>""</f>
        <v/>
      </c>
      <c r="F94">
        <f>""</f>
        <v/>
      </c>
      <c r="G94">
        <f>""</f>
        <v/>
      </c>
      <c r="H94">
        <f>""</f>
        <v/>
      </c>
      <c r="I94">
        <f>""</f>
        <v/>
      </c>
    </row>
    <row r="95">
      <c r="A95">
        <f>""</f>
        <v/>
      </c>
      <c r="B95">
        <f>""</f>
        <v/>
      </c>
      <c r="C95">
        <f>""</f>
        <v/>
      </c>
      <c r="D95">
        <f>""</f>
        <v/>
      </c>
      <c r="E95">
        <f>""</f>
        <v/>
      </c>
      <c r="F95">
        <f>""</f>
        <v/>
      </c>
      <c r="G95">
        <f>""</f>
        <v/>
      </c>
      <c r="H95">
        <f>""</f>
        <v/>
      </c>
      <c r="I95">
        <f>""</f>
        <v/>
      </c>
    </row>
    <row r="96">
      <c r="A96">
        <f>""</f>
        <v/>
      </c>
      <c r="B96">
        <f>""</f>
        <v/>
      </c>
      <c r="C96">
        <f>""</f>
        <v/>
      </c>
      <c r="D96">
        <f>""</f>
        <v/>
      </c>
      <c r="E96">
        <f>""</f>
        <v/>
      </c>
      <c r="F96">
        <f>""</f>
        <v/>
      </c>
      <c r="G96">
        <f>""</f>
        <v/>
      </c>
      <c r="H96">
        <f>""</f>
        <v/>
      </c>
      <c r="I96">
        <f>""</f>
        <v/>
      </c>
    </row>
    <row r="97">
      <c r="A97">
        <f>""</f>
        <v/>
      </c>
      <c r="B97">
        <f>""</f>
        <v/>
      </c>
      <c r="C97">
        <f>""</f>
        <v/>
      </c>
      <c r="D97">
        <f>""</f>
        <v/>
      </c>
      <c r="E97">
        <f>""</f>
        <v/>
      </c>
      <c r="F97">
        <f>""</f>
        <v/>
      </c>
      <c r="G97">
        <f>""</f>
        <v/>
      </c>
      <c r="H97">
        <f>""</f>
        <v/>
      </c>
      <c r="I97">
        <f>""</f>
        <v/>
      </c>
    </row>
    <row r="98">
      <c r="A98">
        <f>""</f>
        <v/>
      </c>
      <c r="B98">
        <f>""</f>
        <v/>
      </c>
      <c r="C98">
        <f>""</f>
        <v/>
      </c>
      <c r="D98">
        <f>""</f>
        <v/>
      </c>
      <c r="E98">
        <f>""</f>
        <v/>
      </c>
      <c r="F98">
        <f>""</f>
        <v/>
      </c>
      <c r="G98">
        <f>""</f>
        <v/>
      </c>
      <c r="H98">
        <f>""</f>
        <v/>
      </c>
      <c r="I98">
        <f>""</f>
        <v/>
      </c>
    </row>
    <row r="99">
      <c r="A99">
        <f>""</f>
        <v/>
      </c>
      <c r="B99">
        <f>""</f>
        <v/>
      </c>
      <c r="C99">
        <f>""</f>
        <v/>
      </c>
      <c r="D99">
        <f>""</f>
        <v/>
      </c>
      <c r="E99">
        <f>""</f>
        <v/>
      </c>
      <c r="F99">
        <f>""</f>
        <v/>
      </c>
      <c r="G99">
        <f>""</f>
        <v/>
      </c>
      <c r="H99">
        <f>""</f>
        <v/>
      </c>
      <c r="I99">
        <f>""</f>
        <v/>
      </c>
    </row>
    <row r="100">
      <c r="A100">
        <f>""</f>
        <v/>
      </c>
      <c r="B100">
        <f>""</f>
        <v/>
      </c>
      <c r="C100">
        <f>""</f>
        <v/>
      </c>
      <c r="D100">
        <f>""</f>
        <v/>
      </c>
      <c r="E100">
        <f>""</f>
        <v/>
      </c>
      <c r="F100">
        <f>""</f>
        <v/>
      </c>
      <c r="G100">
        <f>""</f>
        <v/>
      </c>
      <c r="H100">
        <f>""</f>
        <v/>
      </c>
      <c r="I100">
        <f>""</f>
        <v/>
      </c>
    </row>
    <row r="101">
      <c r="A101">
        <f>""</f>
        <v/>
      </c>
      <c r="B101">
        <f>""</f>
        <v/>
      </c>
      <c r="C101">
        <f>""</f>
        <v/>
      </c>
      <c r="D101">
        <f>""</f>
        <v/>
      </c>
      <c r="E101">
        <f>""</f>
        <v/>
      </c>
      <c r="F101">
        <f>""</f>
        <v/>
      </c>
      <c r="G101">
        <f>""</f>
        <v/>
      </c>
      <c r="H101">
        <f>""</f>
        <v/>
      </c>
      <c r="I101">
        <f>""</f>
        <v/>
      </c>
    </row>
  </sheetData>
  <mergeCells count="1">
    <mergeCell ref="A1:R1"/>
  </mergeCells>
  <dataValidations count="2">
    <dataValidation sqref="B4" showDropDown="0" showInputMessage="0" showErrorMessage="0" allowBlank="0" type="list">
      <formula1>'Settings'!$A$116:$A$216</formula1>
    </dataValidation>
    <dataValidation sqref="D4" showDropDown="0" showInputMessage="0" showErrorMessage="0" allowBlank="0" type="list">
      <formula1>'Settings'!$D$116:$D$216</formula1>
    </dataValidation>
  </dataValidations>
  <pageMargins left="0.75" right="0.75" top="1" bottom="1" header="0.5" footer="0.5"/>
  <pageSetup orientation="landscape" fitToHeight="1" fitToWidth="1"/>
  <headerFooter>
    <oddHeader/>
    <oddFooter>&amp;CHotel Purchase Order Tracker&amp;RPage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P255"/>
  <sheetViews>
    <sheetView zoomScale="70" zoomScaleNormal="70" workbookViewId="0">
      <pane ySplit="5" topLeftCell="A6" activePane="bottomLeft" state="frozen"/>
      <selection pane="bottomLeft" activeCell="A1" sqref="A1"/>
    </sheetView>
  </sheetViews>
  <sheetFormatPr baseColWidth="8" defaultRowHeight="15"/>
  <cols>
    <col width="16" customWidth="1" min="1" max="1"/>
    <col width="27" customWidth="1" min="2" max="2"/>
    <col width="21" customWidth="1" min="3" max="3"/>
    <col width="18" customWidth="1" min="4" max="4"/>
    <col width="11" customWidth="1" min="5" max="5"/>
    <col width="31" customWidth="1" min="6" max="6"/>
    <col width="22" customWidth="1" min="7" max="7"/>
    <col width="13" customWidth="1" min="8" max="8"/>
    <col width="13" customWidth="1" min="9" max="9"/>
    <col width="17" customWidth="1" min="10" max="10"/>
    <col width="18" customWidth="1" min="11" max="11"/>
    <col width="13" customWidth="1" min="12" max="12"/>
    <col width="13" customWidth="1" min="13" max="13"/>
    <col width="13" customWidth="1" min="14" max="14"/>
    <col width="13" customWidth="1" min="15" max="15"/>
    <col width="16" customWidth="1" min="16" max="16"/>
    <col width="38" customWidth="1" min="17" max="17"/>
    <col width="15" customWidth="1" min="18" max="18"/>
    <col width="14" customWidth="1" min="19" max="19"/>
    <col width="13" customWidth="1" min="20" max="20"/>
    <col width="11" customWidth="1" min="21" max="21"/>
    <col width="12" customWidth="1" min="22" max="22"/>
    <col width="12" customWidth="1" min="23" max="23"/>
    <col width="15" customWidth="1" min="24" max="24"/>
    <col width="13" customWidth="1" min="25" max="25"/>
    <col width="15" customWidth="1" min="26" max="26"/>
    <col width="16" customWidth="1" min="27" max="27"/>
    <col width="16" customWidth="1" min="28" max="28"/>
    <col width="20" customWidth="1" min="29" max="29"/>
    <col width="35" customWidth="1" min="30" max="30"/>
    <col width="17" customWidth="1" min="31" max="31"/>
    <col width="13" customWidth="1" min="32" max="32"/>
    <col width="15" customWidth="1" min="33" max="33"/>
    <col width="15" customWidth="1" min="34" max="34"/>
    <col width="18" customWidth="1" min="35" max="35"/>
    <col width="23" customWidth="1" min="36" max="36"/>
    <col width="13" customWidth="1" min="37" max="37"/>
    <col width="20" customWidth="1" min="38" max="38"/>
    <col width="12" customWidth="1" min="39" max="39"/>
    <col width="22" customWidth="1" min="40" max="40"/>
    <col width="35" customWidth="1" min="41" max="41"/>
    <col hidden="1" width="13" customWidth="1" min="42" max="42"/>
  </cols>
  <sheetData>
    <row r="1">
      <c r="A1" s="1" t="inlineStr">
        <is>
          <t>Purchase Order Register</t>
        </is>
      </c>
    </row>
    <row r="2">
      <c r="A2" s="2" t="inlineStr">
        <is>
          <t>Enter purchasing, approval, receiving, and invoice details in the gold cells. Calculated fields update automatically.</t>
        </is>
      </c>
    </row>
    <row r="3">
      <c r="A3" s="2" t="inlineStr">
        <is>
          <t>Do not overwrite gray formula columns. Use the Attention Flag to prioritize follow-up.</t>
        </is>
      </c>
    </row>
    <row r="5" ht="42" customHeight="1">
      <c r="A5" s="22" t="inlineStr">
        <is>
          <t>PO Number</t>
        </is>
      </c>
      <c r="B5" s="22" t="inlineStr">
        <is>
          <t>Property</t>
        </is>
      </c>
      <c r="C5" s="22" t="inlineStr">
        <is>
          <t>Department</t>
        </is>
      </c>
      <c r="D5" s="22" t="inlineStr">
        <is>
          <t>Requester</t>
        </is>
      </c>
      <c r="E5" s="22" t="inlineStr">
        <is>
          <t>Vendor ID</t>
        </is>
      </c>
      <c r="F5" s="22" t="inlineStr">
        <is>
          <t>Vendor Name</t>
        </is>
      </c>
      <c r="G5" s="22" t="inlineStr">
        <is>
          <t>External System Reference</t>
        </is>
      </c>
      <c r="H5" s="22" t="inlineStr">
        <is>
          <t>PO Date</t>
        </is>
      </c>
      <c r="I5" s="22" t="inlineStr">
        <is>
          <t>Need-By Date</t>
        </is>
      </c>
      <c r="J5" s="22" t="inlineStr">
        <is>
          <t>Approval Status</t>
        </is>
      </c>
      <c r="K5" s="22" t="inlineStr">
        <is>
          <t>Approved By</t>
        </is>
      </c>
      <c r="L5" s="22" t="inlineStr">
        <is>
          <t>Approval Date</t>
        </is>
      </c>
      <c r="M5" s="22" t="inlineStr">
        <is>
          <t>Approval Days</t>
        </is>
      </c>
      <c r="N5" s="22" t="inlineStr">
        <is>
          <t>PO Status</t>
        </is>
      </c>
      <c r="O5" s="22" t="inlineStr">
        <is>
          <t>Closed Date</t>
        </is>
      </c>
      <c r="P5" s="22" t="inlineStr">
        <is>
          <t>Cost Code</t>
        </is>
      </c>
      <c r="Q5" s="22" t="inlineStr">
        <is>
          <t>Item or Service Description</t>
        </is>
      </c>
      <c r="R5" s="22" t="inlineStr">
        <is>
          <t>Quantity Ordered</t>
        </is>
      </c>
      <c r="S5" s="22" t="inlineStr">
        <is>
          <t>Unit Cost</t>
        </is>
      </c>
      <c r="T5" s="22" t="inlineStr">
        <is>
          <t>Discount</t>
        </is>
      </c>
      <c r="U5" s="22" t="inlineStr">
        <is>
          <t>Taxable</t>
        </is>
      </c>
      <c r="V5" s="22" t="inlineStr">
        <is>
          <t>Tax Rate</t>
        </is>
      </c>
      <c r="W5" s="22" t="inlineStr">
        <is>
          <t>Freight</t>
        </is>
      </c>
      <c r="X5" s="22" t="inlineStr">
        <is>
          <t>Line Subtotal</t>
        </is>
      </c>
      <c r="Y5" s="22" t="inlineStr">
        <is>
          <t>Tax Amount</t>
        </is>
      </c>
      <c r="Z5" s="22" t="inlineStr">
        <is>
          <t>Expected Total</t>
        </is>
      </c>
      <c r="AA5" s="22" t="inlineStr">
        <is>
          <t>Quantity Received</t>
        </is>
      </c>
      <c r="AB5" s="22" t="inlineStr">
        <is>
          <t>Last Received Date</t>
        </is>
      </c>
      <c r="AC5" s="22" t="inlineStr">
        <is>
          <t>Receipt Status</t>
        </is>
      </c>
      <c r="AD5" s="22" t="inlineStr">
        <is>
          <t>Receiving Notes</t>
        </is>
      </c>
      <c r="AE5" s="22" t="inlineStr">
        <is>
          <t>Invoice Number</t>
        </is>
      </c>
      <c r="AF5" s="22" t="inlineStr">
        <is>
          <t>Invoice Date</t>
        </is>
      </c>
      <c r="AG5" s="22" t="inlineStr">
        <is>
          <t>Invoice Amount</t>
        </is>
      </c>
      <c r="AH5" s="22" t="inlineStr">
        <is>
          <t>Invoice Variance</t>
        </is>
      </c>
      <c r="AI5" s="22" t="inlineStr">
        <is>
          <t>Invoice Variance Percent</t>
        </is>
      </c>
      <c r="AJ5" s="22" t="inlineStr">
        <is>
          <t>Payment Status</t>
        </is>
      </c>
      <c r="AK5" s="22" t="inlineStr">
        <is>
          <t>Payment Date</t>
        </is>
      </c>
      <c r="AL5" s="22" t="inlineStr">
        <is>
          <t>Uninvoiced Commitment</t>
        </is>
      </c>
      <c r="AM5" s="22" t="inlineStr">
        <is>
          <t>Days Open</t>
        </is>
      </c>
      <c r="AN5" s="22" t="inlineStr">
        <is>
          <t>Attention Flag</t>
        </is>
      </c>
      <c r="AO5" s="22" t="inlineStr">
        <is>
          <t>Buyer Notes</t>
        </is>
      </c>
    </row>
    <row r="6">
      <c r="A6" s="23" t="inlineStr">
        <is>
          <t>PO-2026-0001</t>
        </is>
      </c>
      <c r="B6" s="23" t="inlineStr">
        <is>
          <t>Harbor View Hotel</t>
        </is>
      </c>
      <c r="C6" s="23" t="inlineStr">
        <is>
          <t>Housekeeping</t>
        </is>
      </c>
      <c r="D6" s="23" t="inlineStr">
        <is>
          <t>Maria Lopez</t>
        </is>
      </c>
      <c r="E6" s="23" t="inlineStr">
        <is>
          <t>V001</t>
        </is>
      </c>
      <c r="F6" s="24">
        <f>IFERROR(IF($E6="","",VLOOKUP($E6,'Settings'!$G$16:$M$115,2,0)),"")</f>
        <v/>
      </c>
      <c r="G6" s="25" t="inlineStr">
        <is>
          <t>ACCT-64018</t>
        </is>
      </c>
      <c r="H6" s="51" t="n">
        <v>46027</v>
      </c>
      <c r="I6" s="51" t="n">
        <v>46034</v>
      </c>
      <c r="J6" s="23" t="inlineStr">
        <is>
          <t>Approved</t>
        </is>
      </c>
      <c r="K6" s="23" t="inlineStr">
        <is>
          <t>Daniel Reed</t>
        </is>
      </c>
      <c r="L6" s="51" t="n">
        <v>46027</v>
      </c>
      <c r="M6" s="27">
        <f>IFERROR(IF($A6="","",IF($J6="Approved",MAX(0,$L6-$H6),"")),"")</f>
        <v/>
      </c>
      <c r="N6" s="23" t="inlineStr">
        <is>
          <t>Closed</t>
        </is>
      </c>
      <c r="O6" s="51" t="n">
        <v>46035</v>
      </c>
      <c r="P6" s="23" t="inlineStr">
        <is>
          <t>HK-LINEN</t>
        </is>
      </c>
      <c r="Q6" s="25" t="inlineStr">
        <is>
          <t>King sheet sets for guest rooms</t>
        </is>
      </c>
      <c r="R6" s="28" t="n">
        <v>48</v>
      </c>
      <c r="S6" s="52" t="n">
        <v>42.5</v>
      </c>
      <c r="T6" s="52" t="n">
        <v>100</v>
      </c>
      <c r="U6" s="23" t="inlineStr">
        <is>
          <t>Yes</t>
        </is>
      </c>
      <c r="V6" s="30" t="n">
        <v>0.0625</v>
      </c>
      <c r="W6" s="52" t="n">
        <v>85</v>
      </c>
      <c r="X6" s="53">
        <f>IFERROR(IF($A6="","",MAX(0,$R6*$S6-$T6)),"")</f>
        <v/>
      </c>
      <c r="Y6" s="53">
        <f>IFERROR(IF($A6="","",IF($U6="Yes",$X6*$V6,0)),"")</f>
        <v/>
      </c>
      <c r="Z6" s="53">
        <f>IFERROR(IF($A6="","",$X6+$Y6+$W6),"")</f>
        <v/>
      </c>
      <c r="AA6" s="28" t="n">
        <v>48</v>
      </c>
      <c r="AB6" s="51" t="n">
        <v>46033</v>
      </c>
      <c r="AC6" s="24">
        <f>IFERROR(IF($A6="","",IF($N6="Canceled","Canceled",IF($AA6=0,"Not Received",IF($AA6&lt;$R6,"Partially Received",IF($AA6=$R6,"Fully Received","Over Received"))))),"")</f>
        <v/>
      </c>
      <c r="AD6" s="25" t="inlineStr">
        <is>
          <t>All cartons received in good condition.</t>
        </is>
      </c>
      <c r="AE6" s="23" t="inlineStr">
        <is>
          <t>INV-81042</t>
        </is>
      </c>
      <c r="AF6" s="51" t="n">
        <v>46034</v>
      </c>
      <c r="AG6" s="52" t="n">
        <v>2147.5</v>
      </c>
      <c r="AH6" s="53">
        <f>IFERROR(IF($A6="","",IF($AG6="","",$AG6-$Z6)),"")</f>
        <v/>
      </c>
      <c r="AI6" s="32">
        <f>IFERROR(IF($A6="","",IF(OR($AG6="",$Z6=0),"",($AG6-$Z6)/$Z6)),"")</f>
        <v/>
      </c>
      <c r="AJ6" s="23" t="inlineStr">
        <is>
          <t>Paid</t>
        </is>
      </c>
      <c r="AK6" s="51" t="n">
        <v>46042</v>
      </c>
      <c r="AL6" s="53">
        <f>IFERROR(IF($A6="","",IF(OR($N6="Canceled",$N6="Closed"),0,MAX($Z6-IF($AG6="",0,$AG6),0))),"")</f>
        <v/>
      </c>
      <c r="AM6" s="27">
        <f>IFERROR(IF($A6="","",IF(OR($N6="Closed",$N6="Canceled"),IF($O6="","",MAX(0,$O6-$H6)),MAX(0,TODAY()-$H6))),"")</f>
        <v/>
      </c>
      <c r="AN6" s="24">
        <f>IFERROR(IF($A6="","",IF($AA6&gt;$R6,"Over Received",IF(AND($J6="Approved",OR($K6="",$L6="")),"Approval Missing",IF(AND($J6="Pending",$AM6&gt;'Settings'!$B$7),"Approval Follow-Up",IF(AND($N6="Open",$I6&lt;&gt;"",$I6+'Settings'!$B$8&lt;TODAY(),$AA6&lt;$R6),"Delivery Overdue",IF(AND($AG6&lt;&gt;"",OR(ABS($AH6)&gt;'Settings'!$B$9,ABS($AI6)&gt;'Settings'!$B$10)),"Invoice Variance",IF(AND($N6="Open",$AM6&gt;'Settings'!$B$11),"Aging Open PO",""))))))),"")</f>
        <v/>
      </c>
      <c r="AO6" s="25" t="inlineStr">
        <is>
          <t>Closed after invoice review.</t>
        </is>
      </c>
      <c r="AP6" s="24">
        <f>IFERROR(IF(AND($AN6&lt;&gt;"",$N6&lt;&gt;"Closed",$N6&lt;&gt;"Canceled",OR('Dashboard'!$B$4="All",$B6='Dashboard'!$B$4),OR('Dashboard'!$D$4="All",$C6='Dashboard'!$D$4)),COUNTIFS($AN$6:$AN6,"&lt;&gt;",$N$6:$N6,"&lt;&gt;Closed",$N$6:$N6,"&lt;&gt;Canceled",$B$6:$B6,IF('Dashboard'!$B$4="All","&lt;&gt;",'Dashboard'!$B$4),$C$6:$C6,IF('Dashboard'!$D$4="All","&lt;&gt;",'Dashboard'!$D$4)),""),"")</f>
        <v/>
      </c>
    </row>
    <row r="7">
      <c r="A7" s="23" t="inlineStr">
        <is>
          <t>PO-2026-0002</t>
        </is>
      </c>
      <c r="B7" s="23" t="inlineStr">
        <is>
          <t>Harbor View Hotel</t>
        </is>
      </c>
      <c r="C7" s="23" t="inlineStr">
        <is>
          <t>Engineering</t>
        </is>
      </c>
      <c r="D7" s="23" t="inlineStr">
        <is>
          <t>Kevin Brooks</t>
        </is>
      </c>
      <c r="E7" s="23" t="inlineStr">
        <is>
          <t>V002</t>
        </is>
      </c>
      <c r="F7" s="24">
        <f>IFERROR(IF($E7="","",VLOOKUP($E7,'Settings'!$G$16:$M$115,2,0)),"")</f>
        <v/>
      </c>
      <c r="G7" s="25" t="inlineStr">
        <is>
          <t>ENG-WO-2287</t>
        </is>
      </c>
      <c r="H7" s="51" t="n">
        <v>46040</v>
      </c>
      <c r="I7" s="51" t="n">
        <v>46050</v>
      </c>
      <c r="J7" s="23" t="inlineStr">
        <is>
          <t>Approved</t>
        </is>
      </c>
      <c r="K7" s="23" t="inlineStr">
        <is>
          <t>Daniel Reed</t>
        </is>
      </c>
      <c r="L7" s="51" t="n">
        <v>46041</v>
      </c>
      <c r="M7" s="27">
        <f>IFERROR(IF($A7="","",IF($J7="Approved",MAX(0,$L7-$H7),"")),"")</f>
        <v/>
      </c>
      <c r="N7" s="23" t="inlineStr">
        <is>
          <t>Open</t>
        </is>
      </c>
      <c r="O7" s="51" t="inlineStr"/>
      <c r="P7" s="23" t="inlineStr">
        <is>
          <t>ENG-HVAC</t>
        </is>
      </c>
      <c r="Q7" s="25" t="inlineStr">
        <is>
          <t>Guest room fan coil filters</t>
        </is>
      </c>
      <c r="R7" s="28" t="n">
        <v>120</v>
      </c>
      <c r="S7" s="52" t="n">
        <v>8.75</v>
      </c>
      <c r="T7" s="52" t="n">
        <v>0</v>
      </c>
      <c r="U7" s="23" t="inlineStr">
        <is>
          <t>Yes</t>
        </is>
      </c>
      <c r="V7" s="30" t="n">
        <v>0.0625</v>
      </c>
      <c r="W7" s="52" t="n">
        <v>40</v>
      </c>
      <c r="X7" s="53">
        <f>IFERROR(IF($A7="","",MAX(0,$R7*$S7-$T7)),"")</f>
        <v/>
      </c>
      <c r="Y7" s="53">
        <f>IFERROR(IF($A7="","",IF($U7="Yes",$X7*$V7,0)),"")</f>
        <v/>
      </c>
      <c r="Z7" s="53">
        <f>IFERROR(IF($A7="","",$X7+$Y7+$W7),"")</f>
        <v/>
      </c>
      <c r="AA7" s="28" t="n">
        <v>80</v>
      </c>
      <c r="AB7" s="51" t="n">
        <v>46049</v>
      </c>
      <c r="AC7" s="24">
        <f>IFERROR(IF($A7="","",IF($N7="Canceled","Canceled",IF($AA7=0,"Not Received",IF($AA7&lt;$R7,"Partially Received",IF($AA7=$R7,"Fully Received","Over Received"))))),"")</f>
        <v/>
      </c>
      <c r="AD7" s="25" t="inlineStr">
        <is>
          <t>Forty filters remain on back order.</t>
        </is>
      </c>
      <c r="AE7" s="23" t="inlineStr"/>
      <c r="AF7" s="51" t="inlineStr"/>
      <c r="AG7" s="52" t="inlineStr"/>
      <c r="AH7" s="53">
        <f>IFERROR(IF($A7="","",IF($AG7="","",$AG7-$Z7)),"")</f>
        <v/>
      </c>
      <c r="AI7" s="32">
        <f>IFERROR(IF($A7="","",IF(OR($AG7="",$Z7=0),"",($AG7-$Z7)/$Z7)),"")</f>
        <v/>
      </c>
      <c r="AJ7" s="23" t="inlineStr">
        <is>
          <t>Not Invoiced</t>
        </is>
      </c>
      <c r="AK7" s="51" t="inlineStr"/>
      <c r="AL7" s="53">
        <f>IFERROR(IF($A7="","",IF(OR($N7="Canceled",$N7="Closed"),0,MAX($Z7-IF($AG7="",0,$AG7),0))),"")</f>
        <v/>
      </c>
      <c r="AM7" s="27">
        <f>IFERROR(IF($A7="","",IF(OR($N7="Closed",$N7="Canceled"),IF($O7="","",MAX(0,$O7-$H7)),MAX(0,TODAY()-$H7))),"")</f>
        <v/>
      </c>
      <c r="AN7" s="24">
        <f>IFERROR(IF($A7="","",IF($AA7&gt;$R7,"Over Received",IF(AND($J7="Approved",OR($K7="",$L7="")),"Approval Missing",IF(AND($J7="Pending",$AM7&gt;'Settings'!$B$7),"Approval Follow-Up",IF(AND($N7="Open",$I7&lt;&gt;"",$I7+'Settings'!$B$8&lt;TODAY(),$AA7&lt;$R7),"Delivery Overdue",IF(AND($AG7&lt;&gt;"",OR(ABS($AH7)&gt;'Settings'!$B$9,ABS($AI7)&gt;'Settings'!$B$10)),"Invoice Variance",IF(AND($N7="Open",$AM7&gt;'Settings'!$B$11),"Aging Open PO",""))))))),"")</f>
        <v/>
      </c>
      <c r="AO7" s="25" t="inlineStr">
        <is>
          <t>Follow up with vendor on back order.</t>
        </is>
      </c>
      <c r="AP7" s="24">
        <f>IFERROR(IF(AND($AN7&lt;&gt;"",$N7&lt;&gt;"Closed",$N7&lt;&gt;"Canceled",OR('Dashboard'!$B$4="All",$B7='Dashboard'!$B$4),OR('Dashboard'!$D$4="All",$C7='Dashboard'!$D$4)),COUNTIFS($AN$6:$AN7,"&lt;&gt;",$N$6:$N7,"&lt;&gt;Closed",$N$6:$N7,"&lt;&gt;Canceled",$B$6:$B7,IF('Dashboard'!$B$4="All","&lt;&gt;",'Dashboard'!$B$4),$C$6:$C7,IF('Dashboard'!$D$4="All","&lt;&gt;",'Dashboard'!$D$4)),""),"")</f>
        <v/>
      </c>
    </row>
    <row r="8">
      <c r="A8" s="23" t="inlineStr">
        <is>
          <t>PO-2026-0003</t>
        </is>
      </c>
      <c r="B8" s="23" t="inlineStr">
        <is>
          <t>Harbor View Hotel</t>
        </is>
      </c>
      <c r="C8" s="23" t="inlineStr">
        <is>
          <t>Food and Beverage</t>
        </is>
      </c>
      <c r="D8" s="23" t="inlineStr">
        <is>
          <t>Alicia Grant</t>
        </is>
      </c>
      <c r="E8" s="23" t="inlineStr">
        <is>
          <t>V003</t>
        </is>
      </c>
      <c r="F8" s="24">
        <f>IFERROR(IF($E8="","",VLOOKUP($E8,'Settings'!$G$16:$M$115,2,0)),"")</f>
        <v/>
      </c>
      <c r="G8" s="25" t="inlineStr">
        <is>
          <t>BANQ-2048</t>
        </is>
      </c>
      <c r="H8" s="51" t="n">
        <v>46055</v>
      </c>
      <c r="I8" s="51" t="n">
        <v>46059</v>
      </c>
      <c r="J8" s="23" t="inlineStr">
        <is>
          <t>Approved</t>
        </is>
      </c>
      <c r="K8" s="23" t="inlineStr">
        <is>
          <t>Priya Shah</t>
        </is>
      </c>
      <c r="L8" s="51" t="n">
        <v>46055</v>
      </c>
      <c r="M8" s="27">
        <f>IFERROR(IF($A8="","",IF($J8="Approved",MAX(0,$L8-$H8),"")),"")</f>
        <v/>
      </c>
      <c r="N8" s="23" t="inlineStr">
        <is>
          <t>Closed</t>
        </is>
      </c>
      <c r="O8" s="51" t="n">
        <v>46061</v>
      </c>
      <c r="P8" s="23" t="inlineStr">
        <is>
          <t>FB-SMALLWARE</t>
        </is>
      </c>
      <c r="Q8" s="25" t="inlineStr">
        <is>
          <t>Banquet glassware replacement</t>
        </is>
      </c>
      <c r="R8" s="28" t="n">
        <v>144</v>
      </c>
      <c r="S8" s="52" t="n">
        <v>6.2</v>
      </c>
      <c r="T8" s="52" t="n">
        <v>50</v>
      </c>
      <c r="U8" s="23" t="inlineStr">
        <is>
          <t>Yes</t>
        </is>
      </c>
      <c r="V8" s="30" t="n">
        <v>0.0625</v>
      </c>
      <c r="W8" s="52" t="n">
        <v>60</v>
      </c>
      <c r="X8" s="53">
        <f>IFERROR(IF($A8="","",MAX(0,$R8*$S8-$T8)),"")</f>
        <v/>
      </c>
      <c r="Y8" s="53">
        <f>IFERROR(IF($A8="","",IF($U8="Yes",$X8*$V8,0)),"")</f>
        <v/>
      </c>
      <c r="Z8" s="53">
        <f>IFERROR(IF($A8="","",$X8+$Y8+$W8),"")</f>
        <v/>
      </c>
      <c r="AA8" s="28" t="n">
        <v>144</v>
      </c>
      <c r="AB8" s="51" t="n">
        <v>46058</v>
      </c>
      <c r="AC8" s="24">
        <f>IFERROR(IF($A8="","",IF($N8="Canceled","Canceled",IF($AA8=0,"Not Received",IF($AA8&lt;$R8,"Partially Received",IF($AA8=$R8,"Fully Received","Over Received"))))),"")</f>
        <v/>
      </c>
      <c r="AD8" s="25" t="inlineStr">
        <is>
          <t>Two cartons inspected; no damage found.</t>
        </is>
      </c>
      <c r="AE8" s="23" t="inlineStr">
        <is>
          <t>BGS-2048</t>
        </is>
      </c>
      <c r="AF8" s="51" t="n">
        <v>46059</v>
      </c>
      <c r="AG8" s="52" t="n">
        <v>955.88</v>
      </c>
      <c r="AH8" s="53">
        <f>IFERROR(IF($A8="","",IF($AG8="","",$AG8-$Z8)),"")</f>
        <v/>
      </c>
      <c r="AI8" s="32">
        <f>IFERROR(IF($A8="","",IF(OR($AG8="",$Z8=0),"",($AG8-$Z8)/$Z8)),"")</f>
        <v/>
      </c>
      <c r="AJ8" s="23" t="inlineStr">
        <is>
          <t>Paid</t>
        </is>
      </c>
      <c r="AK8" s="51" t="n">
        <v>46071</v>
      </c>
      <c r="AL8" s="53">
        <f>IFERROR(IF($A8="","",IF(OR($N8="Canceled",$N8="Closed"),0,MAX($Z8-IF($AG8="",0,$AG8),0))),"")</f>
        <v/>
      </c>
      <c r="AM8" s="27">
        <f>IFERROR(IF($A8="","",IF(OR($N8="Closed",$N8="Canceled"),IF($O8="","",MAX(0,$O8-$H8)),MAX(0,TODAY()-$H8))),"")</f>
        <v/>
      </c>
      <c r="AN8" s="24">
        <f>IFERROR(IF($A8="","",IF($AA8&gt;$R8,"Over Received",IF(AND($J8="Approved",OR($K8="",$L8="")),"Approval Missing",IF(AND($J8="Pending",$AM8&gt;'Settings'!$B$7),"Approval Follow-Up",IF(AND($N8="Open",$I8&lt;&gt;"",$I8+'Settings'!$B$8&lt;TODAY(),$AA8&lt;$R8),"Delivery Overdue",IF(AND($AG8&lt;&gt;"",OR(ABS($AH8)&gt;'Settings'!$B$9,ABS($AI8)&gt;'Settings'!$B$10)),"Invoice Variance",IF(AND($N8="Open",$AM8&gt;'Settings'!$B$11),"Aging Open PO",""))))))),"")</f>
        <v/>
      </c>
      <c r="AO8" s="25" t="inlineStr">
        <is>
          <t>Variance accepted after freight review.</t>
        </is>
      </c>
      <c r="AP8" s="24">
        <f>IFERROR(IF(AND($AN8&lt;&gt;"",$N8&lt;&gt;"Closed",$N8&lt;&gt;"Canceled",OR('Dashboard'!$B$4="All",$B8='Dashboard'!$B$4),OR('Dashboard'!$D$4="All",$C8='Dashboard'!$D$4)),COUNTIFS($AN$6:$AN8,"&lt;&gt;",$N$6:$N8,"&lt;&gt;Closed",$N$6:$N8,"&lt;&gt;Canceled",$B$6:$B8,IF('Dashboard'!$B$4="All","&lt;&gt;",'Dashboard'!$B$4),$C$6:$C8,IF('Dashboard'!$D$4="All","&lt;&gt;",'Dashboard'!$D$4)),""),"")</f>
        <v/>
      </c>
    </row>
    <row r="9">
      <c r="A9" s="23" t="inlineStr">
        <is>
          <t>PO-2026-0004</t>
        </is>
      </c>
      <c r="B9" s="23" t="inlineStr">
        <is>
          <t>Harbor View Hotel</t>
        </is>
      </c>
      <c r="C9" s="23" t="inlineStr">
        <is>
          <t>Front Office</t>
        </is>
      </c>
      <c r="D9" s="23" t="inlineStr">
        <is>
          <t>Tyler Nguyen</t>
        </is>
      </c>
      <c r="E9" s="23" t="inlineStr">
        <is>
          <t>V004</t>
        </is>
      </c>
      <c r="F9" s="24">
        <f>IFERROR(IF($E9="","",VLOOKUP($E9,'Settings'!$G$16:$M$115,2,0)),"")</f>
        <v/>
      </c>
      <c r="G9" s="25" t="inlineStr">
        <is>
          <t>FO-KEY-102</t>
        </is>
      </c>
      <c r="H9" s="51" t="n">
        <v>46065</v>
      </c>
      <c r="I9" s="51" t="n">
        <v>46073</v>
      </c>
      <c r="J9" s="23" t="inlineStr">
        <is>
          <t>Pending</t>
        </is>
      </c>
      <c r="K9" s="23" t="inlineStr"/>
      <c r="L9" s="51" t="inlineStr"/>
      <c r="M9" s="27">
        <f>IFERROR(IF($A9="","",IF($J9="Approved",MAX(0,$L9-$H9),"")),"")</f>
        <v/>
      </c>
      <c r="N9" s="23" t="inlineStr">
        <is>
          <t>Open</t>
        </is>
      </c>
      <c r="O9" s="51" t="inlineStr"/>
      <c r="P9" s="23" t="inlineStr">
        <is>
          <t>FO-SUPPLIES</t>
        </is>
      </c>
      <c r="Q9" s="25" t="inlineStr">
        <is>
          <t>Guest key card stock</t>
        </is>
      </c>
      <c r="R9" s="28" t="n">
        <v>10000</v>
      </c>
      <c r="S9" s="52" t="n">
        <v>0.09</v>
      </c>
      <c r="T9" s="52" t="n">
        <v>0</v>
      </c>
      <c r="U9" s="23" t="inlineStr">
        <is>
          <t>Yes</t>
        </is>
      </c>
      <c r="V9" s="30" t="n">
        <v>0.0625</v>
      </c>
      <c r="W9" s="52" t="n">
        <v>35</v>
      </c>
      <c r="X9" s="53">
        <f>IFERROR(IF($A9="","",MAX(0,$R9*$S9-$T9)),"")</f>
        <v/>
      </c>
      <c r="Y9" s="53">
        <f>IFERROR(IF($A9="","",IF($U9="Yes",$X9*$V9,0)),"")</f>
        <v/>
      </c>
      <c r="Z9" s="53">
        <f>IFERROR(IF($A9="","",$X9+$Y9+$W9),"")</f>
        <v/>
      </c>
      <c r="AA9" s="28" t="n">
        <v>0</v>
      </c>
      <c r="AB9" s="51" t="inlineStr"/>
      <c r="AC9" s="24">
        <f>IFERROR(IF($A9="","",IF($N9="Canceled","Canceled",IF($AA9=0,"Not Received",IF($AA9&lt;$R9,"Partially Received",IF($AA9=$R9,"Fully Received","Over Received"))))),"")</f>
        <v/>
      </c>
      <c r="AD9" s="25" t="inlineStr"/>
      <c r="AE9" s="23" t="inlineStr"/>
      <c r="AF9" s="51" t="inlineStr"/>
      <c r="AG9" s="52" t="inlineStr"/>
      <c r="AH9" s="53">
        <f>IFERROR(IF($A9="","",IF($AG9="","",$AG9-$Z9)),"")</f>
        <v/>
      </c>
      <c r="AI9" s="32">
        <f>IFERROR(IF($A9="","",IF(OR($AG9="",$Z9=0),"",($AG9-$Z9)/$Z9)),"")</f>
        <v/>
      </c>
      <c r="AJ9" s="23" t="inlineStr">
        <is>
          <t>Not Invoiced</t>
        </is>
      </c>
      <c r="AK9" s="51" t="inlineStr"/>
      <c r="AL9" s="53">
        <f>IFERROR(IF($A9="","",IF(OR($N9="Canceled",$N9="Closed"),0,MAX($Z9-IF($AG9="",0,$AG9),0))),"")</f>
        <v/>
      </c>
      <c r="AM9" s="27">
        <f>IFERROR(IF($A9="","",IF(OR($N9="Closed",$N9="Canceled"),IF($O9="","",MAX(0,$O9-$H9)),MAX(0,TODAY()-$H9))),"")</f>
        <v/>
      </c>
      <c r="AN9" s="24">
        <f>IFERROR(IF($A9="","",IF($AA9&gt;$R9,"Over Received",IF(AND($J9="Approved",OR($K9="",$L9="")),"Approval Missing",IF(AND($J9="Pending",$AM9&gt;'Settings'!$B$7),"Approval Follow-Up",IF(AND($N9="Open",$I9&lt;&gt;"",$I9+'Settings'!$B$8&lt;TODAY(),$AA9&lt;$R9),"Delivery Overdue",IF(AND($AG9&lt;&gt;"",OR(ABS($AH9)&gt;'Settings'!$B$9,ABS($AI9)&gt;'Settings'!$B$10)),"Invoice Variance",IF(AND($N9="Open",$AM9&gt;'Settings'!$B$11),"Aging Open PO",""))))))),"")</f>
        <v/>
      </c>
      <c r="AO9" s="25" t="inlineStr">
        <is>
          <t>Awaiting department head approval.</t>
        </is>
      </c>
      <c r="AP9" s="24">
        <f>IFERROR(IF(AND($AN9&lt;&gt;"",$N9&lt;&gt;"Closed",$N9&lt;&gt;"Canceled",OR('Dashboard'!$B$4="All",$B9='Dashboard'!$B$4),OR('Dashboard'!$D$4="All",$C9='Dashboard'!$D$4)),COUNTIFS($AN$6:$AN9,"&lt;&gt;",$N$6:$N9,"&lt;&gt;Closed",$N$6:$N9,"&lt;&gt;Canceled",$B$6:$B9,IF('Dashboard'!$B$4="All","&lt;&gt;",'Dashboard'!$B$4),$C$6:$C9,IF('Dashboard'!$D$4="All","&lt;&gt;",'Dashboard'!$D$4)),""),"")</f>
        <v/>
      </c>
    </row>
    <row r="10">
      <c r="A10" s="23" t="inlineStr">
        <is>
          <t>PO-2026-0005</t>
        </is>
      </c>
      <c r="B10" s="23" t="inlineStr">
        <is>
          <t>Lakeside Conference Center</t>
        </is>
      </c>
      <c r="C10" s="23" t="inlineStr">
        <is>
          <t>Events</t>
        </is>
      </c>
      <c r="D10" s="23" t="inlineStr">
        <is>
          <t>Jordan Ellis</t>
        </is>
      </c>
      <c r="E10" s="23" t="inlineStr">
        <is>
          <t>V005</t>
        </is>
      </c>
      <c r="F10" s="24">
        <f>IFERROR(IF($E10="","",VLOOKUP($E10,'Settings'!$G$16:$M$115,2,0)),"")</f>
        <v/>
      </c>
      <c r="G10" s="25" t="inlineStr">
        <is>
          <t>EVENT-5531</t>
        </is>
      </c>
      <c r="H10" s="51" t="n">
        <v>46084</v>
      </c>
      <c r="I10" s="51" t="n">
        <v>46099</v>
      </c>
      <c r="J10" s="23" t="inlineStr">
        <is>
          <t>Approved</t>
        </is>
      </c>
      <c r="K10" s="23" t="inlineStr">
        <is>
          <t>Monica Price</t>
        </is>
      </c>
      <c r="L10" s="51" t="n">
        <v>46085</v>
      </c>
      <c r="M10" s="27">
        <f>IFERROR(IF($A10="","",IF($J10="Approved",MAX(0,$L10-$H10),"")),"")</f>
        <v/>
      </c>
      <c r="N10" s="23" t="inlineStr">
        <is>
          <t>Open</t>
        </is>
      </c>
      <c r="O10" s="51" t="inlineStr"/>
      <c r="P10" s="23" t="inlineStr">
        <is>
          <t>EVT-RENTAL</t>
        </is>
      </c>
      <c r="Q10" s="25" t="inlineStr">
        <is>
          <t>Portable staging rental for conference</t>
        </is>
      </c>
      <c r="R10" s="28" t="n">
        <v>1</v>
      </c>
      <c r="S10" s="52" t="n">
        <v>2850</v>
      </c>
      <c r="T10" s="52" t="n">
        <v>0</v>
      </c>
      <c r="U10" s="23" t="inlineStr">
        <is>
          <t>No</t>
        </is>
      </c>
      <c r="V10" s="30" t="n">
        <v>0</v>
      </c>
      <c r="W10" s="52" t="n">
        <v>0</v>
      </c>
      <c r="X10" s="53">
        <f>IFERROR(IF($A10="","",MAX(0,$R10*$S10-$T10)),"")</f>
        <v/>
      </c>
      <c r="Y10" s="53">
        <f>IFERROR(IF($A10="","",IF($U10="Yes",$X10*$V10,0)),"")</f>
        <v/>
      </c>
      <c r="Z10" s="53">
        <f>IFERROR(IF($A10="","",$X10+$Y10+$W10),"")</f>
        <v/>
      </c>
      <c r="AA10" s="28" t="n">
        <v>1</v>
      </c>
      <c r="AB10" s="51" t="n">
        <v>46098</v>
      </c>
      <c r="AC10" s="24">
        <f>IFERROR(IF($A10="","",IF($N10="Canceled","Canceled",IF($AA10=0,"Not Received",IF($AA10&lt;$R10,"Partially Received",IF($AA10=$R10,"Fully Received","Over Received"))))),"")</f>
        <v/>
      </c>
      <c r="AD10" s="25" t="inlineStr">
        <is>
          <t>Staging returned; final damage waiver under review.</t>
        </is>
      </c>
      <c r="AE10" s="23" t="inlineStr">
        <is>
          <t>STG-5531</t>
        </is>
      </c>
      <c r="AF10" s="51" t="n">
        <v>46100</v>
      </c>
      <c r="AG10" s="52" t="n">
        <v>3100</v>
      </c>
      <c r="AH10" s="53">
        <f>IFERROR(IF($A10="","",IF($AG10="","",$AG10-$Z10)),"")</f>
        <v/>
      </c>
      <c r="AI10" s="32">
        <f>IFERROR(IF($A10="","",IF(OR($AG10="",$Z10=0),"",($AG10-$Z10)/$Z10)),"")</f>
        <v/>
      </c>
      <c r="AJ10" s="23" t="inlineStr">
        <is>
          <t>On Hold</t>
        </is>
      </c>
      <c r="AK10" s="51" t="inlineStr"/>
      <c r="AL10" s="53">
        <f>IFERROR(IF($A10="","",IF(OR($N10="Canceled",$N10="Closed"),0,MAX($Z10-IF($AG10="",0,$AG10),0))),"")</f>
        <v/>
      </c>
      <c r="AM10" s="27">
        <f>IFERROR(IF($A10="","",IF(OR($N10="Closed",$N10="Canceled"),IF($O10="","",MAX(0,$O10-$H10)),MAX(0,TODAY()-$H10))),"")</f>
        <v/>
      </c>
      <c r="AN10" s="24">
        <f>IFERROR(IF($A10="","",IF($AA10&gt;$R10,"Over Received",IF(AND($J10="Approved",OR($K10="",$L10="")),"Approval Missing",IF(AND($J10="Pending",$AM10&gt;'Settings'!$B$7),"Approval Follow-Up",IF(AND($N10="Open",$I10&lt;&gt;"",$I10+'Settings'!$B$8&lt;TODAY(),$AA10&lt;$R10),"Delivery Overdue",IF(AND($AG10&lt;&gt;"",OR(ABS($AH10)&gt;'Settings'!$B$9,ABS($AI10)&gt;'Settings'!$B$10)),"Invoice Variance",IF(AND($N10="Open",$AM10&gt;'Settings'!$B$11),"Aging Open PO",""))))))),"")</f>
        <v/>
      </c>
      <c r="AO10" s="25" t="inlineStr">
        <is>
          <t>Disputed invoice exceeds quoted rental amount.</t>
        </is>
      </c>
      <c r="AP10" s="24">
        <f>IFERROR(IF(AND($AN10&lt;&gt;"",$N10&lt;&gt;"Closed",$N10&lt;&gt;"Canceled",OR('Dashboard'!$B$4="All",$B10='Dashboard'!$B$4),OR('Dashboard'!$D$4="All",$C10='Dashboard'!$D$4)),COUNTIFS($AN$6:$AN10,"&lt;&gt;",$N$6:$N10,"&lt;&gt;Closed",$N$6:$N10,"&lt;&gt;Canceled",$B$6:$B10,IF('Dashboard'!$B$4="All","&lt;&gt;",'Dashboard'!$B$4),$C$6:$C10,IF('Dashboard'!$D$4="All","&lt;&gt;",'Dashboard'!$D$4)),""),"")</f>
        <v/>
      </c>
    </row>
    <row r="11">
      <c r="A11" s="23" t="inlineStr">
        <is>
          <t>PO-2026-0006</t>
        </is>
      </c>
      <c r="B11" s="23" t="inlineStr">
        <is>
          <t>Lakeside Conference Center</t>
        </is>
      </c>
      <c r="C11" s="23" t="inlineStr">
        <is>
          <t>Engineering</t>
        </is>
      </c>
      <c r="D11" s="23" t="inlineStr">
        <is>
          <t>Samuel Ortiz</t>
        </is>
      </c>
      <c r="E11" s="23" t="inlineStr">
        <is>
          <t>V006</t>
        </is>
      </c>
      <c r="F11" s="24">
        <f>IFERROR(IF($E11="","",VLOOKUP($E11,'Settings'!$G$16:$M$115,2,0)),"")</f>
        <v/>
      </c>
      <c r="G11" s="25" t="inlineStr">
        <is>
          <t>WO-6621</t>
        </is>
      </c>
      <c r="H11" s="51" t="n">
        <v>46096</v>
      </c>
      <c r="I11" s="51" t="n">
        <v>46110</v>
      </c>
      <c r="J11" s="23" t="inlineStr">
        <is>
          <t>Approved</t>
        </is>
      </c>
      <c r="K11" s="23" t="inlineStr">
        <is>
          <t>Monica Price</t>
        </is>
      </c>
      <c r="L11" s="51" t="n">
        <v>46097</v>
      </c>
      <c r="M11" s="27">
        <f>IFERROR(IF($A11="","",IF($J11="Approved",MAX(0,$L11-$H11),"")),"")</f>
        <v/>
      </c>
      <c r="N11" s="23" t="inlineStr">
        <is>
          <t>Open</t>
        </is>
      </c>
      <c r="O11" s="51" t="inlineStr"/>
      <c r="P11" s="23" t="inlineStr">
        <is>
          <t>ENG-REPAIR</t>
        </is>
      </c>
      <c r="Q11" s="25" t="inlineStr">
        <is>
          <t>Ballroom air handler motor</t>
        </is>
      </c>
      <c r="R11" s="28" t="n">
        <v>1</v>
      </c>
      <c r="S11" s="52" t="n">
        <v>1675</v>
      </c>
      <c r="T11" s="52" t="n">
        <v>75</v>
      </c>
      <c r="U11" s="23" t="inlineStr">
        <is>
          <t>Yes</t>
        </is>
      </c>
      <c r="V11" s="30" t="n">
        <v>0.07000000000000001</v>
      </c>
      <c r="W11" s="52" t="n">
        <v>125</v>
      </c>
      <c r="X11" s="53">
        <f>IFERROR(IF($A11="","",MAX(0,$R11*$S11-$T11)),"")</f>
        <v/>
      </c>
      <c r="Y11" s="53">
        <f>IFERROR(IF($A11="","",IF($U11="Yes",$X11*$V11,0)),"")</f>
        <v/>
      </c>
      <c r="Z11" s="53">
        <f>IFERROR(IF($A11="","",$X11+$Y11+$W11),"")</f>
        <v/>
      </c>
      <c r="AA11" s="28" t="n">
        <v>0</v>
      </c>
      <c r="AB11" s="51" t="inlineStr"/>
      <c r="AC11" s="24">
        <f>IFERROR(IF($A11="","",IF($N11="Canceled","Canceled",IF($AA11=0,"Not Received",IF($AA11&lt;$R11,"Partially Received",IF($AA11=$R11,"Fully Received","Over Received"))))),"")</f>
        <v/>
      </c>
      <c r="AD11" s="25" t="inlineStr">
        <is>
          <t>Vendor advised revised ship date.</t>
        </is>
      </c>
      <c r="AE11" s="23" t="inlineStr"/>
      <c r="AF11" s="51" t="inlineStr"/>
      <c r="AG11" s="52" t="inlineStr"/>
      <c r="AH11" s="53">
        <f>IFERROR(IF($A11="","",IF($AG11="","",$AG11-$Z11)),"")</f>
        <v/>
      </c>
      <c r="AI11" s="32">
        <f>IFERROR(IF($A11="","",IF(OR($AG11="",$Z11=0),"",($AG11-$Z11)/$Z11)),"")</f>
        <v/>
      </c>
      <c r="AJ11" s="23" t="inlineStr">
        <is>
          <t>Not Invoiced</t>
        </is>
      </c>
      <c r="AK11" s="51" t="inlineStr"/>
      <c r="AL11" s="53">
        <f>IFERROR(IF($A11="","",IF(OR($N11="Canceled",$N11="Closed"),0,MAX($Z11-IF($AG11="",0,$AG11),0))),"")</f>
        <v/>
      </c>
      <c r="AM11" s="27">
        <f>IFERROR(IF($A11="","",IF(OR($N11="Closed",$N11="Canceled"),IF($O11="","",MAX(0,$O11-$H11)),MAX(0,TODAY()-$H11))),"")</f>
        <v/>
      </c>
      <c r="AN11" s="24">
        <f>IFERROR(IF($A11="","",IF($AA11&gt;$R11,"Over Received",IF(AND($J11="Approved",OR($K11="",$L11="")),"Approval Missing",IF(AND($J11="Pending",$AM11&gt;'Settings'!$B$7),"Approval Follow-Up",IF(AND($N11="Open",$I11&lt;&gt;"",$I11+'Settings'!$B$8&lt;TODAY(),$AA11&lt;$R11),"Delivery Overdue",IF(AND($AG11&lt;&gt;"",OR(ABS($AH11)&gt;'Settings'!$B$9,ABS($AI11)&gt;'Settings'!$B$10)),"Invoice Variance",IF(AND($N11="Open",$AM11&gt;'Settings'!$B$11),"Aging Open PO",""))))))),"")</f>
        <v/>
      </c>
      <c r="AO11" s="25" t="inlineStr">
        <is>
          <t>Request updated delivery confirmation.</t>
        </is>
      </c>
      <c r="AP11" s="24">
        <f>IFERROR(IF(AND($AN11&lt;&gt;"",$N11&lt;&gt;"Closed",$N11&lt;&gt;"Canceled",OR('Dashboard'!$B$4="All",$B11='Dashboard'!$B$4),OR('Dashboard'!$D$4="All",$C11='Dashboard'!$D$4)),COUNTIFS($AN$6:$AN11,"&lt;&gt;",$N$6:$N11,"&lt;&gt;Closed",$N$6:$N11,"&lt;&gt;Canceled",$B$6:$B11,IF('Dashboard'!$B$4="All","&lt;&gt;",'Dashboard'!$B$4),$C$6:$C11,IF('Dashboard'!$D$4="All","&lt;&gt;",'Dashboard'!$D$4)),""),"")</f>
        <v/>
      </c>
    </row>
    <row r="12">
      <c r="A12" s="23" t="inlineStr">
        <is>
          <t>PO-2026-0007</t>
        </is>
      </c>
      <c r="B12" s="23" t="inlineStr">
        <is>
          <t>Lakeside Conference Center</t>
        </is>
      </c>
      <c r="C12" s="23" t="inlineStr">
        <is>
          <t>Food and Beverage</t>
        </is>
      </c>
      <c r="D12" s="23" t="inlineStr">
        <is>
          <t>Renee Carter</t>
        </is>
      </c>
      <c r="E12" s="23" t="inlineStr">
        <is>
          <t>V007</t>
        </is>
      </c>
      <c r="F12" s="24">
        <f>IFERROR(IF($E12="","",VLOOKUP($E12,'Settings'!$G$16:$M$115,2,0)),"")</f>
        <v/>
      </c>
      <c r="G12" s="25" t="inlineStr">
        <is>
          <t>FNB-7740</t>
        </is>
      </c>
      <c r="H12" s="51" t="n">
        <v>46119</v>
      </c>
      <c r="I12" s="51" t="n">
        <v>46122</v>
      </c>
      <c r="J12" s="23" t="inlineStr">
        <is>
          <t>Not Required</t>
        </is>
      </c>
      <c r="K12" s="23" t="inlineStr"/>
      <c r="L12" s="51" t="inlineStr"/>
      <c r="M12" s="27">
        <f>IFERROR(IF($A12="","",IF($J12="Approved",MAX(0,$L12-$H12),"")),"")</f>
        <v/>
      </c>
      <c r="N12" s="23" t="inlineStr">
        <is>
          <t>Closed</t>
        </is>
      </c>
      <c r="O12" s="51" t="n">
        <v>46124</v>
      </c>
      <c r="P12" s="23" t="inlineStr">
        <is>
          <t>FB-FOOD</t>
        </is>
      </c>
      <c r="Q12" s="25" t="inlineStr">
        <is>
          <t>Shelf-stable banquet beverage supplies</t>
        </is>
      </c>
      <c r="R12" s="28" t="n">
        <v>24</v>
      </c>
      <c r="S12" s="52" t="n">
        <v>38</v>
      </c>
      <c r="T12" s="52" t="n">
        <v>0</v>
      </c>
      <c r="U12" s="23" t="inlineStr">
        <is>
          <t>No</t>
        </is>
      </c>
      <c r="V12" s="30" t="n">
        <v>0</v>
      </c>
      <c r="W12" s="52" t="n">
        <v>45</v>
      </c>
      <c r="X12" s="53">
        <f>IFERROR(IF($A12="","",MAX(0,$R12*$S12-$T12)),"")</f>
        <v/>
      </c>
      <c r="Y12" s="53">
        <f>IFERROR(IF($A12="","",IF($U12="Yes",$X12*$V12,0)),"")</f>
        <v/>
      </c>
      <c r="Z12" s="53">
        <f>IFERROR(IF($A12="","",$X12+$Y12+$W12),"")</f>
        <v/>
      </c>
      <c r="AA12" s="28" t="n">
        <v>24</v>
      </c>
      <c r="AB12" s="51" t="n">
        <v>46121</v>
      </c>
      <c r="AC12" s="24">
        <f>IFERROR(IF($A12="","",IF($N12="Canceled","Canceled",IF($AA12=0,"Not Received",IF($AA12&lt;$R12,"Partially Received",IF($AA12=$R12,"Fully Received","Over Received"))))),"")</f>
        <v/>
      </c>
      <c r="AD12" s="25" t="inlineStr">
        <is>
          <t>Full delivery received.</t>
        </is>
      </c>
      <c r="AE12" s="23" t="inlineStr">
        <is>
          <t>GFS-7740</t>
        </is>
      </c>
      <c r="AF12" s="51" t="n">
        <v>46122</v>
      </c>
      <c r="AG12" s="52" t="n">
        <v>957</v>
      </c>
      <c r="AH12" s="53">
        <f>IFERROR(IF($A12="","",IF($AG12="","",$AG12-$Z12)),"")</f>
        <v/>
      </c>
      <c r="AI12" s="32">
        <f>IFERROR(IF($A12="","",IF(OR($AG12="",$Z12=0),"",($AG12-$Z12)/$Z12)),"")</f>
        <v/>
      </c>
      <c r="AJ12" s="23" t="inlineStr">
        <is>
          <t>Paid</t>
        </is>
      </c>
      <c r="AK12" s="51" t="n">
        <v>46133</v>
      </c>
      <c r="AL12" s="53">
        <f>IFERROR(IF($A12="","",IF(OR($N12="Canceled",$N12="Closed"),0,MAX($Z12-IF($AG12="",0,$AG12),0))),"")</f>
        <v/>
      </c>
      <c r="AM12" s="27">
        <f>IFERROR(IF($A12="","",IF(OR($N12="Closed",$N12="Canceled"),IF($O12="","",MAX(0,$O12-$H12)),MAX(0,TODAY()-$H12))),"")</f>
        <v/>
      </c>
      <c r="AN12" s="24">
        <f>IFERROR(IF($A12="","",IF($AA12&gt;$R12,"Over Received",IF(AND($J12="Approved",OR($K12="",$L12="")),"Approval Missing",IF(AND($J12="Pending",$AM12&gt;'Settings'!$B$7),"Approval Follow-Up",IF(AND($N12="Open",$I12&lt;&gt;"",$I12+'Settings'!$B$8&lt;TODAY(),$AA12&lt;$R12),"Delivery Overdue",IF(AND($AG12&lt;&gt;"",OR(ABS($AH12)&gt;'Settings'!$B$9,ABS($AI12)&gt;'Settings'!$B$10)),"Invoice Variance",IF(AND($N12="Open",$AM12&gt;'Settings'!$B$11),"Aging Open PO",""))))))),"")</f>
        <v/>
      </c>
      <c r="AO12" s="25" t="inlineStr">
        <is>
          <t>Routine replenishment completed.</t>
        </is>
      </c>
      <c r="AP12" s="24">
        <f>IFERROR(IF(AND($AN12&lt;&gt;"",$N12&lt;&gt;"Closed",$N12&lt;&gt;"Canceled",OR('Dashboard'!$B$4="All",$B12='Dashboard'!$B$4),OR('Dashboard'!$D$4="All",$C12='Dashboard'!$D$4)),COUNTIFS($AN$6:$AN12,"&lt;&gt;",$N$6:$N12,"&lt;&gt;Closed",$N$6:$N12,"&lt;&gt;Canceled",$B$6:$B12,IF('Dashboard'!$B$4="All","&lt;&gt;",'Dashboard'!$B$4),$C$6:$C12,IF('Dashboard'!$D$4="All","&lt;&gt;",'Dashboard'!$D$4)),""),"")</f>
        <v/>
      </c>
    </row>
    <row r="13">
      <c r="A13" s="23" t="inlineStr">
        <is>
          <t>PO-2026-0008</t>
        </is>
      </c>
      <c r="B13" s="23" t="inlineStr">
        <is>
          <t>Harbor View Hotel</t>
        </is>
      </c>
      <c r="C13" s="23" t="inlineStr">
        <is>
          <t>Administration</t>
        </is>
      </c>
      <c r="D13" s="23" t="inlineStr">
        <is>
          <t>Ethan Moore</t>
        </is>
      </c>
      <c r="E13" s="23" t="inlineStr">
        <is>
          <t>V008</t>
        </is>
      </c>
      <c r="F13" s="24">
        <f>IFERROR(IF($E13="","",VLOOKUP($E13,'Settings'!$G$16:$M$115,2,0)),"")</f>
        <v/>
      </c>
      <c r="G13" s="25" t="inlineStr">
        <is>
          <t>CAPEX-2026-04</t>
        </is>
      </c>
      <c r="H13" s="51" t="n">
        <v>46143</v>
      </c>
      <c r="I13" s="51" t="n">
        <v>46157</v>
      </c>
      <c r="J13" s="23" t="inlineStr">
        <is>
          <t>Rejected</t>
        </is>
      </c>
      <c r="K13" s="23" t="inlineStr"/>
      <c r="L13" s="51" t="inlineStr"/>
      <c r="M13" s="27">
        <f>IFERROR(IF($A13="","",IF($J13="Approved",MAX(0,$L13-$H13),"")),"")</f>
        <v/>
      </c>
      <c r="N13" s="23" t="inlineStr">
        <is>
          <t>Canceled</t>
        </is>
      </c>
      <c r="O13" s="51" t="n">
        <v>46145</v>
      </c>
      <c r="P13" s="23" t="inlineStr">
        <is>
          <t>ADM-TECH</t>
        </is>
      </c>
      <c r="Q13" s="25" t="inlineStr">
        <is>
          <t>Replacement office tablets</t>
        </is>
      </c>
      <c r="R13" s="28" t="n">
        <v>4</v>
      </c>
      <c r="S13" s="52" t="n">
        <v>525</v>
      </c>
      <c r="T13" s="52" t="n">
        <v>0</v>
      </c>
      <c r="U13" s="23" t="inlineStr">
        <is>
          <t>Yes</t>
        </is>
      </c>
      <c r="V13" s="30" t="n">
        <v>0.0625</v>
      </c>
      <c r="W13" s="52" t="n">
        <v>25</v>
      </c>
      <c r="X13" s="53">
        <f>IFERROR(IF($A13="","",MAX(0,$R13*$S13-$T13)),"")</f>
        <v/>
      </c>
      <c r="Y13" s="53">
        <f>IFERROR(IF($A13="","",IF($U13="Yes",$X13*$V13,0)),"")</f>
        <v/>
      </c>
      <c r="Z13" s="53">
        <f>IFERROR(IF($A13="","",$X13+$Y13+$W13),"")</f>
        <v/>
      </c>
      <c r="AA13" s="28" t="n">
        <v>0</v>
      </c>
      <c r="AB13" s="51" t="inlineStr"/>
      <c r="AC13" s="24">
        <f>IFERROR(IF($A13="","",IF($N13="Canceled","Canceled",IF($AA13=0,"Not Received",IF($AA13&lt;$R13,"Partially Received",IF($AA13=$R13,"Fully Received","Over Received"))))),"")</f>
        <v/>
      </c>
      <c r="AD13" s="25" t="inlineStr"/>
      <c r="AE13" s="23" t="inlineStr"/>
      <c r="AF13" s="51" t="inlineStr"/>
      <c r="AG13" s="52" t="inlineStr"/>
      <c r="AH13" s="53">
        <f>IFERROR(IF($A13="","",IF($AG13="","",$AG13-$Z13)),"")</f>
        <v/>
      </c>
      <c r="AI13" s="32">
        <f>IFERROR(IF($A13="","",IF(OR($AG13="",$Z13=0),"",($AG13-$Z13)/$Z13)),"")</f>
        <v/>
      </c>
      <c r="AJ13" s="23" t="inlineStr">
        <is>
          <t>Not Invoiced</t>
        </is>
      </c>
      <c r="AK13" s="51" t="inlineStr"/>
      <c r="AL13" s="53">
        <f>IFERROR(IF($A13="","",IF(OR($N13="Canceled",$N13="Closed"),0,MAX($Z13-IF($AG13="",0,$AG13),0))),"")</f>
        <v/>
      </c>
      <c r="AM13" s="27">
        <f>IFERROR(IF($A13="","",IF(OR($N13="Closed",$N13="Canceled"),IF($O13="","",MAX(0,$O13-$H13)),MAX(0,TODAY()-$H13))),"")</f>
        <v/>
      </c>
      <c r="AN13" s="24">
        <f>IFERROR(IF($A13="","",IF($AA13&gt;$R13,"Over Received",IF(AND($J13="Approved",OR($K13="",$L13="")),"Approval Missing",IF(AND($J13="Pending",$AM13&gt;'Settings'!$B$7),"Approval Follow-Up",IF(AND($N13="Open",$I13&lt;&gt;"",$I13+'Settings'!$B$8&lt;TODAY(),$AA13&lt;$R13),"Delivery Overdue",IF(AND($AG13&lt;&gt;"",OR(ABS($AH13)&gt;'Settings'!$B$9,ABS($AI13)&gt;'Settings'!$B$10)),"Invoice Variance",IF(AND($N13="Open",$AM13&gt;'Settings'!$B$11),"Aging Open PO",""))))))),"")</f>
        <v/>
      </c>
      <c r="AO13" s="25" t="inlineStr">
        <is>
          <t>Canceled after budget review.</t>
        </is>
      </c>
      <c r="AP13" s="24">
        <f>IFERROR(IF(AND($AN13&lt;&gt;"",$N13&lt;&gt;"Closed",$N13&lt;&gt;"Canceled",OR('Dashboard'!$B$4="All",$B13='Dashboard'!$B$4),OR('Dashboard'!$D$4="All",$C13='Dashboard'!$D$4)),COUNTIFS($AN$6:$AN13,"&lt;&gt;",$N$6:$N13,"&lt;&gt;Closed",$N$6:$N13,"&lt;&gt;Canceled",$B$6:$B13,IF('Dashboard'!$B$4="All","&lt;&gt;",'Dashboard'!$B$4),$C$6:$C13,IF('Dashboard'!$D$4="All","&lt;&gt;",'Dashboard'!$D$4)),""),"")</f>
        <v/>
      </c>
    </row>
    <row r="14">
      <c r="A14" s="23" t="inlineStr">
        <is>
          <t>PO-2026-0009</t>
        </is>
      </c>
      <c r="B14" s="23" t="inlineStr">
        <is>
          <t>Harbor View Hotel</t>
        </is>
      </c>
      <c r="C14" s="23" t="inlineStr">
        <is>
          <t>Housekeeping</t>
        </is>
      </c>
      <c r="D14" s="23" t="inlineStr">
        <is>
          <t>Maria Lopez</t>
        </is>
      </c>
      <c r="E14" s="23" t="inlineStr">
        <is>
          <t>V001</t>
        </is>
      </c>
      <c r="F14" s="24">
        <f>IFERROR(IF($E14="","",VLOOKUP($E14,'Settings'!$G$16:$M$115,2,0)),"")</f>
        <v/>
      </c>
      <c r="G14" s="25" t="inlineStr">
        <is>
          <t>HK-AMEN-88</t>
        </is>
      </c>
      <c r="H14" s="51" t="n">
        <v>46181</v>
      </c>
      <c r="I14" s="51" t="n">
        <v>46191</v>
      </c>
      <c r="J14" s="23" t="inlineStr">
        <is>
          <t>Approved</t>
        </is>
      </c>
      <c r="K14" s="23" t="inlineStr">
        <is>
          <t>Daniel Reed</t>
        </is>
      </c>
      <c r="L14" s="51" t="n">
        <v>46182</v>
      </c>
      <c r="M14" s="27">
        <f>IFERROR(IF($A14="","",IF($J14="Approved",MAX(0,$L14-$H14),"")),"")</f>
        <v/>
      </c>
      <c r="N14" s="23" t="inlineStr">
        <is>
          <t>Open</t>
        </is>
      </c>
      <c r="O14" s="51" t="inlineStr"/>
      <c r="P14" s="23" t="inlineStr">
        <is>
          <t>HK-AMENITY</t>
        </is>
      </c>
      <c r="Q14" s="25" t="inlineStr">
        <is>
          <t>Refillable guest bath amenity bottles</t>
        </is>
      </c>
      <c r="R14" s="28" t="n">
        <v>600</v>
      </c>
      <c r="S14" s="52" t="n">
        <v>2.35</v>
      </c>
      <c r="T14" s="52" t="n">
        <v>75</v>
      </c>
      <c r="U14" s="23" t="inlineStr">
        <is>
          <t>Yes</t>
        </is>
      </c>
      <c r="V14" s="30" t="n">
        <v>0.0625</v>
      </c>
      <c r="W14" s="52" t="n">
        <v>90</v>
      </c>
      <c r="X14" s="53">
        <f>IFERROR(IF($A14="","",MAX(0,$R14*$S14-$T14)),"")</f>
        <v/>
      </c>
      <c r="Y14" s="53">
        <f>IFERROR(IF($A14="","",IF($U14="Yes",$X14*$V14,0)),"")</f>
        <v/>
      </c>
      <c r="Z14" s="53">
        <f>IFERROR(IF($A14="","",$X14+$Y14+$W14),"")</f>
        <v/>
      </c>
      <c r="AA14" s="28" t="n">
        <v>620</v>
      </c>
      <c r="AB14" s="51" t="n">
        <v>46190</v>
      </c>
      <c r="AC14" s="24">
        <f>IFERROR(IF($A14="","",IF($N14="Canceled","Canceled",IF($AA14=0,"Not Received",IF($AA14&lt;$R14,"Partially Received",IF($AA14=$R14,"Fully Received","Over Received"))))),"")</f>
        <v/>
      </c>
      <c r="AD14" s="25" t="inlineStr">
        <is>
          <t>Twenty extra units shipped and retained.</t>
        </is>
      </c>
      <c r="AE14" s="23" t="inlineStr">
        <is>
          <t>INV-84221</t>
        </is>
      </c>
      <c r="AF14" s="51" t="n">
        <v>46191</v>
      </c>
      <c r="AG14" s="52" t="n">
        <v>1550</v>
      </c>
      <c r="AH14" s="53">
        <f>IFERROR(IF($A14="","",IF($AG14="","",$AG14-$Z14)),"")</f>
        <v/>
      </c>
      <c r="AI14" s="32">
        <f>IFERROR(IF($A14="","",IF(OR($AG14="",$Z14=0),"",($AG14-$Z14)/$Z14)),"")</f>
        <v/>
      </c>
      <c r="AJ14" s="23" t="inlineStr">
        <is>
          <t>Invoice Received</t>
        </is>
      </c>
      <c r="AK14" s="51" t="inlineStr"/>
      <c r="AL14" s="53">
        <f>IFERROR(IF($A14="","",IF(OR($N14="Canceled",$N14="Closed"),0,MAX($Z14-IF($AG14="",0,$AG14),0))),"")</f>
        <v/>
      </c>
      <c r="AM14" s="27">
        <f>IFERROR(IF($A14="","",IF(OR($N14="Closed",$N14="Canceled"),IF($O14="","",MAX(0,$O14-$H14)),MAX(0,TODAY()-$H14))),"")</f>
        <v/>
      </c>
      <c r="AN14" s="24">
        <f>IFERROR(IF($A14="","",IF($AA14&gt;$R14,"Over Received",IF(AND($J14="Approved",OR($K14="",$L14="")),"Approval Missing",IF(AND($J14="Pending",$AM14&gt;'Settings'!$B$7),"Approval Follow-Up",IF(AND($N14="Open",$I14&lt;&gt;"",$I14+'Settings'!$B$8&lt;TODAY(),$AA14&lt;$R14),"Delivery Overdue",IF(AND($AG14&lt;&gt;"",OR(ABS($AH14)&gt;'Settings'!$B$9,ABS($AI14)&gt;'Settings'!$B$10)),"Invoice Variance",IF(AND($N14="Open",$AM14&gt;'Settings'!$B$11),"Aging Open PO",""))))))),"")</f>
        <v/>
      </c>
      <c r="AO14" s="25" t="inlineStr">
        <is>
          <t>Review over-receipt and invoice quantity.</t>
        </is>
      </c>
      <c r="AP14" s="24">
        <f>IFERROR(IF(AND($AN14&lt;&gt;"",$N14&lt;&gt;"Closed",$N14&lt;&gt;"Canceled",OR('Dashboard'!$B$4="All",$B14='Dashboard'!$B$4),OR('Dashboard'!$D$4="All",$C14='Dashboard'!$D$4)),COUNTIFS($AN$6:$AN14,"&lt;&gt;",$N$6:$N14,"&lt;&gt;Closed",$N$6:$N14,"&lt;&gt;Canceled",$B$6:$B14,IF('Dashboard'!$B$4="All","&lt;&gt;",'Dashboard'!$B$4),$C$6:$C14,IF('Dashboard'!$D$4="All","&lt;&gt;",'Dashboard'!$D$4)),""),"")</f>
        <v/>
      </c>
    </row>
    <row r="15">
      <c r="A15" s="23" t="inlineStr">
        <is>
          <t>PO-2026-0010</t>
        </is>
      </c>
      <c r="B15" s="23" t="inlineStr">
        <is>
          <t>Lakeside Conference Center</t>
        </is>
      </c>
      <c r="C15" s="23" t="inlineStr">
        <is>
          <t>Security</t>
        </is>
      </c>
      <c r="D15" s="23" t="inlineStr">
        <is>
          <t>Noah Bennett</t>
        </is>
      </c>
      <c r="E15" s="23" t="inlineStr">
        <is>
          <t>V004</t>
        </is>
      </c>
      <c r="F15" s="24">
        <f>IFERROR(IF($E15="","",VLOOKUP($E15,'Settings'!$G$16:$M$115,2,0)),"")</f>
        <v/>
      </c>
      <c r="G15" s="25" t="inlineStr">
        <is>
          <t>SEC-OPS-114</t>
        </is>
      </c>
      <c r="H15" s="51" t="n">
        <v>46217</v>
      </c>
      <c r="I15" s="51" t="n">
        <v>46228</v>
      </c>
      <c r="J15" s="23" t="inlineStr">
        <is>
          <t>Approved</t>
        </is>
      </c>
      <c r="K15" s="23" t="inlineStr">
        <is>
          <t>Monica Price</t>
        </is>
      </c>
      <c r="L15" s="51" t="n">
        <v>46218</v>
      </c>
      <c r="M15" s="27">
        <f>IFERROR(IF($A15="","",IF($J15="Approved",MAX(0,$L15-$H15),"")),"")</f>
        <v/>
      </c>
      <c r="N15" s="23" t="inlineStr">
        <is>
          <t>Open</t>
        </is>
      </c>
      <c r="O15" s="51" t="inlineStr"/>
      <c r="P15" s="23" t="inlineStr">
        <is>
          <t>SEC-SUPPLIES</t>
        </is>
      </c>
      <c r="Q15" s="25" t="inlineStr">
        <is>
          <t>Rechargeable emergency flashlights</t>
        </is>
      </c>
      <c r="R15" s="28" t="n">
        <v>18</v>
      </c>
      <c r="S15" s="52" t="n">
        <v>47.5</v>
      </c>
      <c r="T15" s="52" t="n">
        <v>0</v>
      </c>
      <c r="U15" s="23" t="inlineStr">
        <is>
          <t>Yes</t>
        </is>
      </c>
      <c r="V15" s="30" t="n">
        <v>0.07000000000000001</v>
      </c>
      <c r="W15" s="52" t="n">
        <v>30</v>
      </c>
      <c r="X15" s="53">
        <f>IFERROR(IF($A15="","",MAX(0,$R15*$S15-$T15)),"")</f>
        <v/>
      </c>
      <c r="Y15" s="53">
        <f>IFERROR(IF($A15="","",IF($U15="Yes",$X15*$V15,0)),"")</f>
        <v/>
      </c>
      <c r="Z15" s="53">
        <f>IFERROR(IF($A15="","",$X15+$Y15+$W15),"")</f>
        <v/>
      </c>
      <c r="AA15" s="28" t="n">
        <v>6</v>
      </c>
      <c r="AB15" s="51" t="n">
        <v>46227</v>
      </c>
      <c r="AC15" s="24">
        <f>IFERROR(IF($A15="","",IF($N15="Canceled","Canceled",IF($AA15=0,"Not Received",IF($AA15&lt;$R15,"Partially Received",IF($AA15=$R15,"Fully Received","Over Received"))))),"")</f>
        <v/>
      </c>
      <c r="AD15" s="25" t="inlineStr">
        <is>
          <t>First six units received; balance pending.</t>
        </is>
      </c>
      <c r="AE15" s="23" t="inlineStr"/>
      <c r="AF15" s="51" t="inlineStr"/>
      <c r="AG15" s="52" t="inlineStr"/>
      <c r="AH15" s="53">
        <f>IFERROR(IF($A15="","",IF($AG15="","",$AG15-$Z15)),"")</f>
        <v/>
      </c>
      <c r="AI15" s="32">
        <f>IFERROR(IF($A15="","",IF(OR($AG15="",$Z15=0),"",($AG15-$Z15)/$Z15)),"")</f>
        <v/>
      </c>
      <c r="AJ15" s="23" t="inlineStr">
        <is>
          <t>Not Invoiced</t>
        </is>
      </c>
      <c r="AK15" s="51" t="inlineStr"/>
      <c r="AL15" s="53">
        <f>IFERROR(IF($A15="","",IF(OR($N15="Canceled",$N15="Closed"),0,MAX($Z15-IF($AG15="",0,$AG15),0))),"")</f>
        <v/>
      </c>
      <c r="AM15" s="27">
        <f>IFERROR(IF($A15="","",IF(OR($N15="Closed",$N15="Canceled"),IF($O15="","",MAX(0,$O15-$H15)),MAX(0,TODAY()-$H15))),"")</f>
        <v/>
      </c>
      <c r="AN15" s="24">
        <f>IFERROR(IF($A15="","",IF($AA15&gt;$R15,"Over Received",IF(AND($J15="Approved",OR($K15="",$L15="")),"Approval Missing",IF(AND($J15="Pending",$AM15&gt;'Settings'!$B$7),"Approval Follow-Up",IF(AND($N15="Open",$I15&lt;&gt;"",$I15+'Settings'!$B$8&lt;TODAY(),$AA15&lt;$R15),"Delivery Overdue",IF(AND($AG15&lt;&gt;"",OR(ABS($AH15)&gt;'Settings'!$B$9,ABS($AI15)&gt;'Settings'!$B$10)),"Invoice Variance",IF(AND($N15="Open",$AM15&gt;'Settings'!$B$11),"Aging Open PO",""))))))),"")</f>
        <v/>
      </c>
      <c r="AO15" s="25" t="inlineStr">
        <is>
          <t>Confirm remaining shipment date.</t>
        </is>
      </c>
      <c r="AP15" s="24">
        <f>IFERROR(IF(AND($AN15&lt;&gt;"",$N15&lt;&gt;"Closed",$N15&lt;&gt;"Canceled",OR('Dashboard'!$B$4="All",$B15='Dashboard'!$B$4),OR('Dashboard'!$D$4="All",$C15='Dashboard'!$D$4)),COUNTIFS($AN$6:$AN15,"&lt;&gt;",$N$6:$N15,"&lt;&gt;Closed",$N$6:$N15,"&lt;&gt;Canceled",$B$6:$B15,IF('Dashboard'!$B$4="All","&lt;&gt;",'Dashboard'!$B$4),$C$6:$C15,IF('Dashboard'!$D$4="All","&lt;&gt;",'Dashboard'!$D$4)),""),"")</f>
        <v/>
      </c>
    </row>
    <row r="16">
      <c r="A16" s="23" t="n"/>
      <c r="B16" s="23" t="n"/>
      <c r="C16" s="23" t="n"/>
      <c r="D16" s="23" t="n"/>
      <c r="E16" s="23" t="n"/>
      <c r="F16" s="24">
        <f>IFERROR(IF($E16="","",VLOOKUP($E16,'Settings'!$G$16:$M$115,2,0)),"")</f>
        <v/>
      </c>
      <c r="G16" s="25" t="n"/>
      <c r="H16" s="51" t="n"/>
      <c r="I16" s="51" t="n"/>
      <c r="J16" s="23" t="n"/>
      <c r="K16" s="23" t="n"/>
      <c r="L16" s="51" t="n"/>
      <c r="M16" s="27">
        <f>IFERROR(IF($A16="","",IF($J16="Approved",MAX(0,$L16-$H16),"")),"")</f>
        <v/>
      </c>
      <c r="N16" s="23" t="n"/>
      <c r="O16" s="51" t="n"/>
      <c r="P16" s="23" t="n"/>
      <c r="Q16" s="25" t="n"/>
      <c r="R16" s="28" t="n"/>
      <c r="S16" s="52" t="n"/>
      <c r="T16" s="52" t="n"/>
      <c r="U16" s="23" t="n"/>
      <c r="V16" s="30" t="n"/>
      <c r="W16" s="52" t="n"/>
      <c r="X16" s="53">
        <f>IFERROR(IF($A16="","",MAX(0,$R16*$S16-$T16)),"")</f>
        <v/>
      </c>
      <c r="Y16" s="53">
        <f>IFERROR(IF($A16="","",IF($U16="Yes",$X16*$V16,0)),"")</f>
        <v/>
      </c>
      <c r="Z16" s="53">
        <f>IFERROR(IF($A16="","",$X16+$Y16+$W16),"")</f>
        <v/>
      </c>
      <c r="AA16" s="28" t="n"/>
      <c r="AB16" s="51" t="n"/>
      <c r="AC16" s="24">
        <f>IFERROR(IF($A16="","",IF($N16="Canceled","Canceled",IF($AA16=0,"Not Received",IF($AA16&lt;$R16,"Partially Received",IF($AA16=$R16,"Fully Received","Over Received"))))),"")</f>
        <v/>
      </c>
      <c r="AD16" s="25" t="n"/>
      <c r="AE16" s="23" t="n"/>
      <c r="AF16" s="51" t="n"/>
      <c r="AG16" s="52" t="n"/>
      <c r="AH16" s="53">
        <f>IFERROR(IF($A16="","",IF($AG16="","",$AG16-$Z16)),"")</f>
        <v/>
      </c>
      <c r="AI16" s="32">
        <f>IFERROR(IF($A16="","",IF(OR($AG16="",$Z16=0),"",($AG16-$Z16)/$Z16)),"")</f>
        <v/>
      </c>
      <c r="AJ16" s="23" t="n"/>
      <c r="AK16" s="51" t="n"/>
      <c r="AL16" s="53">
        <f>IFERROR(IF($A16="","",IF(OR($N16="Canceled",$N16="Closed"),0,MAX($Z16-IF($AG16="",0,$AG16),0))),"")</f>
        <v/>
      </c>
      <c r="AM16" s="27">
        <f>IFERROR(IF($A16="","",IF(OR($N16="Closed",$N16="Canceled"),IF($O16="","",MAX(0,$O16-$H16)),MAX(0,TODAY()-$H16))),"")</f>
        <v/>
      </c>
      <c r="AN16" s="24">
        <f>IFERROR(IF($A16="","",IF($AA16&gt;$R16,"Over Received",IF(AND($J16="Approved",OR($K16="",$L16="")),"Approval Missing",IF(AND($J16="Pending",$AM16&gt;'Settings'!$B$7),"Approval Follow-Up",IF(AND($N16="Open",$I16&lt;&gt;"",$I16+'Settings'!$B$8&lt;TODAY(),$AA16&lt;$R16),"Delivery Overdue",IF(AND($AG16&lt;&gt;"",OR(ABS($AH16)&gt;'Settings'!$B$9,ABS($AI16)&gt;'Settings'!$B$10)),"Invoice Variance",IF(AND($N16="Open",$AM16&gt;'Settings'!$B$11),"Aging Open PO",""))))))),"")</f>
        <v/>
      </c>
      <c r="AO16" s="25" t="n"/>
      <c r="AP16" s="24">
        <f>IFERROR(IF(AND($AN16&lt;&gt;"",$N16&lt;&gt;"Closed",$N16&lt;&gt;"Canceled",OR('Dashboard'!$B$4="All",$B16='Dashboard'!$B$4),OR('Dashboard'!$D$4="All",$C16='Dashboard'!$D$4)),COUNTIFS($AN$6:$AN16,"&lt;&gt;",$N$6:$N16,"&lt;&gt;Closed",$N$6:$N16,"&lt;&gt;Canceled",$B$6:$B16,IF('Dashboard'!$B$4="All","&lt;&gt;",'Dashboard'!$B$4),$C$6:$C16,IF('Dashboard'!$D$4="All","&lt;&gt;",'Dashboard'!$D$4)),""),"")</f>
        <v/>
      </c>
    </row>
    <row r="17">
      <c r="A17" s="23" t="n"/>
      <c r="B17" s="23" t="n"/>
      <c r="C17" s="23" t="n"/>
      <c r="D17" s="23" t="n"/>
      <c r="E17" s="23" t="n"/>
      <c r="F17" s="24">
        <f>IFERROR(IF($E17="","",VLOOKUP($E17,'Settings'!$G$16:$M$115,2,0)),"")</f>
        <v/>
      </c>
      <c r="G17" s="25" t="n"/>
      <c r="H17" s="51" t="n"/>
      <c r="I17" s="51" t="n"/>
      <c r="J17" s="23" t="n"/>
      <c r="K17" s="23" t="n"/>
      <c r="L17" s="51" t="n"/>
      <c r="M17" s="27">
        <f>IFERROR(IF($A17="","",IF($J17="Approved",MAX(0,$L17-$H17),"")),"")</f>
        <v/>
      </c>
      <c r="N17" s="23" t="n"/>
      <c r="O17" s="51" t="n"/>
      <c r="P17" s="23" t="n"/>
      <c r="Q17" s="25" t="n"/>
      <c r="R17" s="28" t="n"/>
      <c r="S17" s="52" t="n"/>
      <c r="T17" s="52" t="n"/>
      <c r="U17" s="23" t="n"/>
      <c r="V17" s="30" t="n"/>
      <c r="W17" s="52" t="n"/>
      <c r="X17" s="53">
        <f>IFERROR(IF($A17="","",MAX(0,$R17*$S17-$T17)),"")</f>
        <v/>
      </c>
      <c r="Y17" s="53">
        <f>IFERROR(IF($A17="","",IF($U17="Yes",$X17*$V17,0)),"")</f>
        <v/>
      </c>
      <c r="Z17" s="53">
        <f>IFERROR(IF($A17="","",$X17+$Y17+$W17),"")</f>
        <v/>
      </c>
      <c r="AA17" s="28" t="n"/>
      <c r="AB17" s="51" t="n"/>
      <c r="AC17" s="24">
        <f>IFERROR(IF($A17="","",IF($N17="Canceled","Canceled",IF($AA17=0,"Not Received",IF($AA17&lt;$R17,"Partially Received",IF($AA17=$R17,"Fully Received","Over Received"))))),"")</f>
        <v/>
      </c>
      <c r="AD17" s="25" t="n"/>
      <c r="AE17" s="23" t="n"/>
      <c r="AF17" s="51" t="n"/>
      <c r="AG17" s="52" t="n"/>
      <c r="AH17" s="53">
        <f>IFERROR(IF($A17="","",IF($AG17="","",$AG17-$Z17)),"")</f>
        <v/>
      </c>
      <c r="AI17" s="32">
        <f>IFERROR(IF($A17="","",IF(OR($AG17="",$Z17=0),"",($AG17-$Z17)/$Z17)),"")</f>
        <v/>
      </c>
      <c r="AJ17" s="23" t="n"/>
      <c r="AK17" s="51" t="n"/>
      <c r="AL17" s="53">
        <f>IFERROR(IF($A17="","",IF(OR($N17="Canceled",$N17="Closed"),0,MAX($Z17-IF($AG17="",0,$AG17),0))),"")</f>
        <v/>
      </c>
      <c r="AM17" s="27">
        <f>IFERROR(IF($A17="","",IF(OR($N17="Closed",$N17="Canceled"),IF($O17="","",MAX(0,$O17-$H17)),MAX(0,TODAY()-$H17))),"")</f>
        <v/>
      </c>
      <c r="AN17" s="24">
        <f>IFERROR(IF($A17="","",IF($AA17&gt;$R17,"Over Received",IF(AND($J17="Approved",OR($K17="",$L17="")),"Approval Missing",IF(AND($J17="Pending",$AM17&gt;'Settings'!$B$7),"Approval Follow-Up",IF(AND($N17="Open",$I17&lt;&gt;"",$I17+'Settings'!$B$8&lt;TODAY(),$AA17&lt;$R17),"Delivery Overdue",IF(AND($AG17&lt;&gt;"",OR(ABS($AH17)&gt;'Settings'!$B$9,ABS($AI17)&gt;'Settings'!$B$10)),"Invoice Variance",IF(AND($N17="Open",$AM17&gt;'Settings'!$B$11),"Aging Open PO",""))))))),"")</f>
        <v/>
      </c>
      <c r="AO17" s="25" t="n"/>
      <c r="AP17" s="24">
        <f>IFERROR(IF(AND($AN17&lt;&gt;"",$N17&lt;&gt;"Closed",$N17&lt;&gt;"Canceled",OR('Dashboard'!$B$4="All",$B17='Dashboard'!$B$4),OR('Dashboard'!$D$4="All",$C17='Dashboard'!$D$4)),COUNTIFS($AN$6:$AN17,"&lt;&gt;",$N$6:$N17,"&lt;&gt;Closed",$N$6:$N17,"&lt;&gt;Canceled",$B$6:$B17,IF('Dashboard'!$B$4="All","&lt;&gt;",'Dashboard'!$B$4),$C$6:$C17,IF('Dashboard'!$D$4="All","&lt;&gt;",'Dashboard'!$D$4)),""),"")</f>
        <v/>
      </c>
    </row>
    <row r="18">
      <c r="A18" s="23" t="n"/>
      <c r="B18" s="23" t="n"/>
      <c r="C18" s="23" t="n"/>
      <c r="D18" s="23" t="n"/>
      <c r="E18" s="23" t="n"/>
      <c r="F18" s="24">
        <f>IFERROR(IF($E18="","",VLOOKUP($E18,'Settings'!$G$16:$M$115,2,0)),"")</f>
        <v/>
      </c>
      <c r="G18" s="25" t="n"/>
      <c r="H18" s="51" t="n"/>
      <c r="I18" s="51" t="n"/>
      <c r="J18" s="23" t="n"/>
      <c r="K18" s="23" t="n"/>
      <c r="L18" s="51" t="n"/>
      <c r="M18" s="27">
        <f>IFERROR(IF($A18="","",IF($J18="Approved",MAX(0,$L18-$H18),"")),"")</f>
        <v/>
      </c>
      <c r="N18" s="23" t="n"/>
      <c r="O18" s="51" t="n"/>
      <c r="P18" s="23" t="n"/>
      <c r="Q18" s="25" t="n"/>
      <c r="R18" s="28" t="n"/>
      <c r="S18" s="52" t="n"/>
      <c r="T18" s="52" t="n"/>
      <c r="U18" s="23" t="n"/>
      <c r="V18" s="30" t="n"/>
      <c r="W18" s="52" t="n"/>
      <c r="X18" s="53">
        <f>IFERROR(IF($A18="","",MAX(0,$R18*$S18-$T18)),"")</f>
        <v/>
      </c>
      <c r="Y18" s="53">
        <f>IFERROR(IF($A18="","",IF($U18="Yes",$X18*$V18,0)),"")</f>
        <v/>
      </c>
      <c r="Z18" s="53">
        <f>IFERROR(IF($A18="","",$X18+$Y18+$W18),"")</f>
        <v/>
      </c>
      <c r="AA18" s="28" t="n"/>
      <c r="AB18" s="51" t="n"/>
      <c r="AC18" s="24">
        <f>IFERROR(IF($A18="","",IF($N18="Canceled","Canceled",IF($AA18=0,"Not Received",IF($AA18&lt;$R18,"Partially Received",IF($AA18=$R18,"Fully Received","Over Received"))))),"")</f>
        <v/>
      </c>
      <c r="AD18" s="25" t="n"/>
      <c r="AE18" s="23" t="n"/>
      <c r="AF18" s="51" t="n"/>
      <c r="AG18" s="52" t="n"/>
      <c r="AH18" s="53">
        <f>IFERROR(IF($A18="","",IF($AG18="","",$AG18-$Z18)),"")</f>
        <v/>
      </c>
      <c r="AI18" s="32">
        <f>IFERROR(IF($A18="","",IF(OR($AG18="",$Z18=0),"",($AG18-$Z18)/$Z18)),"")</f>
        <v/>
      </c>
      <c r="AJ18" s="23" t="n"/>
      <c r="AK18" s="51" t="n"/>
      <c r="AL18" s="53">
        <f>IFERROR(IF($A18="","",IF(OR($N18="Canceled",$N18="Closed"),0,MAX($Z18-IF($AG18="",0,$AG18),0))),"")</f>
        <v/>
      </c>
      <c r="AM18" s="27">
        <f>IFERROR(IF($A18="","",IF(OR($N18="Closed",$N18="Canceled"),IF($O18="","",MAX(0,$O18-$H18)),MAX(0,TODAY()-$H18))),"")</f>
        <v/>
      </c>
      <c r="AN18" s="24">
        <f>IFERROR(IF($A18="","",IF($AA18&gt;$R18,"Over Received",IF(AND($J18="Approved",OR($K18="",$L18="")),"Approval Missing",IF(AND($J18="Pending",$AM18&gt;'Settings'!$B$7),"Approval Follow-Up",IF(AND($N18="Open",$I18&lt;&gt;"",$I18+'Settings'!$B$8&lt;TODAY(),$AA18&lt;$R18),"Delivery Overdue",IF(AND($AG18&lt;&gt;"",OR(ABS($AH18)&gt;'Settings'!$B$9,ABS($AI18)&gt;'Settings'!$B$10)),"Invoice Variance",IF(AND($N18="Open",$AM18&gt;'Settings'!$B$11),"Aging Open PO",""))))))),"")</f>
        <v/>
      </c>
      <c r="AO18" s="25" t="n"/>
      <c r="AP18" s="24">
        <f>IFERROR(IF(AND($AN18&lt;&gt;"",$N18&lt;&gt;"Closed",$N18&lt;&gt;"Canceled",OR('Dashboard'!$B$4="All",$B18='Dashboard'!$B$4),OR('Dashboard'!$D$4="All",$C18='Dashboard'!$D$4)),COUNTIFS($AN$6:$AN18,"&lt;&gt;",$N$6:$N18,"&lt;&gt;Closed",$N$6:$N18,"&lt;&gt;Canceled",$B$6:$B18,IF('Dashboard'!$B$4="All","&lt;&gt;",'Dashboard'!$B$4),$C$6:$C18,IF('Dashboard'!$D$4="All","&lt;&gt;",'Dashboard'!$D$4)),""),"")</f>
        <v/>
      </c>
    </row>
    <row r="19">
      <c r="A19" s="23" t="n"/>
      <c r="B19" s="23" t="n"/>
      <c r="C19" s="23" t="n"/>
      <c r="D19" s="23" t="n"/>
      <c r="E19" s="23" t="n"/>
      <c r="F19" s="24">
        <f>IFERROR(IF($E19="","",VLOOKUP($E19,'Settings'!$G$16:$M$115,2,0)),"")</f>
        <v/>
      </c>
      <c r="G19" s="25" t="n"/>
      <c r="H19" s="51" t="n"/>
      <c r="I19" s="51" t="n"/>
      <c r="J19" s="23" t="n"/>
      <c r="K19" s="23" t="n"/>
      <c r="L19" s="51" t="n"/>
      <c r="M19" s="27">
        <f>IFERROR(IF($A19="","",IF($J19="Approved",MAX(0,$L19-$H19),"")),"")</f>
        <v/>
      </c>
      <c r="N19" s="23" t="n"/>
      <c r="O19" s="51" t="n"/>
      <c r="P19" s="23" t="n"/>
      <c r="Q19" s="25" t="n"/>
      <c r="R19" s="28" t="n"/>
      <c r="S19" s="52" t="n"/>
      <c r="T19" s="52" t="n"/>
      <c r="U19" s="23" t="n"/>
      <c r="V19" s="30" t="n"/>
      <c r="W19" s="52" t="n"/>
      <c r="X19" s="53">
        <f>IFERROR(IF($A19="","",MAX(0,$R19*$S19-$T19)),"")</f>
        <v/>
      </c>
      <c r="Y19" s="53">
        <f>IFERROR(IF($A19="","",IF($U19="Yes",$X19*$V19,0)),"")</f>
        <v/>
      </c>
      <c r="Z19" s="53">
        <f>IFERROR(IF($A19="","",$X19+$Y19+$W19),"")</f>
        <v/>
      </c>
      <c r="AA19" s="28" t="n"/>
      <c r="AB19" s="51" t="n"/>
      <c r="AC19" s="24">
        <f>IFERROR(IF($A19="","",IF($N19="Canceled","Canceled",IF($AA19=0,"Not Received",IF($AA19&lt;$R19,"Partially Received",IF($AA19=$R19,"Fully Received","Over Received"))))),"")</f>
        <v/>
      </c>
      <c r="AD19" s="25" t="n"/>
      <c r="AE19" s="23" t="n"/>
      <c r="AF19" s="51" t="n"/>
      <c r="AG19" s="52" t="n"/>
      <c r="AH19" s="53">
        <f>IFERROR(IF($A19="","",IF($AG19="","",$AG19-$Z19)),"")</f>
        <v/>
      </c>
      <c r="AI19" s="32">
        <f>IFERROR(IF($A19="","",IF(OR($AG19="",$Z19=0),"",($AG19-$Z19)/$Z19)),"")</f>
        <v/>
      </c>
      <c r="AJ19" s="23" t="n"/>
      <c r="AK19" s="51" t="n"/>
      <c r="AL19" s="53">
        <f>IFERROR(IF($A19="","",IF(OR($N19="Canceled",$N19="Closed"),0,MAX($Z19-IF($AG19="",0,$AG19),0))),"")</f>
        <v/>
      </c>
      <c r="AM19" s="27">
        <f>IFERROR(IF($A19="","",IF(OR($N19="Closed",$N19="Canceled"),IF($O19="","",MAX(0,$O19-$H19)),MAX(0,TODAY()-$H19))),"")</f>
        <v/>
      </c>
      <c r="AN19" s="24">
        <f>IFERROR(IF($A19="","",IF($AA19&gt;$R19,"Over Received",IF(AND($J19="Approved",OR($K19="",$L19="")),"Approval Missing",IF(AND($J19="Pending",$AM19&gt;'Settings'!$B$7),"Approval Follow-Up",IF(AND($N19="Open",$I19&lt;&gt;"",$I19+'Settings'!$B$8&lt;TODAY(),$AA19&lt;$R19),"Delivery Overdue",IF(AND($AG19&lt;&gt;"",OR(ABS($AH19)&gt;'Settings'!$B$9,ABS($AI19)&gt;'Settings'!$B$10)),"Invoice Variance",IF(AND($N19="Open",$AM19&gt;'Settings'!$B$11),"Aging Open PO",""))))))),"")</f>
        <v/>
      </c>
      <c r="AO19" s="25" t="n"/>
      <c r="AP19" s="24">
        <f>IFERROR(IF(AND($AN19&lt;&gt;"",$N19&lt;&gt;"Closed",$N19&lt;&gt;"Canceled",OR('Dashboard'!$B$4="All",$B19='Dashboard'!$B$4),OR('Dashboard'!$D$4="All",$C19='Dashboard'!$D$4)),COUNTIFS($AN$6:$AN19,"&lt;&gt;",$N$6:$N19,"&lt;&gt;Closed",$N$6:$N19,"&lt;&gt;Canceled",$B$6:$B19,IF('Dashboard'!$B$4="All","&lt;&gt;",'Dashboard'!$B$4),$C$6:$C19,IF('Dashboard'!$D$4="All","&lt;&gt;",'Dashboard'!$D$4)),""),"")</f>
        <v/>
      </c>
    </row>
    <row r="20">
      <c r="A20" s="23" t="n"/>
      <c r="B20" s="23" t="n"/>
      <c r="C20" s="23" t="n"/>
      <c r="D20" s="23" t="n"/>
      <c r="E20" s="23" t="n"/>
      <c r="F20" s="24">
        <f>IFERROR(IF($E20="","",VLOOKUP($E20,'Settings'!$G$16:$M$115,2,0)),"")</f>
        <v/>
      </c>
      <c r="G20" s="25" t="n"/>
      <c r="H20" s="51" t="n"/>
      <c r="I20" s="51" t="n"/>
      <c r="J20" s="23" t="n"/>
      <c r="K20" s="23" t="n"/>
      <c r="L20" s="51" t="n"/>
      <c r="M20" s="27">
        <f>IFERROR(IF($A20="","",IF($J20="Approved",MAX(0,$L20-$H20),"")),"")</f>
        <v/>
      </c>
      <c r="N20" s="23" t="n"/>
      <c r="O20" s="51" t="n"/>
      <c r="P20" s="23" t="n"/>
      <c r="Q20" s="25" t="n"/>
      <c r="R20" s="28" t="n"/>
      <c r="S20" s="52" t="n"/>
      <c r="T20" s="52" t="n"/>
      <c r="U20" s="23" t="n"/>
      <c r="V20" s="30" t="n"/>
      <c r="W20" s="52" t="n"/>
      <c r="X20" s="53">
        <f>IFERROR(IF($A20="","",MAX(0,$R20*$S20-$T20)),"")</f>
        <v/>
      </c>
      <c r="Y20" s="53">
        <f>IFERROR(IF($A20="","",IF($U20="Yes",$X20*$V20,0)),"")</f>
        <v/>
      </c>
      <c r="Z20" s="53">
        <f>IFERROR(IF($A20="","",$X20+$Y20+$W20),"")</f>
        <v/>
      </c>
      <c r="AA20" s="28" t="n"/>
      <c r="AB20" s="51" t="n"/>
      <c r="AC20" s="24">
        <f>IFERROR(IF($A20="","",IF($N20="Canceled","Canceled",IF($AA20=0,"Not Received",IF($AA20&lt;$R20,"Partially Received",IF($AA20=$R20,"Fully Received","Over Received"))))),"")</f>
        <v/>
      </c>
      <c r="AD20" s="25" t="n"/>
      <c r="AE20" s="23" t="n"/>
      <c r="AF20" s="51" t="n"/>
      <c r="AG20" s="52" t="n"/>
      <c r="AH20" s="53">
        <f>IFERROR(IF($A20="","",IF($AG20="","",$AG20-$Z20)),"")</f>
        <v/>
      </c>
      <c r="AI20" s="32">
        <f>IFERROR(IF($A20="","",IF(OR($AG20="",$Z20=0),"",($AG20-$Z20)/$Z20)),"")</f>
        <v/>
      </c>
      <c r="AJ20" s="23" t="n"/>
      <c r="AK20" s="51" t="n"/>
      <c r="AL20" s="53">
        <f>IFERROR(IF($A20="","",IF(OR($N20="Canceled",$N20="Closed"),0,MAX($Z20-IF($AG20="",0,$AG20),0))),"")</f>
        <v/>
      </c>
      <c r="AM20" s="27">
        <f>IFERROR(IF($A20="","",IF(OR($N20="Closed",$N20="Canceled"),IF($O20="","",MAX(0,$O20-$H20)),MAX(0,TODAY()-$H20))),"")</f>
        <v/>
      </c>
      <c r="AN20" s="24">
        <f>IFERROR(IF($A20="","",IF($AA20&gt;$R20,"Over Received",IF(AND($J20="Approved",OR($K20="",$L20="")),"Approval Missing",IF(AND($J20="Pending",$AM20&gt;'Settings'!$B$7),"Approval Follow-Up",IF(AND($N20="Open",$I20&lt;&gt;"",$I20+'Settings'!$B$8&lt;TODAY(),$AA20&lt;$R20),"Delivery Overdue",IF(AND($AG20&lt;&gt;"",OR(ABS($AH20)&gt;'Settings'!$B$9,ABS($AI20)&gt;'Settings'!$B$10)),"Invoice Variance",IF(AND($N20="Open",$AM20&gt;'Settings'!$B$11),"Aging Open PO",""))))))),"")</f>
        <v/>
      </c>
      <c r="AO20" s="25" t="n"/>
      <c r="AP20" s="24">
        <f>IFERROR(IF(AND($AN20&lt;&gt;"",$N20&lt;&gt;"Closed",$N20&lt;&gt;"Canceled",OR('Dashboard'!$B$4="All",$B20='Dashboard'!$B$4),OR('Dashboard'!$D$4="All",$C20='Dashboard'!$D$4)),COUNTIFS($AN$6:$AN20,"&lt;&gt;",$N$6:$N20,"&lt;&gt;Closed",$N$6:$N20,"&lt;&gt;Canceled",$B$6:$B20,IF('Dashboard'!$B$4="All","&lt;&gt;",'Dashboard'!$B$4),$C$6:$C20,IF('Dashboard'!$D$4="All","&lt;&gt;",'Dashboard'!$D$4)),""),"")</f>
        <v/>
      </c>
    </row>
    <row r="21">
      <c r="A21" s="23" t="n"/>
      <c r="B21" s="23" t="n"/>
      <c r="C21" s="23" t="n"/>
      <c r="D21" s="23" t="n"/>
      <c r="E21" s="23" t="n"/>
      <c r="F21" s="24">
        <f>IFERROR(IF($E21="","",VLOOKUP($E21,'Settings'!$G$16:$M$115,2,0)),"")</f>
        <v/>
      </c>
      <c r="G21" s="25" t="n"/>
      <c r="H21" s="51" t="n"/>
      <c r="I21" s="51" t="n"/>
      <c r="J21" s="23" t="n"/>
      <c r="K21" s="23" t="n"/>
      <c r="L21" s="51" t="n"/>
      <c r="M21" s="27">
        <f>IFERROR(IF($A21="","",IF($J21="Approved",MAX(0,$L21-$H21),"")),"")</f>
        <v/>
      </c>
      <c r="N21" s="23" t="n"/>
      <c r="O21" s="51" t="n"/>
      <c r="P21" s="23" t="n"/>
      <c r="Q21" s="25" t="n"/>
      <c r="R21" s="28" t="n"/>
      <c r="S21" s="52" t="n"/>
      <c r="T21" s="52" t="n"/>
      <c r="U21" s="23" t="n"/>
      <c r="V21" s="30" t="n"/>
      <c r="W21" s="52" t="n"/>
      <c r="X21" s="53">
        <f>IFERROR(IF($A21="","",MAX(0,$R21*$S21-$T21)),"")</f>
        <v/>
      </c>
      <c r="Y21" s="53">
        <f>IFERROR(IF($A21="","",IF($U21="Yes",$X21*$V21,0)),"")</f>
        <v/>
      </c>
      <c r="Z21" s="53">
        <f>IFERROR(IF($A21="","",$X21+$Y21+$W21),"")</f>
        <v/>
      </c>
      <c r="AA21" s="28" t="n"/>
      <c r="AB21" s="51" t="n"/>
      <c r="AC21" s="24">
        <f>IFERROR(IF($A21="","",IF($N21="Canceled","Canceled",IF($AA21=0,"Not Received",IF($AA21&lt;$R21,"Partially Received",IF($AA21=$R21,"Fully Received","Over Received"))))),"")</f>
        <v/>
      </c>
      <c r="AD21" s="25" t="n"/>
      <c r="AE21" s="23" t="n"/>
      <c r="AF21" s="51" t="n"/>
      <c r="AG21" s="52" t="n"/>
      <c r="AH21" s="53">
        <f>IFERROR(IF($A21="","",IF($AG21="","",$AG21-$Z21)),"")</f>
        <v/>
      </c>
      <c r="AI21" s="32">
        <f>IFERROR(IF($A21="","",IF(OR($AG21="",$Z21=0),"",($AG21-$Z21)/$Z21)),"")</f>
        <v/>
      </c>
      <c r="AJ21" s="23" t="n"/>
      <c r="AK21" s="51" t="n"/>
      <c r="AL21" s="53">
        <f>IFERROR(IF($A21="","",IF(OR($N21="Canceled",$N21="Closed"),0,MAX($Z21-IF($AG21="",0,$AG21),0))),"")</f>
        <v/>
      </c>
      <c r="AM21" s="27">
        <f>IFERROR(IF($A21="","",IF(OR($N21="Closed",$N21="Canceled"),IF($O21="","",MAX(0,$O21-$H21)),MAX(0,TODAY()-$H21))),"")</f>
        <v/>
      </c>
      <c r="AN21" s="24">
        <f>IFERROR(IF($A21="","",IF($AA21&gt;$R21,"Over Received",IF(AND($J21="Approved",OR($K21="",$L21="")),"Approval Missing",IF(AND($J21="Pending",$AM21&gt;'Settings'!$B$7),"Approval Follow-Up",IF(AND($N21="Open",$I21&lt;&gt;"",$I21+'Settings'!$B$8&lt;TODAY(),$AA21&lt;$R21),"Delivery Overdue",IF(AND($AG21&lt;&gt;"",OR(ABS($AH21)&gt;'Settings'!$B$9,ABS($AI21)&gt;'Settings'!$B$10)),"Invoice Variance",IF(AND($N21="Open",$AM21&gt;'Settings'!$B$11),"Aging Open PO",""))))))),"")</f>
        <v/>
      </c>
      <c r="AO21" s="25" t="n"/>
      <c r="AP21" s="24">
        <f>IFERROR(IF(AND($AN21&lt;&gt;"",$N21&lt;&gt;"Closed",$N21&lt;&gt;"Canceled",OR('Dashboard'!$B$4="All",$B21='Dashboard'!$B$4),OR('Dashboard'!$D$4="All",$C21='Dashboard'!$D$4)),COUNTIFS($AN$6:$AN21,"&lt;&gt;",$N$6:$N21,"&lt;&gt;Closed",$N$6:$N21,"&lt;&gt;Canceled",$B$6:$B21,IF('Dashboard'!$B$4="All","&lt;&gt;",'Dashboard'!$B$4),$C$6:$C21,IF('Dashboard'!$D$4="All","&lt;&gt;",'Dashboard'!$D$4)),""),"")</f>
        <v/>
      </c>
    </row>
    <row r="22">
      <c r="A22" s="23" t="n"/>
      <c r="B22" s="23" t="n"/>
      <c r="C22" s="23" t="n"/>
      <c r="D22" s="23" t="n"/>
      <c r="E22" s="23" t="n"/>
      <c r="F22" s="24">
        <f>IFERROR(IF($E22="","",VLOOKUP($E22,'Settings'!$G$16:$M$115,2,0)),"")</f>
        <v/>
      </c>
      <c r="G22" s="25" t="n"/>
      <c r="H22" s="51" t="n"/>
      <c r="I22" s="51" t="n"/>
      <c r="J22" s="23" t="n"/>
      <c r="K22" s="23" t="n"/>
      <c r="L22" s="51" t="n"/>
      <c r="M22" s="27">
        <f>IFERROR(IF($A22="","",IF($J22="Approved",MAX(0,$L22-$H22),"")),"")</f>
        <v/>
      </c>
      <c r="N22" s="23" t="n"/>
      <c r="O22" s="51" t="n"/>
      <c r="P22" s="23" t="n"/>
      <c r="Q22" s="25" t="n"/>
      <c r="R22" s="28" t="n"/>
      <c r="S22" s="52" t="n"/>
      <c r="T22" s="52" t="n"/>
      <c r="U22" s="23" t="n"/>
      <c r="V22" s="30" t="n"/>
      <c r="W22" s="52" t="n"/>
      <c r="X22" s="53">
        <f>IFERROR(IF($A22="","",MAX(0,$R22*$S22-$T22)),"")</f>
        <v/>
      </c>
      <c r="Y22" s="53">
        <f>IFERROR(IF($A22="","",IF($U22="Yes",$X22*$V22,0)),"")</f>
        <v/>
      </c>
      <c r="Z22" s="53">
        <f>IFERROR(IF($A22="","",$X22+$Y22+$W22),"")</f>
        <v/>
      </c>
      <c r="AA22" s="28" t="n"/>
      <c r="AB22" s="51" t="n"/>
      <c r="AC22" s="24">
        <f>IFERROR(IF($A22="","",IF($N22="Canceled","Canceled",IF($AA22=0,"Not Received",IF($AA22&lt;$R22,"Partially Received",IF($AA22=$R22,"Fully Received","Over Received"))))),"")</f>
        <v/>
      </c>
      <c r="AD22" s="25" t="n"/>
      <c r="AE22" s="23" t="n"/>
      <c r="AF22" s="51" t="n"/>
      <c r="AG22" s="52" t="n"/>
      <c r="AH22" s="53">
        <f>IFERROR(IF($A22="","",IF($AG22="","",$AG22-$Z22)),"")</f>
        <v/>
      </c>
      <c r="AI22" s="32">
        <f>IFERROR(IF($A22="","",IF(OR($AG22="",$Z22=0),"",($AG22-$Z22)/$Z22)),"")</f>
        <v/>
      </c>
      <c r="AJ22" s="23" t="n"/>
      <c r="AK22" s="51" t="n"/>
      <c r="AL22" s="53">
        <f>IFERROR(IF($A22="","",IF(OR($N22="Canceled",$N22="Closed"),0,MAX($Z22-IF($AG22="",0,$AG22),0))),"")</f>
        <v/>
      </c>
      <c r="AM22" s="27">
        <f>IFERROR(IF($A22="","",IF(OR($N22="Closed",$N22="Canceled"),IF($O22="","",MAX(0,$O22-$H22)),MAX(0,TODAY()-$H22))),"")</f>
        <v/>
      </c>
      <c r="AN22" s="24">
        <f>IFERROR(IF($A22="","",IF($AA22&gt;$R22,"Over Received",IF(AND($J22="Approved",OR($K22="",$L22="")),"Approval Missing",IF(AND($J22="Pending",$AM22&gt;'Settings'!$B$7),"Approval Follow-Up",IF(AND($N22="Open",$I22&lt;&gt;"",$I22+'Settings'!$B$8&lt;TODAY(),$AA22&lt;$R22),"Delivery Overdue",IF(AND($AG22&lt;&gt;"",OR(ABS($AH22)&gt;'Settings'!$B$9,ABS($AI22)&gt;'Settings'!$B$10)),"Invoice Variance",IF(AND($N22="Open",$AM22&gt;'Settings'!$B$11),"Aging Open PO",""))))))),"")</f>
        <v/>
      </c>
      <c r="AO22" s="25" t="n"/>
      <c r="AP22" s="24">
        <f>IFERROR(IF(AND($AN22&lt;&gt;"",$N22&lt;&gt;"Closed",$N22&lt;&gt;"Canceled",OR('Dashboard'!$B$4="All",$B22='Dashboard'!$B$4),OR('Dashboard'!$D$4="All",$C22='Dashboard'!$D$4)),COUNTIFS($AN$6:$AN22,"&lt;&gt;",$N$6:$N22,"&lt;&gt;Closed",$N$6:$N22,"&lt;&gt;Canceled",$B$6:$B22,IF('Dashboard'!$B$4="All","&lt;&gt;",'Dashboard'!$B$4),$C$6:$C22,IF('Dashboard'!$D$4="All","&lt;&gt;",'Dashboard'!$D$4)),""),"")</f>
        <v/>
      </c>
    </row>
    <row r="23">
      <c r="A23" s="23" t="n"/>
      <c r="B23" s="23" t="n"/>
      <c r="C23" s="23" t="n"/>
      <c r="D23" s="23" t="n"/>
      <c r="E23" s="23" t="n"/>
      <c r="F23" s="24">
        <f>IFERROR(IF($E23="","",VLOOKUP($E23,'Settings'!$G$16:$M$115,2,0)),"")</f>
        <v/>
      </c>
      <c r="G23" s="25" t="n"/>
      <c r="H23" s="51" t="n"/>
      <c r="I23" s="51" t="n"/>
      <c r="J23" s="23" t="n"/>
      <c r="K23" s="23" t="n"/>
      <c r="L23" s="51" t="n"/>
      <c r="M23" s="27">
        <f>IFERROR(IF($A23="","",IF($J23="Approved",MAX(0,$L23-$H23),"")),"")</f>
        <v/>
      </c>
      <c r="N23" s="23" t="n"/>
      <c r="O23" s="51" t="n"/>
      <c r="P23" s="23" t="n"/>
      <c r="Q23" s="25" t="n"/>
      <c r="R23" s="28" t="n"/>
      <c r="S23" s="52" t="n"/>
      <c r="T23" s="52" t="n"/>
      <c r="U23" s="23" t="n"/>
      <c r="V23" s="30" t="n"/>
      <c r="W23" s="52" t="n"/>
      <c r="X23" s="53">
        <f>IFERROR(IF($A23="","",MAX(0,$R23*$S23-$T23)),"")</f>
        <v/>
      </c>
      <c r="Y23" s="53">
        <f>IFERROR(IF($A23="","",IF($U23="Yes",$X23*$V23,0)),"")</f>
        <v/>
      </c>
      <c r="Z23" s="53">
        <f>IFERROR(IF($A23="","",$X23+$Y23+$W23),"")</f>
        <v/>
      </c>
      <c r="AA23" s="28" t="n"/>
      <c r="AB23" s="51" t="n"/>
      <c r="AC23" s="24">
        <f>IFERROR(IF($A23="","",IF($N23="Canceled","Canceled",IF($AA23=0,"Not Received",IF($AA23&lt;$R23,"Partially Received",IF($AA23=$R23,"Fully Received","Over Received"))))),"")</f>
        <v/>
      </c>
      <c r="AD23" s="25" t="n"/>
      <c r="AE23" s="23" t="n"/>
      <c r="AF23" s="51" t="n"/>
      <c r="AG23" s="52" t="n"/>
      <c r="AH23" s="53">
        <f>IFERROR(IF($A23="","",IF($AG23="","",$AG23-$Z23)),"")</f>
        <v/>
      </c>
      <c r="AI23" s="32">
        <f>IFERROR(IF($A23="","",IF(OR($AG23="",$Z23=0),"",($AG23-$Z23)/$Z23)),"")</f>
        <v/>
      </c>
      <c r="AJ23" s="23" t="n"/>
      <c r="AK23" s="51" t="n"/>
      <c r="AL23" s="53">
        <f>IFERROR(IF($A23="","",IF(OR($N23="Canceled",$N23="Closed"),0,MAX($Z23-IF($AG23="",0,$AG23),0))),"")</f>
        <v/>
      </c>
      <c r="AM23" s="27">
        <f>IFERROR(IF($A23="","",IF(OR($N23="Closed",$N23="Canceled"),IF($O23="","",MAX(0,$O23-$H23)),MAX(0,TODAY()-$H23))),"")</f>
        <v/>
      </c>
      <c r="AN23" s="24">
        <f>IFERROR(IF($A23="","",IF($AA23&gt;$R23,"Over Received",IF(AND($J23="Approved",OR($K23="",$L23="")),"Approval Missing",IF(AND($J23="Pending",$AM23&gt;'Settings'!$B$7),"Approval Follow-Up",IF(AND($N23="Open",$I23&lt;&gt;"",$I23+'Settings'!$B$8&lt;TODAY(),$AA23&lt;$R23),"Delivery Overdue",IF(AND($AG23&lt;&gt;"",OR(ABS($AH23)&gt;'Settings'!$B$9,ABS($AI23)&gt;'Settings'!$B$10)),"Invoice Variance",IF(AND($N23="Open",$AM23&gt;'Settings'!$B$11),"Aging Open PO",""))))))),"")</f>
        <v/>
      </c>
      <c r="AO23" s="25" t="n"/>
      <c r="AP23" s="24">
        <f>IFERROR(IF(AND($AN23&lt;&gt;"",$N23&lt;&gt;"Closed",$N23&lt;&gt;"Canceled",OR('Dashboard'!$B$4="All",$B23='Dashboard'!$B$4),OR('Dashboard'!$D$4="All",$C23='Dashboard'!$D$4)),COUNTIFS($AN$6:$AN23,"&lt;&gt;",$N$6:$N23,"&lt;&gt;Closed",$N$6:$N23,"&lt;&gt;Canceled",$B$6:$B23,IF('Dashboard'!$B$4="All","&lt;&gt;",'Dashboard'!$B$4),$C$6:$C23,IF('Dashboard'!$D$4="All","&lt;&gt;",'Dashboard'!$D$4)),""),"")</f>
        <v/>
      </c>
    </row>
    <row r="24">
      <c r="A24" s="23" t="n"/>
      <c r="B24" s="23" t="n"/>
      <c r="C24" s="23" t="n"/>
      <c r="D24" s="23" t="n"/>
      <c r="E24" s="23" t="n"/>
      <c r="F24" s="24">
        <f>IFERROR(IF($E24="","",VLOOKUP($E24,'Settings'!$G$16:$M$115,2,0)),"")</f>
        <v/>
      </c>
      <c r="G24" s="25" t="n"/>
      <c r="H24" s="51" t="n"/>
      <c r="I24" s="51" t="n"/>
      <c r="J24" s="23" t="n"/>
      <c r="K24" s="23" t="n"/>
      <c r="L24" s="51" t="n"/>
      <c r="M24" s="27">
        <f>IFERROR(IF($A24="","",IF($J24="Approved",MAX(0,$L24-$H24),"")),"")</f>
        <v/>
      </c>
      <c r="N24" s="23" t="n"/>
      <c r="O24" s="51" t="n"/>
      <c r="P24" s="23" t="n"/>
      <c r="Q24" s="25" t="n"/>
      <c r="R24" s="28" t="n"/>
      <c r="S24" s="52" t="n"/>
      <c r="T24" s="52" t="n"/>
      <c r="U24" s="23" t="n"/>
      <c r="V24" s="30" t="n"/>
      <c r="W24" s="52" t="n"/>
      <c r="X24" s="53">
        <f>IFERROR(IF($A24="","",MAX(0,$R24*$S24-$T24)),"")</f>
        <v/>
      </c>
      <c r="Y24" s="53">
        <f>IFERROR(IF($A24="","",IF($U24="Yes",$X24*$V24,0)),"")</f>
        <v/>
      </c>
      <c r="Z24" s="53">
        <f>IFERROR(IF($A24="","",$X24+$Y24+$W24),"")</f>
        <v/>
      </c>
      <c r="AA24" s="28" t="n"/>
      <c r="AB24" s="51" t="n"/>
      <c r="AC24" s="24">
        <f>IFERROR(IF($A24="","",IF($N24="Canceled","Canceled",IF($AA24=0,"Not Received",IF($AA24&lt;$R24,"Partially Received",IF($AA24=$R24,"Fully Received","Over Received"))))),"")</f>
        <v/>
      </c>
      <c r="AD24" s="25" t="n"/>
      <c r="AE24" s="23" t="n"/>
      <c r="AF24" s="51" t="n"/>
      <c r="AG24" s="52" t="n"/>
      <c r="AH24" s="53">
        <f>IFERROR(IF($A24="","",IF($AG24="","",$AG24-$Z24)),"")</f>
        <v/>
      </c>
      <c r="AI24" s="32">
        <f>IFERROR(IF($A24="","",IF(OR($AG24="",$Z24=0),"",($AG24-$Z24)/$Z24)),"")</f>
        <v/>
      </c>
      <c r="AJ24" s="23" t="n"/>
      <c r="AK24" s="51" t="n"/>
      <c r="AL24" s="53">
        <f>IFERROR(IF($A24="","",IF(OR($N24="Canceled",$N24="Closed"),0,MAX($Z24-IF($AG24="",0,$AG24),0))),"")</f>
        <v/>
      </c>
      <c r="AM24" s="27">
        <f>IFERROR(IF($A24="","",IF(OR($N24="Closed",$N24="Canceled"),IF($O24="","",MAX(0,$O24-$H24)),MAX(0,TODAY()-$H24))),"")</f>
        <v/>
      </c>
      <c r="AN24" s="24">
        <f>IFERROR(IF($A24="","",IF($AA24&gt;$R24,"Over Received",IF(AND($J24="Approved",OR($K24="",$L24="")),"Approval Missing",IF(AND($J24="Pending",$AM24&gt;'Settings'!$B$7),"Approval Follow-Up",IF(AND($N24="Open",$I24&lt;&gt;"",$I24+'Settings'!$B$8&lt;TODAY(),$AA24&lt;$R24),"Delivery Overdue",IF(AND($AG24&lt;&gt;"",OR(ABS($AH24)&gt;'Settings'!$B$9,ABS($AI24)&gt;'Settings'!$B$10)),"Invoice Variance",IF(AND($N24="Open",$AM24&gt;'Settings'!$B$11),"Aging Open PO",""))))))),"")</f>
        <v/>
      </c>
      <c r="AO24" s="25" t="n"/>
      <c r="AP24" s="24">
        <f>IFERROR(IF(AND($AN24&lt;&gt;"",$N24&lt;&gt;"Closed",$N24&lt;&gt;"Canceled",OR('Dashboard'!$B$4="All",$B24='Dashboard'!$B$4),OR('Dashboard'!$D$4="All",$C24='Dashboard'!$D$4)),COUNTIFS($AN$6:$AN24,"&lt;&gt;",$N$6:$N24,"&lt;&gt;Closed",$N$6:$N24,"&lt;&gt;Canceled",$B$6:$B24,IF('Dashboard'!$B$4="All","&lt;&gt;",'Dashboard'!$B$4),$C$6:$C24,IF('Dashboard'!$D$4="All","&lt;&gt;",'Dashboard'!$D$4)),""),"")</f>
        <v/>
      </c>
    </row>
    <row r="25">
      <c r="A25" s="23" t="n"/>
      <c r="B25" s="23" t="n"/>
      <c r="C25" s="23" t="n"/>
      <c r="D25" s="23" t="n"/>
      <c r="E25" s="23" t="n"/>
      <c r="F25" s="24">
        <f>IFERROR(IF($E25="","",VLOOKUP($E25,'Settings'!$G$16:$M$115,2,0)),"")</f>
        <v/>
      </c>
      <c r="G25" s="25" t="n"/>
      <c r="H25" s="51" t="n"/>
      <c r="I25" s="51" t="n"/>
      <c r="J25" s="23" t="n"/>
      <c r="K25" s="23" t="n"/>
      <c r="L25" s="51" t="n"/>
      <c r="M25" s="27">
        <f>IFERROR(IF($A25="","",IF($J25="Approved",MAX(0,$L25-$H25),"")),"")</f>
        <v/>
      </c>
      <c r="N25" s="23" t="n"/>
      <c r="O25" s="51" t="n"/>
      <c r="P25" s="23" t="n"/>
      <c r="Q25" s="25" t="n"/>
      <c r="R25" s="28" t="n"/>
      <c r="S25" s="52" t="n"/>
      <c r="T25" s="52" t="n"/>
      <c r="U25" s="23" t="n"/>
      <c r="V25" s="30" t="n"/>
      <c r="W25" s="52" t="n"/>
      <c r="X25" s="53">
        <f>IFERROR(IF($A25="","",MAX(0,$R25*$S25-$T25)),"")</f>
        <v/>
      </c>
      <c r="Y25" s="53">
        <f>IFERROR(IF($A25="","",IF($U25="Yes",$X25*$V25,0)),"")</f>
        <v/>
      </c>
      <c r="Z25" s="53">
        <f>IFERROR(IF($A25="","",$X25+$Y25+$W25),"")</f>
        <v/>
      </c>
      <c r="AA25" s="28" t="n"/>
      <c r="AB25" s="51" t="n"/>
      <c r="AC25" s="24">
        <f>IFERROR(IF($A25="","",IF($N25="Canceled","Canceled",IF($AA25=0,"Not Received",IF($AA25&lt;$R25,"Partially Received",IF($AA25=$R25,"Fully Received","Over Received"))))),"")</f>
        <v/>
      </c>
      <c r="AD25" s="25" t="n"/>
      <c r="AE25" s="23" t="n"/>
      <c r="AF25" s="51" t="n"/>
      <c r="AG25" s="52" t="n"/>
      <c r="AH25" s="53">
        <f>IFERROR(IF($A25="","",IF($AG25="","",$AG25-$Z25)),"")</f>
        <v/>
      </c>
      <c r="AI25" s="32">
        <f>IFERROR(IF($A25="","",IF(OR($AG25="",$Z25=0),"",($AG25-$Z25)/$Z25)),"")</f>
        <v/>
      </c>
      <c r="AJ25" s="23" t="n"/>
      <c r="AK25" s="51" t="n"/>
      <c r="AL25" s="53">
        <f>IFERROR(IF($A25="","",IF(OR($N25="Canceled",$N25="Closed"),0,MAX($Z25-IF($AG25="",0,$AG25),0))),"")</f>
        <v/>
      </c>
      <c r="AM25" s="27">
        <f>IFERROR(IF($A25="","",IF(OR($N25="Closed",$N25="Canceled"),IF($O25="","",MAX(0,$O25-$H25)),MAX(0,TODAY()-$H25))),"")</f>
        <v/>
      </c>
      <c r="AN25" s="24">
        <f>IFERROR(IF($A25="","",IF($AA25&gt;$R25,"Over Received",IF(AND($J25="Approved",OR($K25="",$L25="")),"Approval Missing",IF(AND($J25="Pending",$AM25&gt;'Settings'!$B$7),"Approval Follow-Up",IF(AND($N25="Open",$I25&lt;&gt;"",$I25+'Settings'!$B$8&lt;TODAY(),$AA25&lt;$R25),"Delivery Overdue",IF(AND($AG25&lt;&gt;"",OR(ABS($AH25)&gt;'Settings'!$B$9,ABS($AI25)&gt;'Settings'!$B$10)),"Invoice Variance",IF(AND($N25="Open",$AM25&gt;'Settings'!$B$11),"Aging Open PO",""))))))),"")</f>
        <v/>
      </c>
      <c r="AO25" s="25" t="n"/>
      <c r="AP25" s="24">
        <f>IFERROR(IF(AND($AN25&lt;&gt;"",$N25&lt;&gt;"Closed",$N25&lt;&gt;"Canceled",OR('Dashboard'!$B$4="All",$B25='Dashboard'!$B$4),OR('Dashboard'!$D$4="All",$C25='Dashboard'!$D$4)),COUNTIFS($AN$6:$AN25,"&lt;&gt;",$N$6:$N25,"&lt;&gt;Closed",$N$6:$N25,"&lt;&gt;Canceled",$B$6:$B25,IF('Dashboard'!$B$4="All","&lt;&gt;",'Dashboard'!$B$4),$C$6:$C25,IF('Dashboard'!$D$4="All","&lt;&gt;",'Dashboard'!$D$4)),""),"")</f>
        <v/>
      </c>
    </row>
    <row r="26">
      <c r="A26" s="23" t="n"/>
      <c r="B26" s="23" t="n"/>
      <c r="C26" s="23" t="n"/>
      <c r="D26" s="23" t="n"/>
      <c r="E26" s="23" t="n"/>
      <c r="F26" s="24">
        <f>IFERROR(IF($E26="","",VLOOKUP($E26,'Settings'!$G$16:$M$115,2,0)),"")</f>
        <v/>
      </c>
      <c r="G26" s="25" t="n"/>
      <c r="H26" s="51" t="n"/>
      <c r="I26" s="51" t="n"/>
      <c r="J26" s="23" t="n"/>
      <c r="K26" s="23" t="n"/>
      <c r="L26" s="51" t="n"/>
      <c r="M26" s="27">
        <f>IFERROR(IF($A26="","",IF($J26="Approved",MAX(0,$L26-$H26),"")),"")</f>
        <v/>
      </c>
      <c r="N26" s="23" t="n"/>
      <c r="O26" s="51" t="n"/>
      <c r="P26" s="23" t="n"/>
      <c r="Q26" s="25" t="n"/>
      <c r="R26" s="28" t="n"/>
      <c r="S26" s="52" t="n"/>
      <c r="T26" s="52" t="n"/>
      <c r="U26" s="23" t="n"/>
      <c r="V26" s="30" t="n"/>
      <c r="W26" s="52" t="n"/>
      <c r="X26" s="53">
        <f>IFERROR(IF($A26="","",MAX(0,$R26*$S26-$T26)),"")</f>
        <v/>
      </c>
      <c r="Y26" s="53">
        <f>IFERROR(IF($A26="","",IF($U26="Yes",$X26*$V26,0)),"")</f>
        <v/>
      </c>
      <c r="Z26" s="53">
        <f>IFERROR(IF($A26="","",$X26+$Y26+$W26),"")</f>
        <v/>
      </c>
      <c r="AA26" s="28" t="n"/>
      <c r="AB26" s="51" t="n"/>
      <c r="AC26" s="24">
        <f>IFERROR(IF($A26="","",IF($N26="Canceled","Canceled",IF($AA26=0,"Not Received",IF($AA26&lt;$R26,"Partially Received",IF($AA26=$R26,"Fully Received","Over Received"))))),"")</f>
        <v/>
      </c>
      <c r="AD26" s="25" t="n"/>
      <c r="AE26" s="23" t="n"/>
      <c r="AF26" s="51" t="n"/>
      <c r="AG26" s="52" t="n"/>
      <c r="AH26" s="53">
        <f>IFERROR(IF($A26="","",IF($AG26="","",$AG26-$Z26)),"")</f>
        <v/>
      </c>
      <c r="AI26" s="32">
        <f>IFERROR(IF($A26="","",IF(OR($AG26="",$Z26=0),"",($AG26-$Z26)/$Z26)),"")</f>
        <v/>
      </c>
      <c r="AJ26" s="23" t="n"/>
      <c r="AK26" s="51" t="n"/>
      <c r="AL26" s="53">
        <f>IFERROR(IF($A26="","",IF(OR($N26="Canceled",$N26="Closed"),0,MAX($Z26-IF($AG26="",0,$AG26),0))),"")</f>
        <v/>
      </c>
      <c r="AM26" s="27">
        <f>IFERROR(IF($A26="","",IF(OR($N26="Closed",$N26="Canceled"),IF($O26="","",MAX(0,$O26-$H26)),MAX(0,TODAY()-$H26))),"")</f>
        <v/>
      </c>
      <c r="AN26" s="24">
        <f>IFERROR(IF($A26="","",IF($AA26&gt;$R26,"Over Received",IF(AND($J26="Approved",OR($K26="",$L26="")),"Approval Missing",IF(AND($J26="Pending",$AM26&gt;'Settings'!$B$7),"Approval Follow-Up",IF(AND($N26="Open",$I26&lt;&gt;"",$I26+'Settings'!$B$8&lt;TODAY(),$AA26&lt;$R26),"Delivery Overdue",IF(AND($AG26&lt;&gt;"",OR(ABS($AH26)&gt;'Settings'!$B$9,ABS($AI26)&gt;'Settings'!$B$10)),"Invoice Variance",IF(AND($N26="Open",$AM26&gt;'Settings'!$B$11),"Aging Open PO",""))))))),"")</f>
        <v/>
      </c>
      <c r="AO26" s="25" t="n"/>
      <c r="AP26" s="24">
        <f>IFERROR(IF(AND($AN26&lt;&gt;"",$N26&lt;&gt;"Closed",$N26&lt;&gt;"Canceled",OR('Dashboard'!$B$4="All",$B26='Dashboard'!$B$4),OR('Dashboard'!$D$4="All",$C26='Dashboard'!$D$4)),COUNTIFS($AN$6:$AN26,"&lt;&gt;",$N$6:$N26,"&lt;&gt;Closed",$N$6:$N26,"&lt;&gt;Canceled",$B$6:$B26,IF('Dashboard'!$B$4="All","&lt;&gt;",'Dashboard'!$B$4),$C$6:$C26,IF('Dashboard'!$D$4="All","&lt;&gt;",'Dashboard'!$D$4)),""),"")</f>
        <v/>
      </c>
    </row>
    <row r="27">
      <c r="A27" s="23" t="n"/>
      <c r="B27" s="23" t="n"/>
      <c r="C27" s="23" t="n"/>
      <c r="D27" s="23" t="n"/>
      <c r="E27" s="23" t="n"/>
      <c r="F27" s="24">
        <f>IFERROR(IF($E27="","",VLOOKUP($E27,'Settings'!$G$16:$M$115,2,0)),"")</f>
        <v/>
      </c>
      <c r="G27" s="25" t="n"/>
      <c r="H27" s="51" t="n"/>
      <c r="I27" s="51" t="n"/>
      <c r="J27" s="23" t="n"/>
      <c r="K27" s="23" t="n"/>
      <c r="L27" s="51" t="n"/>
      <c r="M27" s="27">
        <f>IFERROR(IF($A27="","",IF($J27="Approved",MAX(0,$L27-$H27),"")),"")</f>
        <v/>
      </c>
      <c r="N27" s="23" t="n"/>
      <c r="O27" s="51" t="n"/>
      <c r="P27" s="23" t="n"/>
      <c r="Q27" s="25" t="n"/>
      <c r="R27" s="28" t="n"/>
      <c r="S27" s="52" t="n"/>
      <c r="T27" s="52" t="n"/>
      <c r="U27" s="23" t="n"/>
      <c r="V27" s="30" t="n"/>
      <c r="W27" s="52" t="n"/>
      <c r="X27" s="53">
        <f>IFERROR(IF($A27="","",MAX(0,$R27*$S27-$T27)),"")</f>
        <v/>
      </c>
      <c r="Y27" s="53">
        <f>IFERROR(IF($A27="","",IF($U27="Yes",$X27*$V27,0)),"")</f>
        <v/>
      </c>
      <c r="Z27" s="53">
        <f>IFERROR(IF($A27="","",$X27+$Y27+$W27),"")</f>
        <v/>
      </c>
      <c r="AA27" s="28" t="n"/>
      <c r="AB27" s="51" t="n"/>
      <c r="AC27" s="24">
        <f>IFERROR(IF($A27="","",IF($N27="Canceled","Canceled",IF($AA27=0,"Not Received",IF($AA27&lt;$R27,"Partially Received",IF($AA27=$R27,"Fully Received","Over Received"))))),"")</f>
        <v/>
      </c>
      <c r="AD27" s="25" t="n"/>
      <c r="AE27" s="23" t="n"/>
      <c r="AF27" s="51" t="n"/>
      <c r="AG27" s="52" t="n"/>
      <c r="AH27" s="53">
        <f>IFERROR(IF($A27="","",IF($AG27="","",$AG27-$Z27)),"")</f>
        <v/>
      </c>
      <c r="AI27" s="32">
        <f>IFERROR(IF($A27="","",IF(OR($AG27="",$Z27=0),"",($AG27-$Z27)/$Z27)),"")</f>
        <v/>
      </c>
      <c r="AJ27" s="23" t="n"/>
      <c r="AK27" s="51" t="n"/>
      <c r="AL27" s="53">
        <f>IFERROR(IF($A27="","",IF(OR($N27="Canceled",$N27="Closed"),0,MAX($Z27-IF($AG27="",0,$AG27),0))),"")</f>
        <v/>
      </c>
      <c r="AM27" s="27">
        <f>IFERROR(IF($A27="","",IF(OR($N27="Closed",$N27="Canceled"),IF($O27="","",MAX(0,$O27-$H27)),MAX(0,TODAY()-$H27))),"")</f>
        <v/>
      </c>
      <c r="AN27" s="24">
        <f>IFERROR(IF($A27="","",IF($AA27&gt;$R27,"Over Received",IF(AND($J27="Approved",OR($K27="",$L27="")),"Approval Missing",IF(AND($J27="Pending",$AM27&gt;'Settings'!$B$7),"Approval Follow-Up",IF(AND($N27="Open",$I27&lt;&gt;"",$I27+'Settings'!$B$8&lt;TODAY(),$AA27&lt;$R27),"Delivery Overdue",IF(AND($AG27&lt;&gt;"",OR(ABS($AH27)&gt;'Settings'!$B$9,ABS($AI27)&gt;'Settings'!$B$10)),"Invoice Variance",IF(AND($N27="Open",$AM27&gt;'Settings'!$B$11),"Aging Open PO",""))))))),"")</f>
        <v/>
      </c>
      <c r="AO27" s="25" t="n"/>
      <c r="AP27" s="24">
        <f>IFERROR(IF(AND($AN27&lt;&gt;"",$N27&lt;&gt;"Closed",$N27&lt;&gt;"Canceled",OR('Dashboard'!$B$4="All",$B27='Dashboard'!$B$4),OR('Dashboard'!$D$4="All",$C27='Dashboard'!$D$4)),COUNTIFS($AN$6:$AN27,"&lt;&gt;",$N$6:$N27,"&lt;&gt;Closed",$N$6:$N27,"&lt;&gt;Canceled",$B$6:$B27,IF('Dashboard'!$B$4="All","&lt;&gt;",'Dashboard'!$B$4),$C$6:$C27,IF('Dashboard'!$D$4="All","&lt;&gt;",'Dashboard'!$D$4)),""),"")</f>
        <v/>
      </c>
    </row>
    <row r="28">
      <c r="A28" s="23" t="n"/>
      <c r="B28" s="23" t="n"/>
      <c r="C28" s="23" t="n"/>
      <c r="D28" s="23" t="n"/>
      <c r="E28" s="23" t="n"/>
      <c r="F28" s="24">
        <f>IFERROR(IF($E28="","",VLOOKUP($E28,'Settings'!$G$16:$M$115,2,0)),"")</f>
        <v/>
      </c>
      <c r="G28" s="25" t="n"/>
      <c r="H28" s="51" t="n"/>
      <c r="I28" s="51" t="n"/>
      <c r="J28" s="23" t="n"/>
      <c r="K28" s="23" t="n"/>
      <c r="L28" s="51" t="n"/>
      <c r="M28" s="27">
        <f>IFERROR(IF($A28="","",IF($J28="Approved",MAX(0,$L28-$H28),"")),"")</f>
        <v/>
      </c>
      <c r="N28" s="23" t="n"/>
      <c r="O28" s="51" t="n"/>
      <c r="P28" s="23" t="n"/>
      <c r="Q28" s="25" t="n"/>
      <c r="R28" s="28" t="n"/>
      <c r="S28" s="52" t="n"/>
      <c r="T28" s="52" t="n"/>
      <c r="U28" s="23" t="n"/>
      <c r="V28" s="30" t="n"/>
      <c r="W28" s="52" t="n"/>
      <c r="X28" s="53">
        <f>IFERROR(IF($A28="","",MAX(0,$R28*$S28-$T28)),"")</f>
        <v/>
      </c>
      <c r="Y28" s="53">
        <f>IFERROR(IF($A28="","",IF($U28="Yes",$X28*$V28,0)),"")</f>
        <v/>
      </c>
      <c r="Z28" s="53">
        <f>IFERROR(IF($A28="","",$X28+$Y28+$W28),"")</f>
        <v/>
      </c>
      <c r="AA28" s="28" t="n"/>
      <c r="AB28" s="51" t="n"/>
      <c r="AC28" s="24">
        <f>IFERROR(IF($A28="","",IF($N28="Canceled","Canceled",IF($AA28=0,"Not Received",IF($AA28&lt;$R28,"Partially Received",IF($AA28=$R28,"Fully Received","Over Received"))))),"")</f>
        <v/>
      </c>
      <c r="AD28" s="25" t="n"/>
      <c r="AE28" s="23" t="n"/>
      <c r="AF28" s="51" t="n"/>
      <c r="AG28" s="52" t="n"/>
      <c r="AH28" s="53">
        <f>IFERROR(IF($A28="","",IF($AG28="","",$AG28-$Z28)),"")</f>
        <v/>
      </c>
      <c r="AI28" s="32">
        <f>IFERROR(IF($A28="","",IF(OR($AG28="",$Z28=0),"",($AG28-$Z28)/$Z28)),"")</f>
        <v/>
      </c>
      <c r="AJ28" s="23" t="n"/>
      <c r="AK28" s="51" t="n"/>
      <c r="AL28" s="53">
        <f>IFERROR(IF($A28="","",IF(OR($N28="Canceled",$N28="Closed"),0,MAX($Z28-IF($AG28="",0,$AG28),0))),"")</f>
        <v/>
      </c>
      <c r="AM28" s="27">
        <f>IFERROR(IF($A28="","",IF(OR($N28="Closed",$N28="Canceled"),IF($O28="","",MAX(0,$O28-$H28)),MAX(0,TODAY()-$H28))),"")</f>
        <v/>
      </c>
      <c r="AN28" s="24">
        <f>IFERROR(IF($A28="","",IF($AA28&gt;$R28,"Over Received",IF(AND($J28="Approved",OR($K28="",$L28="")),"Approval Missing",IF(AND($J28="Pending",$AM28&gt;'Settings'!$B$7),"Approval Follow-Up",IF(AND($N28="Open",$I28&lt;&gt;"",$I28+'Settings'!$B$8&lt;TODAY(),$AA28&lt;$R28),"Delivery Overdue",IF(AND($AG28&lt;&gt;"",OR(ABS($AH28)&gt;'Settings'!$B$9,ABS($AI28)&gt;'Settings'!$B$10)),"Invoice Variance",IF(AND($N28="Open",$AM28&gt;'Settings'!$B$11),"Aging Open PO",""))))))),"")</f>
        <v/>
      </c>
      <c r="AO28" s="25" t="n"/>
      <c r="AP28" s="24">
        <f>IFERROR(IF(AND($AN28&lt;&gt;"",$N28&lt;&gt;"Closed",$N28&lt;&gt;"Canceled",OR('Dashboard'!$B$4="All",$B28='Dashboard'!$B$4),OR('Dashboard'!$D$4="All",$C28='Dashboard'!$D$4)),COUNTIFS($AN$6:$AN28,"&lt;&gt;",$N$6:$N28,"&lt;&gt;Closed",$N$6:$N28,"&lt;&gt;Canceled",$B$6:$B28,IF('Dashboard'!$B$4="All","&lt;&gt;",'Dashboard'!$B$4),$C$6:$C28,IF('Dashboard'!$D$4="All","&lt;&gt;",'Dashboard'!$D$4)),""),"")</f>
        <v/>
      </c>
    </row>
    <row r="29">
      <c r="A29" s="23" t="n"/>
      <c r="B29" s="23" t="n"/>
      <c r="C29" s="23" t="n"/>
      <c r="D29" s="23" t="n"/>
      <c r="E29" s="23" t="n"/>
      <c r="F29" s="24">
        <f>IFERROR(IF($E29="","",VLOOKUP($E29,'Settings'!$G$16:$M$115,2,0)),"")</f>
        <v/>
      </c>
      <c r="G29" s="25" t="n"/>
      <c r="H29" s="51" t="n"/>
      <c r="I29" s="51" t="n"/>
      <c r="J29" s="23" t="n"/>
      <c r="K29" s="23" t="n"/>
      <c r="L29" s="51" t="n"/>
      <c r="M29" s="27">
        <f>IFERROR(IF($A29="","",IF($J29="Approved",MAX(0,$L29-$H29),"")),"")</f>
        <v/>
      </c>
      <c r="N29" s="23" t="n"/>
      <c r="O29" s="51" t="n"/>
      <c r="P29" s="23" t="n"/>
      <c r="Q29" s="25" t="n"/>
      <c r="R29" s="28" t="n"/>
      <c r="S29" s="52" t="n"/>
      <c r="T29" s="52" t="n"/>
      <c r="U29" s="23" t="n"/>
      <c r="V29" s="30" t="n"/>
      <c r="W29" s="52" t="n"/>
      <c r="X29" s="53">
        <f>IFERROR(IF($A29="","",MAX(0,$R29*$S29-$T29)),"")</f>
        <v/>
      </c>
      <c r="Y29" s="53">
        <f>IFERROR(IF($A29="","",IF($U29="Yes",$X29*$V29,0)),"")</f>
        <v/>
      </c>
      <c r="Z29" s="53">
        <f>IFERROR(IF($A29="","",$X29+$Y29+$W29),"")</f>
        <v/>
      </c>
      <c r="AA29" s="28" t="n"/>
      <c r="AB29" s="51" t="n"/>
      <c r="AC29" s="24">
        <f>IFERROR(IF($A29="","",IF($N29="Canceled","Canceled",IF($AA29=0,"Not Received",IF($AA29&lt;$R29,"Partially Received",IF($AA29=$R29,"Fully Received","Over Received"))))),"")</f>
        <v/>
      </c>
      <c r="AD29" s="25" t="n"/>
      <c r="AE29" s="23" t="n"/>
      <c r="AF29" s="51" t="n"/>
      <c r="AG29" s="52" t="n"/>
      <c r="AH29" s="53">
        <f>IFERROR(IF($A29="","",IF($AG29="","",$AG29-$Z29)),"")</f>
        <v/>
      </c>
      <c r="AI29" s="32">
        <f>IFERROR(IF($A29="","",IF(OR($AG29="",$Z29=0),"",($AG29-$Z29)/$Z29)),"")</f>
        <v/>
      </c>
      <c r="AJ29" s="23" t="n"/>
      <c r="AK29" s="51" t="n"/>
      <c r="AL29" s="53">
        <f>IFERROR(IF($A29="","",IF(OR($N29="Canceled",$N29="Closed"),0,MAX($Z29-IF($AG29="",0,$AG29),0))),"")</f>
        <v/>
      </c>
      <c r="AM29" s="27">
        <f>IFERROR(IF($A29="","",IF(OR($N29="Closed",$N29="Canceled"),IF($O29="","",MAX(0,$O29-$H29)),MAX(0,TODAY()-$H29))),"")</f>
        <v/>
      </c>
      <c r="AN29" s="24">
        <f>IFERROR(IF($A29="","",IF($AA29&gt;$R29,"Over Received",IF(AND($J29="Approved",OR($K29="",$L29="")),"Approval Missing",IF(AND($J29="Pending",$AM29&gt;'Settings'!$B$7),"Approval Follow-Up",IF(AND($N29="Open",$I29&lt;&gt;"",$I29+'Settings'!$B$8&lt;TODAY(),$AA29&lt;$R29),"Delivery Overdue",IF(AND($AG29&lt;&gt;"",OR(ABS($AH29)&gt;'Settings'!$B$9,ABS($AI29)&gt;'Settings'!$B$10)),"Invoice Variance",IF(AND($N29="Open",$AM29&gt;'Settings'!$B$11),"Aging Open PO",""))))))),"")</f>
        <v/>
      </c>
      <c r="AO29" s="25" t="n"/>
      <c r="AP29" s="24">
        <f>IFERROR(IF(AND($AN29&lt;&gt;"",$N29&lt;&gt;"Closed",$N29&lt;&gt;"Canceled",OR('Dashboard'!$B$4="All",$B29='Dashboard'!$B$4),OR('Dashboard'!$D$4="All",$C29='Dashboard'!$D$4)),COUNTIFS($AN$6:$AN29,"&lt;&gt;",$N$6:$N29,"&lt;&gt;Closed",$N$6:$N29,"&lt;&gt;Canceled",$B$6:$B29,IF('Dashboard'!$B$4="All","&lt;&gt;",'Dashboard'!$B$4),$C$6:$C29,IF('Dashboard'!$D$4="All","&lt;&gt;",'Dashboard'!$D$4)),""),"")</f>
        <v/>
      </c>
    </row>
    <row r="30">
      <c r="A30" s="23" t="n"/>
      <c r="B30" s="23" t="n"/>
      <c r="C30" s="23" t="n"/>
      <c r="D30" s="23" t="n"/>
      <c r="E30" s="23" t="n"/>
      <c r="F30" s="24">
        <f>IFERROR(IF($E30="","",VLOOKUP($E30,'Settings'!$G$16:$M$115,2,0)),"")</f>
        <v/>
      </c>
      <c r="G30" s="25" t="n"/>
      <c r="H30" s="51" t="n"/>
      <c r="I30" s="51" t="n"/>
      <c r="J30" s="23" t="n"/>
      <c r="K30" s="23" t="n"/>
      <c r="L30" s="51" t="n"/>
      <c r="M30" s="27">
        <f>IFERROR(IF($A30="","",IF($J30="Approved",MAX(0,$L30-$H30),"")),"")</f>
        <v/>
      </c>
      <c r="N30" s="23" t="n"/>
      <c r="O30" s="51" t="n"/>
      <c r="P30" s="23" t="n"/>
      <c r="Q30" s="25" t="n"/>
      <c r="R30" s="28" t="n"/>
      <c r="S30" s="52" t="n"/>
      <c r="T30" s="52" t="n"/>
      <c r="U30" s="23" t="n"/>
      <c r="V30" s="30" t="n"/>
      <c r="W30" s="52" t="n"/>
      <c r="X30" s="53">
        <f>IFERROR(IF($A30="","",MAX(0,$R30*$S30-$T30)),"")</f>
        <v/>
      </c>
      <c r="Y30" s="53">
        <f>IFERROR(IF($A30="","",IF($U30="Yes",$X30*$V30,0)),"")</f>
        <v/>
      </c>
      <c r="Z30" s="53">
        <f>IFERROR(IF($A30="","",$X30+$Y30+$W30),"")</f>
        <v/>
      </c>
      <c r="AA30" s="28" t="n"/>
      <c r="AB30" s="51" t="n"/>
      <c r="AC30" s="24">
        <f>IFERROR(IF($A30="","",IF($N30="Canceled","Canceled",IF($AA30=0,"Not Received",IF($AA30&lt;$R30,"Partially Received",IF($AA30=$R30,"Fully Received","Over Received"))))),"")</f>
        <v/>
      </c>
      <c r="AD30" s="25" t="n"/>
      <c r="AE30" s="23" t="n"/>
      <c r="AF30" s="51" t="n"/>
      <c r="AG30" s="52" t="n"/>
      <c r="AH30" s="53">
        <f>IFERROR(IF($A30="","",IF($AG30="","",$AG30-$Z30)),"")</f>
        <v/>
      </c>
      <c r="AI30" s="32">
        <f>IFERROR(IF($A30="","",IF(OR($AG30="",$Z30=0),"",($AG30-$Z30)/$Z30)),"")</f>
        <v/>
      </c>
      <c r="AJ30" s="23" t="n"/>
      <c r="AK30" s="51" t="n"/>
      <c r="AL30" s="53">
        <f>IFERROR(IF($A30="","",IF(OR($N30="Canceled",$N30="Closed"),0,MAX($Z30-IF($AG30="",0,$AG30),0))),"")</f>
        <v/>
      </c>
      <c r="AM30" s="27">
        <f>IFERROR(IF($A30="","",IF(OR($N30="Closed",$N30="Canceled"),IF($O30="","",MAX(0,$O30-$H30)),MAX(0,TODAY()-$H30))),"")</f>
        <v/>
      </c>
      <c r="AN30" s="24">
        <f>IFERROR(IF($A30="","",IF($AA30&gt;$R30,"Over Received",IF(AND($J30="Approved",OR($K30="",$L30="")),"Approval Missing",IF(AND($J30="Pending",$AM30&gt;'Settings'!$B$7),"Approval Follow-Up",IF(AND($N30="Open",$I30&lt;&gt;"",$I30+'Settings'!$B$8&lt;TODAY(),$AA30&lt;$R30),"Delivery Overdue",IF(AND($AG30&lt;&gt;"",OR(ABS($AH30)&gt;'Settings'!$B$9,ABS($AI30)&gt;'Settings'!$B$10)),"Invoice Variance",IF(AND($N30="Open",$AM30&gt;'Settings'!$B$11),"Aging Open PO",""))))))),"")</f>
        <v/>
      </c>
      <c r="AO30" s="25" t="n"/>
      <c r="AP30" s="24">
        <f>IFERROR(IF(AND($AN30&lt;&gt;"",$N30&lt;&gt;"Closed",$N30&lt;&gt;"Canceled",OR('Dashboard'!$B$4="All",$B30='Dashboard'!$B$4),OR('Dashboard'!$D$4="All",$C30='Dashboard'!$D$4)),COUNTIFS($AN$6:$AN30,"&lt;&gt;",$N$6:$N30,"&lt;&gt;Closed",$N$6:$N30,"&lt;&gt;Canceled",$B$6:$B30,IF('Dashboard'!$B$4="All","&lt;&gt;",'Dashboard'!$B$4),$C$6:$C30,IF('Dashboard'!$D$4="All","&lt;&gt;",'Dashboard'!$D$4)),""),"")</f>
        <v/>
      </c>
    </row>
    <row r="31">
      <c r="A31" s="23" t="n"/>
      <c r="B31" s="23" t="n"/>
      <c r="C31" s="23" t="n"/>
      <c r="D31" s="23" t="n"/>
      <c r="E31" s="23" t="n"/>
      <c r="F31" s="24">
        <f>IFERROR(IF($E31="","",VLOOKUP($E31,'Settings'!$G$16:$M$115,2,0)),"")</f>
        <v/>
      </c>
      <c r="G31" s="25" t="n"/>
      <c r="H31" s="51" t="n"/>
      <c r="I31" s="51" t="n"/>
      <c r="J31" s="23" t="n"/>
      <c r="K31" s="23" t="n"/>
      <c r="L31" s="51" t="n"/>
      <c r="M31" s="27">
        <f>IFERROR(IF($A31="","",IF($J31="Approved",MAX(0,$L31-$H31),"")),"")</f>
        <v/>
      </c>
      <c r="N31" s="23" t="n"/>
      <c r="O31" s="51" t="n"/>
      <c r="P31" s="23" t="n"/>
      <c r="Q31" s="25" t="n"/>
      <c r="R31" s="28" t="n"/>
      <c r="S31" s="52" t="n"/>
      <c r="T31" s="52" t="n"/>
      <c r="U31" s="23" t="n"/>
      <c r="V31" s="30" t="n"/>
      <c r="W31" s="52" t="n"/>
      <c r="X31" s="53">
        <f>IFERROR(IF($A31="","",MAX(0,$R31*$S31-$T31)),"")</f>
        <v/>
      </c>
      <c r="Y31" s="53">
        <f>IFERROR(IF($A31="","",IF($U31="Yes",$X31*$V31,0)),"")</f>
        <v/>
      </c>
      <c r="Z31" s="53">
        <f>IFERROR(IF($A31="","",$X31+$Y31+$W31),"")</f>
        <v/>
      </c>
      <c r="AA31" s="28" t="n"/>
      <c r="AB31" s="51" t="n"/>
      <c r="AC31" s="24">
        <f>IFERROR(IF($A31="","",IF($N31="Canceled","Canceled",IF($AA31=0,"Not Received",IF($AA31&lt;$R31,"Partially Received",IF($AA31=$R31,"Fully Received","Over Received"))))),"")</f>
        <v/>
      </c>
      <c r="AD31" s="25" t="n"/>
      <c r="AE31" s="23" t="n"/>
      <c r="AF31" s="51" t="n"/>
      <c r="AG31" s="52" t="n"/>
      <c r="AH31" s="53">
        <f>IFERROR(IF($A31="","",IF($AG31="","",$AG31-$Z31)),"")</f>
        <v/>
      </c>
      <c r="AI31" s="32">
        <f>IFERROR(IF($A31="","",IF(OR($AG31="",$Z31=0),"",($AG31-$Z31)/$Z31)),"")</f>
        <v/>
      </c>
      <c r="AJ31" s="23" t="n"/>
      <c r="AK31" s="51" t="n"/>
      <c r="AL31" s="53">
        <f>IFERROR(IF($A31="","",IF(OR($N31="Canceled",$N31="Closed"),0,MAX($Z31-IF($AG31="",0,$AG31),0))),"")</f>
        <v/>
      </c>
      <c r="AM31" s="27">
        <f>IFERROR(IF($A31="","",IF(OR($N31="Closed",$N31="Canceled"),IF($O31="","",MAX(0,$O31-$H31)),MAX(0,TODAY()-$H31))),"")</f>
        <v/>
      </c>
      <c r="AN31" s="24">
        <f>IFERROR(IF($A31="","",IF($AA31&gt;$R31,"Over Received",IF(AND($J31="Approved",OR($K31="",$L31="")),"Approval Missing",IF(AND($J31="Pending",$AM31&gt;'Settings'!$B$7),"Approval Follow-Up",IF(AND($N31="Open",$I31&lt;&gt;"",$I31+'Settings'!$B$8&lt;TODAY(),$AA31&lt;$R31),"Delivery Overdue",IF(AND($AG31&lt;&gt;"",OR(ABS($AH31)&gt;'Settings'!$B$9,ABS($AI31)&gt;'Settings'!$B$10)),"Invoice Variance",IF(AND($N31="Open",$AM31&gt;'Settings'!$B$11),"Aging Open PO",""))))))),"")</f>
        <v/>
      </c>
      <c r="AO31" s="25" t="n"/>
      <c r="AP31" s="24">
        <f>IFERROR(IF(AND($AN31&lt;&gt;"",$N31&lt;&gt;"Closed",$N31&lt;&gt;"Canceled",OR('Dashboard'!$B$4="All",$B31='Dashboard'!$B$4),OR('Dashboard'!$D$4="All",$C31='Dashboard'!$D$4)),COUNTIFS($AN$6:$AN31,"&lt;&gt;",$N$6:$N31,"&lt;&gt;Closed",$N$6:$N31,"&lt;&gt;Canceled",$B$6:$B31,IF('Dashboard'!$B$4="All","&lt;&gt;",'Dashboard'!$B$4),$C$6:$C31,IF('Dashboard'!$D$4="All","&lt;&gt;",'Dashboard'!$D$4)),""),"")</f>
        <v/>
      </c>
    </row>
    <row r="32">
      <c r="A32" s="23" t="n"/>
      <c r="B32" s="23" t="n"/>
      <c r="C32" s="23" t="n"/>
      <c r="D32" s="23" t="n"/>
      <c r="E32" s="23" t="n"/>
      <c r="F32" s="24">
        <f>IFERROR(IF($E32="","",VLOOKUP($E32,'Settings'!$G$16:$M$115,2,0)),"")</f>
        <v/>
      </c>
      <c r="G32" s="25" t="n"/>
      <c r="H32" s="51" t="n"/>
      <c r="I32" s="51" t="n"/>
      <c r="J32" s="23" t="n"/>
      <c r="K32" s="23" t="n"/>
      <c r="L32" s="51" t="n"/>
      <c r="M32" s="27">
        <f>IFERROR(IF($A32="","",IF($J32="Approved",MAX(0,$L32-$H32),"")),"")</f>
        <v/>
      </c>
      <c r="N32" s="23" t="n"/>
      <c r="O32" s="51" t="n"/>
      <c r="P32" s="23" t="n"/>
      <c r="Q32" s="25" t="n"/>
      <c r="R32" s="28" t="n"/>
      <c r="S32" s="52" t="n"/>
      <c r="T32" s="52" t="n"/>
      <c r="U32" s="23" t="n"/>
      <c r="V32" s="30" t="n"/>
      <c r="W32" s="52" t="n"/>
      <c r="X32" s="53">
        <f>IFERROR(IF($A32="","",MAX(0,$R32*$S32-$T32)),"")</f>
        <v/>
      </c>
      <c r="Y32" s="53">
        <f>IFERROR(IF($A32="","",IF($U32="Yes",$X32*$V32,0)),"")</f>
        <v/>
      </c>
      <c r="Z32" s="53">
        <f>IFERROR(IF($A32="","",$X32+$Y32+$W32),"")</f>
        <v/>
      </c>
      <c r="AA32" s="28" t="n"/>
      <c r="AB32" s="51" t="n"/>
      <c r="AC32" s="24">
        <f>IFERROR(IF($A32="","",IF($N32="Canceled","Canceled",IF($AA32=0,"Not Received",IF($AA32&lt;$R32,"Partially Received",IF($AA32=$R32,"Fully Received","Over Received"))))),"")</f>
        <v/>
      </c>
      <c r="AD32" s="25" t="n"/>
      <c r="AE32" s="23" t="n"/>
      <c r="AF32" s="51" t="n"/>
      <c r="AG32" s="52" t="n"/>
      <c r="AH32" s="53">
        <f>IFERROR(IF($A32="","",IF($AG32="","",$AG32-$Z32)),"")</f>
        <v/>
      </c>
      <c r="AI32" s="32">
        <f>IFERROR(IF($A32="","",IF(OR($AG32="",$Z32=0),"",($AG32-$Z32)/$Z32)),"")</f>
        <v/>
      </c>
      <c r="AJ32" s="23" t="n"/>
      <c r="AK32" s="51" t="n"/>
      <c r="AL32" s="53">
        <f>IFERROR(IF($A32="","",IF(OR($N32="Canceled",$N32="Closed"),0,MAX($Z32-IF($AG32="",0,$AG32),0))),"")</f>
        <v/>
      </c>
      <c r="AM32" s="27">
        <f>IFERROR(IF($A32="","",IF(OR($N32="Closed",$N32="Canceled"),IF($O32="","",MAX(0,$O32-$H32)),MAX(0,TODAY()-$H32))),"")</f>
        <v/>
      </c>
      <c r="AN32" s="24">
        <f>IFERROR(IF($A32="","",IF($AA32&gt;$R32,"Over Received",IF(AND($J32="Approved",OR($K32="",$L32="")),"Approval Missing",IF(AND($J32="Pending",$AM32&gt;'Settings'!$B$7),"Approval Follow-Up",IF(AND($N32="Open",$I32&lt;&gt;"",$I32+'Settings'!$B$8&lt;TODAY(),$AA32&lt;$R32),"Delivery Overdue",IF(AND($AG32&lt;&gt;"",OR(ABS($AH32)&gt;'Settings'!$B$9,ABS($AI32)&gt;'Settings'!$B$10)),"Invoice Variance",IF(AND($N32="Open",$AM32&gt;'Settings'!$B$11),"Aging Open PO",""))))))),"")</f>
        <v/>
      </c>
      <c r="AO32" s="25" t="n"/>
      <c r="AP32" s="24">
        <f>IFERROR(IF(AND($AN32&lt;&gt;"",$N32&lt;&gt;"Closed",$N32&lt;&gt;"Canceled",OR('Dashboard'!$B$4="All",$B32='Dashboard'!$B$4),OR('Dashboard'!$D$4="All",$C32='Dashboard'!$D$4)),COUNTIFS($AN$6:$AN32,"&lt;&gt;",$N$6:$N32,"&lt;&gt;Closed",$N$6:$N32,"&lt;&gt;Canceled",$B$6:$B32,IF('Dashboard'!$B$4="All","&lt;&gt;",'Dashboard'!$B$4),$C$6:$C32,IF('Dashboard'!$D$4="All","&lt;&gt;",'Dashboard'!$D$4)),""),"")</f>
        <v/>
      </c>
    </row>
    <row r="33">
      <c r="A33" s="23" t="n"/>
      <c r="B33" s="23" t="n"/>
      <c r="C33" s="23" t="n"/>
      <c r="D33" s="23" t="n"/>
      <c r="E33" s="23" t="n"/>
      <c r="F33" s="24">
        <f>IFERROR(IF($E33="","",VLOOKUP($E33,'Settings'!$G$16:$M$115,2,0)),"")</f>
        <v/>
      </c>
      <c r="G33" s="25" t="n"/>
      <c r="H33" s="51" t="n"/>
      <c r="I33" s="51" t="n"/>
      <c r="J33" s="23" t="n"/>
      <c r="K33" s="23" t="n"/>
      <c r="L33" s="51" t="n"/>
      <c r="M33" s="27">
        <f>IFERROR(IF($A33="","",IF($J33="Approved",MAX(0,$L33-$H33),"")),"")</f>
        <v/>
      </c>
      <c r="N33" s="23" t="n"/>
      <c r="O33" s="51" t="n"/>
      <c r="P33" s="23" t="n"/>
      <c r="Q33" s="25" t="n"/>
      <c r="R33" s="28" t="n"/>
      <c r="S33" s="52" t="n"/>
      <c r="T33" s="52" t="n"/>
      <c r="U33" s="23" t="n"/>
      <c r="V33" s="30" t="n"/>
      <c r="W33" s="52" t="n"/>
      <c r="X33" s="53">
        <f>IFERROR(IF($A33="","",MAX(0,$R33*$S33-$T33)),"")</f>
        <v/>
      </c>
      <c r="Y33" s="53">
        <f>IFERROR(IF($A33="","",IF($U33="Yes",$X33*$V33,0)),"")</f>
        <v/>
      </c>
      <c r="Z33" s="53">
        <f>IFERROR(IF($A33="","",$X33+$Y33+$W33),"")</f>
        <v/>
      </c>
      <c r="AA33" s="28" t="n"/>
      <c r="AB33" s="51" t="n"/>
      <c r="AC33" s="24">
        <f>IFERROR(IF($A33="","",IF($N33="Canceled","Canceled",IF($AA33=0,"Not Received",IF($AA33&lt;$R33,"Partially Received",IF($AA33=$R33,"Fully Received","Over Received"))))),"")</f>
        <v/>
      </c>
      <c r="AD33" s="25" t="n"/>
      <c r="AE33" s="23" t="n"/>
      <c r="AF33" s="51" t="n"/>
      <c r="AG33" s="52" t="n"/>
      <c r="AH33" s="53">
        <f>IFERROR(IF($A33="","",IF($AG33="","",$AG33-$Z33)),"")</f>
        <v/>
      </c>
      <c r="AI33" s="32">
        <f>IFERROR(IF($A33="","",IF(OR($AG33="",$Z33=0),"",($AG33-$Z33)/$Z33)),"")</f>
        <v/>
      </c>
      <c r="AJ33" s="23" t="n"/>
      <c r="AK33" s="51" t="n"/>
      <c r="AL33" s="53">
        <f>IFERROR(IF($A33="","",IF(OR($N33="Canceled",$N33="Closed"),0,MAX($Z33-IF($AG33="",0,$AG33),0))),"")</f>
        <v/>
      </c>
      <c r="AM33" s="27">
        <f>IFERROR(IF($A33="","",IF(OR($N33="Closed",$N33="Canceled"),IF($O33="","",MAX(0,$O33-$H33)),MAX(0,TODAY()-$H33))),"")</f>
        <v/>
      </c>
      <c r="AN33" s="24">
        <f>IFERROR(IF($A33="","",IF($AA33&gt;$R33,"Over Received",IF(AND($J33="Approved",OR($K33="",$L33="")),"Approval Missing",IF(AND($J33="Pending",$AM33&gt;'Settings'!$B$7),"Approval Follow-Up",IF(AND($N33="Open",$I33&lt;&gt;"",$I33+'Settings'!$B$8&lt;TODAY(),$AA33&lt;$R33),"Delivery Overdue",IF(AND($AG33&lt;&gt;"",OR(ABS($AH33)&gt;'Settings'!$B$9,ABS($AI33)&gt;'Settings'!$B$10)),"Invoice Variance",IF(AND($N33="Open",$AM33&gt;'Settings'!$B$11),"Aging Open PO",""))))))),"")</f>
        <v/>
      </c>
      <c r="AO33" s="25" t="n"/>
      <c r="AP33" s="24">
        <f>IFERROR(IF(AND($AN33&lt;&gt;"",$N33&lt;&gt;"Closed",$N33&lt;&gt;"Canceled",OR('Dashboard'!$B$4="All",$B33='Dashboard'!$B$4),OR('Dashboard'!$D$4="All",$C33='Dashboard'!$D$4)),COUNTIFS($AN$6:$AN33,"&lt;&gt;",$N$6:$N33,"&lt;&gt;Closed",$N$6:$N33,"&lt;&gt;Canceled",$B$6:$B33,IF('Dashboard'!$B$4="All","&lt;&gt;",'Dashboard'!$B$4),$C$6:$C33,IF('Dashboard'!$D$4="All","&lt;&gt;",'Dashboard'!$D$4)),""),"")</f>
        <v/>
      </c>
    </row>
    <row r="34">
      <c r="A34" s="23" t="n"/>
      <c r="B34" s="23" t="n"/>
      <c r="C34" s="23" t="n"/>
      <c r="D34" s="23" t="n"/>
      <c r="E34" s="23" t="n"/>
      <c r="F34" s="24">
        <f>IFERROR(IF($E34="","",VLOOKUP($E34,'Settings'!$G$16:$M$115,2,0)),"")</f>
        <v/>
      </c>
      <c r="G34" s="25" t="n"/>
      <c r="H34" s="51" t="n"/>
      <c r="I34" s="51" t="n"/>
      <c r="J34" s="23" t="n"/>
      <c r="K34" s="23" t="n"/>
      <c r="L34" s="51" t="n"/>
      <c r="M34" s="27">
        <f>IFERROR(IF($A34="","",IF($J34="Approved",MAX(0,$L34-$H34),"")),"")</f>
        <v/>
      </c>
      <c r="N34" s="23" t="n"/>
      <c r="O34" s="51" t="n"/>
      <c r="P34" s="23" t="n"/>
      <c r="Q34" s="25" t="n"/>
      <c r="R34" s="28" t="n"/>
      <c r="S34" s="52" t="n"/>
      <c r="T34" s="52" t="n"/>
      <c r="U34" s="23" t="n"/>
      <c r="V34" s="30" t="n"/>
      <c r="W34" s="52" t="n"/>
      <c r="X34" s="53">
        <f>IFERROR(IF($A34="","",MAX(0,$R34*$S34-$T34)),"")</f>
        <v/>
      </c>
      <c r="Y34" s="53">
        <f>IFERROR(IF($A34="","",IF($U34="Yes",$X34*$V34,0)),"")</f>
        <v/>
      </c>
      <c r="Z34" s="53">
        <f>IFERROR(IF($A34="","",$X34+$Y34+$W34),"")</f>
        <v/>
      </c>
      <c r="AA34" s="28" t="n"/>
      <c r="AB34" s="51" t="n"/>
      <c r="AC34" s="24">
        <f>IFERROR(IF($A34="","",IF($N34="Canceled","Canceled",IF($AA34=0,"Not Received",IF($AA34&lt;$R34,"Partially Received",IF($AA34=$R34,"Fully Received","Over Received"))))),"")</f>
        <v/>
      </c>
      <c r="AD34" s="25" t="n"/>
      <c r="AE34" s="23" t="n"/>
      <c r="AF34" s="51" t="n"/>
      <c r="AG34" s="52" t="n"/>
      <c r="AH34" s="53">
        <f>IFERROR(IF($A34="","",IF($AG34="","",$AG34-$Z34)),"")</f>
        <v/>
      </c>
      <c r="AI34" s="32">
        <f>IFERROR(IF($A34="","",IF(OR($AG34="",$Z34=0),"",($AG34-$Z34)/$Z34)),"")</f>
        <v/>
      </c>
      <c r="AJ34" s="23" t="n"/>
      <c r="AK34" s="51" t="n"/>
      <c r="AL34" s="53">
        <f>IFERROR(IF($A34="","",IF(OR($N34="Canceled",$N34="Closed"),0,MAX($Z34-IF($AG34="",0,$AG34),0))),"")</f>
        <v/>
      </c>
      <c r="AM34" s="27">
        <f>IFERROR(IF($A34="","",IF(OR($N34="Closed",$N34="Canceled"),IF($O34="","",MAX(0,$O34-$H34)),MAX(0,TODAY()-$H34))),"")</f>
        <v/>
      </c>
      <c r="AN34" s="24">
        <f>IFERROR(IF($A34="","",IF($AA34&gt;$R34,"Over Received",IF(AND($J34="Approved",OR($K34="",$L34="")),"Approval Missing",IF(AND($J34="Pending",$AM34&gt;'Settings'!$B$7),"Approval Follow-Up",IF(AND($N34="Open",$I34&lt;&gt;"",$I34+'Settings'!$B$8&lt;TODAY(),$AA34&lt;$R34),"Delivery Overdue",IF(AND($AG34&lt;&gt;"",OR(ABS($AH34)&gt;'Settings'!$B$9,ABS($AI34)&gt;'Settings'!$B$10)),"Invoice Variance",IF(AND($N34="Open",$AM34&gt;'Settings'!$B$11),"Aging Open PO",""))))))),"")</f>
        <v/>
      </c>
      <c r="AO34" s="25" t="n"/>
      <c r="AP34" s="24">
        <f>IFERROR(IF(AND($AN34&lt;&gt;"",$N34&lt;&gt;"Closed",$N34&lt;&gt;"Canceled",OR('Dashboard'!$B$4="All",$B34='Dashboard'!$B$4),OR('Dashboard'!$D$4="All",$C34='Dashboard'!$D$4)),COUNTIFS($AN$6:$AN34,"&lt;&gt;",$N$6:$N34,"&lt;&gt;Closed",$N$6:$N34,"&lt;&gt;Canceled",$B$6:$B34,IF('Dashboard'!$B$4="All","&lt;&gt;",'Dashboard'!$B$4),$C$6:$C34,IF('Dashboard'!$D$4="All","&lt;&gt;",'Dashboard'!$D$4)),""),"")</f>
        <v/>
      </c>
    </row>
    <row r="35">
      <c r="A35" s="23" t="n"/>
      <c r="B35" s="23" t="n"/>
      <c r="C35" s="23" t="n"/>
      <c r="D35" s="23" t="n"/>
      <c r="E35" s="23" t="n"/>
      <c r="F35" s="24">
        <f>IFERROR(IF($E35="","",VLOOKUP($E35,'Settings'!$G$16:$M$115,2,0)),"")</f>
        <v/>
      </c>
      <c r="G35" s="25" t="n"/>
      <c r="H35" s="51" t="n"/>
      <c r="I35" s="51" t="n"/>
      <c r="J35" s="23" t="n"/>
      <c r="K35" s="23" t="n"/>
      <c r="L35" s="51" t="n"/>
      <c r="M35" s="27">
        <f>IFERROR(IF($A35="","",IF($J35="Approved",MAX(0,$L35-$H35),"")),"")</f>
        <v/>
      </c>
      <c r="N35" s="23" t="n"/>
      <c r="O35" s="51" t="n"/>
      <c r="P35" s="23" t="n"/>
      <c r="Q35" s="25" t="n"/>
      <c r="R35" s="28" t="n"/>
      <c r="S35" s="52" t="n"/>
      <c r="T35" s="52" t="n"/>
      <c r="U35" s="23" t="n"/>
      <c r="V35" s="30" t="n"/>
      <c r="W35" s="52" t="n"/>
      <c r="X35" s="53">
        <f>IFERROR(IF($A35="","",MAX(0,$R35*$S35-$T35)),"")</f>
        <v/>
      </c>
      <c r="Y35" s="53">
        <f>IFERROR(IF($A35="","",IF($U35="Yes",$X35*$V35,0)),"")</f>
        <v/>
      </c>
      <c r="Z35" s="53">
        <f>IFERROR(IF($A35="","",$X35+$Y35+$W35),"")</f>
        <v/>
      </c>
      <c r="AA35" s="28" t="n"/>
      <c r="AB35" s="51" t="n"/>
      <c r="AC35" s="24">
        <f>IFERROR(IF($A35="","",IF($N35="Canceled","Canceled",IF($AA35=0,"Not Received",IF($AA35&lt;$R35,"Partially Received",IF($AA35=$R35,"Fully Received","Over Received"))))),"")</f>
        <v/>
      </c>
      <c r="AD35" s="25" t="n"/>
      <c r="AE35" s="23" t="n"/>
      <c r="AF35" s="51" t="n"/>
      <c r="AG35" s="52" t="n"/>
      <c r="AH35" s="53">
        <f>IFERROR(IF($A35="","",IF($AG35="","",$AG35-$Z35)),"")</f>
        <v/>
      </c>
      <c r="AI35" s="32">
        <f>IFERROR(IF($A35="","",IF(OR($AG35="",$Z35=0),"",($AG35-$Z35)/$Z35)),"")</f>
        <v/>
      </c>
      <c r="AJ35" s="23" t="n"/>
      <c r="AK35" s="51" t="n"/>
      <c r="AL35" s="53">
        <f>IFERROR(IF($A35="","",IF(OR($N35="Canceled",$N35="Closed"),0,MAX($Z35-IF($AG35="",0,$AG35),0))),"")</f>
        <v/>
      </c>
      <c r="AM35" s="27">
        <f>IFERROR(IF($A35="","",IF(OR($N35="Closed",$N35="Canceled"),IF($O35="","",MAX(0,$O35-$H35)),MAX(0,TODAY()-$H35))),"")</f>
        <v/>
      </c>
      <c r="AN35" s="24">
        <f>IFERROR(IF($A35="","",IF($AA35&gt;$R35,"Over Received",IF(AND($J35="Approved",OR($K35="",$L35="")),"Approval Missing",IF(AND($J35="Pending",$AM35&gt;'Settings'!$B$7),"Approval Follow-Up",IF(AND($N35="Open",$I35&lt;&gt;"",$I35+'Settings'!$B$8&lt;TODAY(),$AA35&lt;$R35),"Delivery Overdue",IF(AND($AG35&lt;&gt;"",OR(ABS($AH35)&gt;'Settings'!$B$9,ABS($AI35)&gt;'Settings'!$B$10)),"Invoice Variance",IF(AND($N35="Open",$AM35&gt;'Settings'!$B$11),"Aging Open PO",""))))))),"")</f>
        <v/>
      </c>
      <c r="AO35" s="25" t="n"/>
      <c r="AP35" s="24">
        <f>IFERROR(IF(AND($AN35&lt;&gt;"",$N35&lt;&gt;"Closed",$N35&lt;&gt;"Canceled",OR('Dashboard'!$B$4="All",$B35='Dashboard'!$B$4),OR('Dashboard'!$D$4="All",$C35='Dashboard'!$D$4)),COUNTIFS($AN$6:$AN35,"&lt;&gt;",$N$6:$N35,"&lt;&gt;Closed",$N$6:$N35,"&lt;&gt;Canceled",$B$6:$B35,IF('Dashboard'!$B$4="All","&lt;&gt;",'Dashboard'!$B$4),$C$6:$C35,IF('Dashboard'!$D$4="All","&lt;&gt;",'Dashboard'!$D$4)),""),"")</f>
        <v/>
      </c>
    </row>
    <row r="36">
      <c r="A36" s="23" t="n"/>
      <c r="B36" s="23" t="n"/>
      <c r="C36" s="23" t="n"/>
      <c r="D36" s="23" t="n"/>
      <c r="E36" s="23" t="n"/>
      <c r="F36" s="24">
        <f>IFERROR(IF($E36="","",VLOOKUP($E36,'Settings'!$G$16:$M$115,2,0)),"")</f>
        <v/>
      </c>
      <c r="G36" s="25" t="n"/>
      <c r="H36" s="51" t="n"/>
      <c r="I36" s="51" t="n"/>
      <c r="J36" s="23" t="n"/>
      <c r="K36" s="23" t="n"/>
      <c r="L36" s="51" t="n"/>
      <c r="M36" s="27">
        <f>IFERROR(IF($A36="","",IF($J36="Approved",MAX(0,$L36-$H36),"")),"")</f>
        <v/>
      </c>
      <c r="N36" s="23" t="n"/>
      <c r="O36" s="51" t="n"/>
      <c r="P36" s="23" t="n"/>
      <c r="Q36" s="25" t="n"/>
      <c r="R36" s="28" t="n"/>
      <c r="S36" s="52" t="n"/>
      <c r="T36" s="52" t="n"/>
      <c r="U36" s="23" t="n"/>
      <c r="V36" s="30" t="n"/>
      <c r="W36" s="52" t="n"/>
      <c r="X36" s="53">
        <f>IFERROR(IF($A36="","",MAX(0,$R36*$S36-$T36)),"")</f>
        <v/>
      </c>
      <c r="Y36" s="53">
        <f>IFERROR(IF($A36="","",IF($U36="Yes",$X36*$V36,0)),"")</f>
        <v/>
      </c>
      <c r="Z36" s="53">
        <f>IFERROR(IF($A36="","",$X36+$Y36+$W36),"")</f>
        <v/>
      </c>
      <c r="AA36" s="28" t="n"/>
      <c r="AB36" s="51" t="n"/>
      <c r="AC36" s="24">
        <f>IFERROR(IF($A36="","",IF($N36="Canceled","Canceled",IF($AA36=0,"Not Received",IF($AA36&lt;$R36,"Partially Received",IF($AA36=$R36,"Fully Received","Over Received"))))),"")</f>
        <v/>
      </c>
      <c r="AD36" s="25" t="n"/>
      <c r="AE36" s="23" t="n"/>
      <c r="AF36" s="51" t="n"/>
      <c r="AG36" s="52" t="n"/>
      <c r="AH36" s="53">
        <f>IFERROR(IF($A36="","",IF($AG36="","",$AG36-$Z36)),"")</f>
        <v/>
      </c>
      <c r="AI36" s="32">
        <f>IFERROR(IF($A36="","",IF(OR($AG36="",$Z36=0),"",($AG36-$Z36)/$Z36)),"")</f>
        <v/>
      </c>
      <c r="AJ36" s="23" t="n"/>
      <c r="AK36" s="51" t="n"/>
      <c r="AL36" s="53">
        <f>IFERROR(IF($A36="","",IF(OR($N36="Canceled",$N36="Closed"),0,MAX($Z36-IF($AG36="",0,$AG36),0))),"")</f>
        <v/>
      </c>
      <c r="AM36" s="27">
        <f>IFERROR(IF($A36="","",IF(OR($N36="Closed",$N36="Canceled"),IF($O36="","",MAX(0,$O36-$H36)),MAX(0,TODAY()-$H36))),"")</f>
        <v/>
      </c>
      <c r="AN36" s="24">
        <f>IFERROR(IF($A36="","",IF($AA36&gt;$R36,"Over Received",IF(AND($J36="Approved",OR($K36="",$L36="")),"Approval Missing",IF(AND($J36="Pending",$AM36&gt;'Settings'!$B$7),"Approval Follow-Up",IF(AND($N36="Open",$I36&lt;&gt;"",$I36+'Settings'!$B$8&lt;TODAY(),$AA36&lt;$R36),"Delivery Overdue",IF(AND($AG36&lt;&gt;"",OR(ABS($AH36)&gt;'Settings'!$B$9,ABS($AI36)&gt;'Settings'!$B$10)),"Invoice Variance",IF(AND($N36="Open",$AM36&gt;'Settings'!$B$11),"Aging Open PO",""))))))),"")</f>
        <v/>
      </c>
      <c r="AO36" s="25" t="n"/>
      <c r="AP36" s="24">
        <f>IFERROR(IF(AND($AN36&lt;&gt;"",$N36&lt;&gt;"Closed",$N36&lt;&gt;"Canceled",OR('Dashboard'!$B$4="All",$B36='Dashboard'!$B$4),OR('Dashboard'!$D$4="All",$C36='Dashboard'!$D$4)),COUNTIFS($AN$6:$AN36,"&lt;&gt;",$N$6:$N36,"&lt;&gt;Closed",$N$6:$N36,"&lt;&gt;Canceled",$B$6:$B36,IF('Dashboard'!$B$4="All","&lt;&gt;",'Dashboard'!$B$4),$C$6:$C36,IF('Dashboard'!$D$4="All","&lt;&gt;",'Dashboard'!$D$4)),""),"")</f>
        <v/>
      </c>
    </row>
    <row r="37">
      <c r="A37" s="23" t="n"/>
      <c r="B37" s="23" t="n"/>
      <c r="C37" s="23" t="n"/>
      <c r="D37" s="23" t="n"/>
      <c r="E37" s="23" t="n"/>
      <c r="F37" s="24">
        <f>IFERROR(IF($E37="","",VLOOKUP($E37,'Settings'!$G$16:$M$115,2,0)),"")</f>
        <v/>
      </c>
      <c r="G37" s="25" t="n"/>
      <c r="H37" s="51" t="n"/>
      <c r="I37" s="51" t="n"/>
      <c r="J37" s="23" t="n"/>
      <c r="K37" s="23" t="n"/>
      <c r="L37" s="51" t="n"/>
      <c r="M37" s="27">
        <f>IFERROR(IF($A37="","",IF($J37="Approved",MAX(0,$L37-$H37),"")),"")</f>
        <v/>
      </c>
      <c r="N37" s="23" t="n"/>
      <c r="O37" s="51" t="n"/>
      <c r="P37" s="23" t="n"/>
      <c r="Q37" s="25" t="n"/>
      <c r="R37" s="28" t="n"/>
      <c r="S37" s="52" t="n"/>
      <c r="T37" s="52" t="n"/>
      <c r="U37" s="23" t="n"/>
      <c r="V37" s="30" t="n"/>
      <c r="W37" s="52" t="n"/>
      <c r="X37" s="53">
        <f>IFERROR(IF($A37="","",MAX(0,$R37*$S37-$T37)),"")</f>
        <v/>
      </c>
      <c r="Y37" s="53">
        <f>IFERROR(IF($A37="","",IF($U37="Yes",$X37*$V37,0)),"")</f>
        <v/>
      </c>
      <c r="Z37" s="53">
        <f>IFERROR(IF($A37="","",$X37+$Y37+$W37),"")</f>
        <v/>
      </c>
      <c r="AA37" s="28" t="n"/>
      <c r="AB37" s="51" t="n"/>
      <c r="AC37" s="24">
        <f>IFERROR(IF($A37="","",IF($N37="Canceled","Canceled",IF($AA37=0,"Not Received",IF($AA37&lt;$R37,"Partially Received",IF($AA37=$R37,"Fully Received","Over Received"))))),"")</f>
        <v/>
      </c>
      <c r="AD37" s="25" t="n"/>
      <c r="AE37" s="23" t="n"/>
      <c r="AF37" s="51" t="n"/>
      <c r="AG37" s="52" t="n"/>
      <c r="AH37" s="53">
        <f>IFERROR(IF($A37="","",IF($AG37="","",$AG37-$Z37)),"")</f>
        <v/>
      </c>
      <c r="AI37" s="32">
        <f>IFERROR(IF($A37="","",IF(OR($AG37="",$Z37=0),"",($AG37-$Z37)/$Z37)),"")</f>
        <v/>
      </c>
      <c r="AJ37" s="23" t="n"/>
      <c r="AK37" s="51" t="n"/>
      <c r="AL37" s="53">
        <f>IFERROR(IF($A37="","",IF(OR($N37="Canceled",$N37="Closed"),0,MAX($Z37-IF($AG37="",0,$AG37),0))),"")</f>
        <v/>
      </c>
      <c r="AM37" s="27">
        <f>IFERROR(IF($A37="","",IF(OR($N37="Closed",$N37="Canceled"),IF($O37="","",MAX(0,$O37-$H37)),MAX(0,TODAY()-$H37))),"")</f>
        <v/>
      </c>
      <c r="AN37" s="24">
        <f>IFERROR(IF($A37="","",IF($AA37&gt;$R37,"Over Received",IF(AND($J37="Approved",OR($K37="",$L37="")),"Approval Missing",IF(AND($J37="Pending",$AM37&gt;'Settings'!$B$7),"Approval Follow-Up",IF(AND($N37="Open",$I37&lt;&gt;"",$I37+'Settings'!$B$8&lt;TODAY(),$AA37&lt;$R37),"Delivery Overdue",IF(AND($AG37&lt;&gt;"",OR(ABS($AH37)&gt;'Settings'!$B$9,ABS($AI37)&gt;'Settings'!$B$10)),"Invoice Variance",IF(AND($N37="Open",$AM37&gt;'Settings'!$B$11),"Aging Open PO",""))))))),"")</f>
        <v/>
      </c>
      <c r="AO37" s="25" t="n"/>
      <c r="AP37" s="24">
        <f>IFERROR(IF(AND($AN37&lt;&gt;"",$N37&lt;&gt;"Closed",$N37&lt;&gt;"Canceled",OR('Dashboard'!$B$4="All",$B37='Dashboard'!$B$4),OR('Dashboard'!$D$4="All",$C37='Dashboard'!$D$4)),COUNTIFS($AN$6:$AN37,"&lt;&gt;",$N$6:$N37,"&lt;&gt;Closed",$N$6:$N37,"&lt;&gt;Canceled",$B$6:$B37,IF('Dashboard'!$B$4="All","&lt;&gt;",'Dashboard'!$B$4),$C$6:$C37,IF('Dashboard'!$D$4="All","&lt;&gt;",'Dashboard'!$D$4)),""),"")</f>
        <v/>
      </c>
    </row>
    <row r="38">
      <c r="A38" s="23" t="n"/>
      <c r="B38" s="23" t="n"/>
      <c r="C38" s="23" t="n"/>
      <c r="D38" s="23" t="n"/>
      <c r="E38" s="23" t="n"/>
      <c r="F38" s="24">
        <f>IFERROR(IF($E38="","",VLOOKUP($E38,'Settings'!$G$16:$M$115,2,0)),"")</f>
        <v/>
      </c>
      <c r="G38" s="25" t="n"/>
      <c r="H38" s="51" t="n"/>
      <c r="I38" s="51" t="n"/>
      <c r="J38" s="23" t="n"/>
      <c r="K38" s="23" t="n"/>
      <c r="L38" s="51" t="n"/>
      <c r="M38" s="27">
        <f>IFERROR(IF($A38="","",IF($J38="Approved",MAX(0,$L38-$H38),"")),"")</f>
        <v/>
      </c>
      <c r="N38" s="23" t="n"/>
      <c r="O38" s="51" t="n"/>
      <c r="P38" s="23" t="n"/>
      <c r="Q38" s="25" t="n"/>
      <c r="R38" s="28" t="n"/>
      <c r="S38" s="52" t="n"/>
      <c r="T38" s="52" t="n"/>
      <c r="U38" s="23" t="n"/>
      <c r="V38" s="30" t="n"/>
      <c r="W38" s="52" t="n"/>
      <c r="X38" s="53">
        <f>IFERROR(IF($A38="","",MAX(0,$R38*$S38-$T38)),"")</f>
        <v/>
      </c>
      <c r="Y38" s="53">
        <f>IFERROR(IF($A38="","",IF($U38="Yes",$X38*$V38,0)),"")</f>
        <v/>
      </c>
      <c r="Z38" s="53">
        <f>IFERROR(IF($A38="","",$X38+$Y38+$W38),"")</f>
        <v/>
      </c>
      <c r="AA38" s="28" t="n"/>
      <c r="AB38" s="51" t="n"/>
      <c r="AC38" s="24">
        <f>IFERROR(IF($A38="","",IF($N38="Canceled","Canceled",IF($AA38=0,"Not Received",IF($AA38&lt;$R38,"Partially Received",IF($AA38=$R38,"Fully Received","Over Received"))))),"")</f>
        <v/>
      </c>
      <c r="AD38" s="25" t="n"/>
      <c r="AE38" s="23" t="n"/>
      <c r="AF38" s="51" t="n"/>
      <c r="AG38" s="52" t="n"/>
      <c r="AH38" s="53">
        <f>IFERROR(IF($A38="","",IF($AG38="","",$AG38-$Z38)),"")</f>
        <v/>
      </c>
      <c r="AI38" s="32">
        <f>IFERROR(IF($A38="","",IF(OR($AG38="",$Z38=0),"",($AG38-$Z38)/$Z38)),"")</f>
        <v/>
      </c>
      <c r="AJ38" s="23" t="n"/>
      <c r="AK38" s="51" t="n"/>
      <c r="AL38" s="53">
        <f>IFERROR(IF($A38="","",IF(OR($N38="Canceled",$N38="Closed"),0,MAX($Z38-IF($AG38="",0,$AG38),0))),"")</f>
        <v/>
      </c>
      <c r="AM38" s="27">
        <f>IFERROR(IF($A38="","",IF(OR($N38="Closed",$N38="Canceled"),IF($O38="","",MAX(0,$O38-$H38)),MAX(0,TODAY()-$H38))),"")</f>
        <v/>
      </c>
      <c r="AN38" s="24">
        <f>IFERROR(IF($A38="","",IF($AA38&gt;$R38,"Over Received",IF(AND($J38="Approved",OR($K38="",$L38="")),"Approval Missing",IF(AND($J38="Pending",$AM38&gt;'Settings'!$B$7),"Approval Follow-Up",IF(AND($N38="Open",$I38&lt;&gt;"",$I38+'Settings'!$B$8&lt;TODAY(),$AA38&lt;$R38),"Delivery Overdue",IF(AND($AG38&lt;&gt;"",OR(ABS($AH38)&gt;'Settings'!$B$9,ABS($AI38)&gt;'Settings'!$B$10)),"Invoice Variance",IF(AND($N38="Open",$AM38&gt;'Settings'!$B$11),"Aging Open PO",""))))))),"")</f>
        <v/>
      </c>
      <c r="AO38" s="25" t="n"/>
      <c r="AP38" s="24">
        <f>IFERROR(IF(AND($AN38&lt;&gt;"",$N38&lt;&gt;"Closed",$N38&lt;&gt;"Canceled",OR('Dashboard'!$B$4="All",$B38='Dashboard'!$B$4),OR('Dashboard'!$D$4="All",$C38='Dashboard'!$D$4)),COUNTIFS($AN$6:$AN38,"&lt;&gt;",$N$6:$N38,"&lt;&gt;Closed",$N$6:$N38,"&lt;&gt;Canceled",$B$6:$B38,IF('Dashboard'!$B$4="All","&lt;&gt;",'Dashboard'!$B$4),$C$6:$C38,IF('Dashboard'!$D$4="All","&lt;&gt;",'Dashboard'!$D$4)),""),"")</f>
        <v/>
      </c>
    </row>
    <row r="39">
      <c r="A39" s="23" t="n"/>
      <c r="B39" s="23" t="n"/>
      <c r="C39" s="23" t="n"/>
      <c r="D39" s="23" t="n"/>
      <c r="E39" s="23" t="n"/>
      <c r="F39" s="24">
        <f>IFERROR(IF($E39="","",VLOOKUP($E39,'Settings'!$G$16:$M$115,2,0)),"")</f>
        <v/>
      </c>
      <c r="G39" s="25" t="n"/>
      <c r="H39" s="51" t="n"/>
      <c r="I39" s="51" t="n"/>
      <c r="J39" s="23" t="n"/>
      <c r="K39" s="23" t="n"/>
      <c r="L39" s="51" t="n"/>
      <c r="M39" s="27">
        <f>IFERROR(IF($A39="","",IF($J39="Approved",MAX(0,$L39-$H39),"")),"")</f>
        <v/>
      </c>
      <c r="N39" s="23" t="n"/>
      <c r="O39" s="51" t="n"/>
      <c r="P39" s="23" t="n"/>
      <c r="Q39" s="25" t="n"/>
      <c r="R39" s="28" t="n"/>
      <c r="S39" s="52" t="n"/>
      <c r="T39" s="52" t="n"/>
      <c r="U39" s="23" t="n"/>
      <c r="V39" s="30" t="n"/>
      <c r="W39" s="52" t="n"/>
      <c r="X39" s="53">
        <f>IFERROR(IF($A39="","",MAX(0,$R39*$S39-$T39)),"")</f>
        <v/>
      </c>
      <c r="Y39" s="53">
        <f>IFERROR(IF($A39="","",IF($U39="Yes",$X39*$V39,0)),"")</f>
        <v/>
      </c>
      <c r="Z39" s="53">
        <f>IFERROR(IF($A39="","",$X39+$Y39+$W39),"")</f>
        <v/>
      </c>
      <c r="AA39" s="28" t="n"/>
      <c r="AB39" s="51" t="n"/>
      <c r="AC39" s="24">
        <f>IFERROR(IF($A39="","",IF($N39="Canceled","Canceled",IF($AA39=0,"Not Received",IF($AA39&lt;$R39,"Partially Received",IF($AA39=$R39,"Fully Received","Over Received"))))),"")</f>
        <v/>
      </c>
      <c r="AD39" s="25" t="n"/>
      <c r="AE39" s="23" t="n"/>
      <c r="AF39" s="51" t="n"/>
      <c r="AG39" s="52" t="n"/>
      <c r="AH39" s="53">
        <f>IFERROR(IF($A39="","",IF($AG39="","",$AG39-$Z39)),"")</f>
        <v/>
      </c>
      <c r="AI39" s="32">
        <f>IFERROR(IF($A39="","",IF(OR($AG39="",$Z39=0),"",($AG39-$Z39)/$Z39)),"")</f>
        <v/>
      </c>
      <c r="AJ39" s="23" t="n"/>
      <c r="AK39" s="51" t="n"/>
      <c r="AL39" s="53">
        <f>IFERROR(IF($A39="","",IF(OR($N39="Canceled",$N39="Closed"),0,MAX($Z39-IF($AG39="",0,$AG39),0))),"")</f>
        <v/>
      </c>
      <c r="AM39" s="27">
        <f>IFERROR(IF($A39="","",IF(OR($N39="Closed",$N39="Canceled"),IF($O39="","",MAX(0,$O39-$H39)),MAX(0,TODAY()-$H39))),"")</f>
        <v/>
      </c>
      <c r="AN39" s="24">
        <f>IFERROR(IF($A39="","",IF($AA39&gt;$R39,"Over Received",IF(AND($J39="Approved",OR($K39="",$L39="")),"Approval Missing",IF(AND($J39="Pending",$AM39&gt;'Settings'!$B$7),"Approval Follow-Up",IF(AND($N39="Open",$I39&lt;&gt;"",$I39+'Settings'!$B$8&lt;TODAY(),$AA39&lt;$R39),"Delivery Overdue",IF(AND($AG39&lt;&gt;"",OR(ABS($AH39)&gt;'Settings'!$B$9,ABS($AI39)&gt;'Settings'!$B$10)),"Invoice Variance",IF(AND($N39="Open",$AM39&gt;'Settings'!$B$11),"Aging Open PO",""))))))),"")</f>
        <v/>
      </c>
      <c r="AO39" s="25" t="n"/>
      <c r="AP39" s="24">
        <f>IFERROR(IF(AND($AN39&lt;&gt;"",$N39&lt;&gt;"Closed",$N39&lt;&gt;"Canceled",OR('Dashboard'!$B$4="All",$B39='Dashboard'!$B$4),OR('Dashboard'!$D$4="All",$C39='Dashboard'!$D$4)),COUNTIFS($AN$6:$AN39,"&lt;&gt;",$N$6:$N39,"&lt;&gt;Closed",$N$6:$N39,"&lt;&gt;Canceled",$B$6:$B39,IF('Dashboard'!$B$4="All","&lt;&gt;",'Dashboard'!$B$4),$C$6:$C39,IF('Dashboard'!$D$4="All","&lt;&gt;",'Dashboard'!$D$4)),""),"")</f>
        <v/>
      </c>
    </row>
    <row r="40">
      <c r="A40" s="23" t="n"/>
      <c r="B40" s="23" t="n"/>
      <c r="C40" s="23" t="n"/>
      <c r="D40" s="23" t="n"/>
      <c r="E40" s="23" t="n"/>
      <c r="F40" s="24">
        <f>IFERROR(IF($E40="","",VLOOKUP($E40,'Settings'!$G$16:$M$115,2,0)),"")</f>
        <v/>
      </c>
      <c r="G40" s="25" t="n"/>
      <c r="H40" s="51" t="n"/>
      <c r="I40" s="51" t="n"/>
      <c r="J40" s="23" t="n"/>
      <c r="K40" s="23" t="n"/>
      <c r="L40" s="51" t="n"/>
      <c r="M40" s="27">
        <f>IFERROR(IF($A40="","",IF($J40="Approved",MAX(0,$L40-$H40),"")),"")</f>
        <v/>
      </c>
      <c r="N40" s="23" t="n"/>
      <c r="O40" s="51" t="n"/>
      <c r="P40" s="23" t="n"/>
      <c r="Q40" s="25" t="n"/>
      <c r="R40" s="28" t="n"/>
      <c r="S40" s="52" t="n"/>
      <c r="T40" s="52" t="n"/>
      <c r="U40" s="23" t="n"/>
      <c r="V40" s="30" t="n"/>
      <c r="W40" s="52" t="n"/>
      <c r="X40" s="53">
        <f>IFERROR(IF($A40="","",MAX(0,$R40*$S40-$T40)),"")</f>
        <v/>
      </c>
      <c r="Y40" s="53">
        <f>IFERROR(IF($A40="","",IF($U40="Yes",$X40*$V40,0)),"")</f>
        <v/>
      </c>
      <c r="Z40" s="53">
        <f>IFERROR(IF($A40="","",$X40+$Y40+$W40),"")</f>
        <v/>
      </c>
      <c r="AA40" s="28" t="n"/>
      <c r="AB40" s="51" t="n"/>
      <c r="AC40" s="24">
        <f>IFERROR(IF($A40="","",IF($N40="Canceled","Canceled",IF($AA40=0,"Not Received",IF($AA40&lt;$R40,"Partially Received",IF($AA40=$R40,"Fully Received","Over Received"))))),"")</f>
        <v/>
      </c>
      <c r="AD40" s="25" t="n"/>
      <c r="AE40" s="23" t="n"/>
      <c r="AF40" s="51" t="n"/>
      <c r="AG40" s="52" t="n"/>
      <c r="AH40" s="53">
        <f>IFERROR(IF($A40="","",IF($AG40="","",$AG40-$Z40)),"")</f>
        <v/>
      </c>
      <c r="AI40" s="32">
        <f>IFERROR(IF($A40="","",IF(OR($AG40="",$Z40=0),"",($AG40-$Z40)/$Z40)),"")</f>
        <v/>
      </c>
      <c r="AJ40" s="23" t="n"/>
      <c r="AK40" s="51" t="n"/>
      <c r="AL40" s="53">
        <f>IFERROR(IF($A40="","",IF(OR($N40="Canceled",$N40="Closed"),0,MAX($Z40-IF($AG40="",0,$AG40),0))),"")</f>
        <v/>
      </c>
      <c r="AM40" s="27">
        <f>IFERROR(IF($A40="","",IF(OR($N40="Closed",$N40="Canceled"),IF($O40="","",MAX(0,$O40-$H40)),MAX(0,TODAY()-$H40))),"")</f>
        <v/>
      </c>
      <c r="AN40" s="24">
        <f>IFERROR(IF($A40="","",IF($AA40&gt;$R40,"Over Received",IF(AND($J40="Approved",OR($K40="",$L40="")),"Approval Missing",IF(AND($J40="Pending",$AM40&gt;'Settings'!$B$7),"Approval Follow-Up",IF(AND($N40="Open",$I40&lt;&gt;"",$I40+'Settings'!$B$8&lt;TODAY(),$AA40&lt;$R40),"Delivery Overdue",IF(AND($AG40&lt;&gt;"",OR(ABS($AH40)&gt;'Settings'!$B$9,ABS($AI40)&gt;'Settings'!$B$10)),"Invoice Variance",IF(AND($N40="Open",$AM40&gt;'Settings'!$B$11),"Aging Open PO",""))))))),"")</f>
        <v/>
      </c>
      <c r="AO40" s="25" t="n"/>
      <c r="AP40" s="24">
        <f>IFERROR(IF(AND($AN40&lt;&gt;"",$N40&lt;&gt;"Closed",$N40&lt;&gt;"Canceled",OR('Dashboard'!$B$4="All",$B40='Dashboard'!$B$4),OR('Dashboard'!$D$4="All",$C40='Dashboard'!$D$4)),COUNTIFS($AN$6:$AN40,"&lt;&gt;",$N$6:$N40,"&lt;&gt;Closed",$N$6:$N40,"&lt;&gt;Canceled",$B$6:$B40,IF('Dashboard'!$B$4="All","&lt;&gt;",'Dashboard'!$B$4),$C$6:$C40,IF('Dashboard'!$D$4="All","&lt;&gt;",'Dashboard'!$D$4)),""),"")</f>
        <v/>
      </c>
    </row>
    <row r="41">
      <c r="A41" s="23" t="n"/>
      <c r="B41" s="23" t="n"/>
      <c r="C41" s="23" t="n"/>
      <c r="D41" s="23" t="n"/>
      <c r="E41" s="23" t="n"/>
      <c r="F41" s="24">
        <f>IFERROR(IF($E41="","",VLOOKUP($E41,'Settings'!$G$16:$M$115,2,0)),"")</f>
        <v/>
      </c>
      <c r="G41" s="25" t="n"/>
      <c r="H41" s="51" t="n"/>
      <c r="I41" s="51" t="n"/>
      <c r="J41" s="23" t="n"/>
      <c r="K41" s="23" t="n"/>
      <c r="L41" s="51" t="n"/>
      <c r="M41" s="27">
        <f>IFERROR(IF($A41="","",IF($J41="Approved",MAX(0,$L41-$H41),"")),"")</f>
        <v/>
      </c>
      <c r="N41" s="23" t="n"/>
      <c r="O41" s="51" t="n"/>
      <c r="P41" s="23" t="n"/>
      <c r="Q41" s="25" t="n"/>
      <c r="R41" s="28" t="n"/>
      <c r="S41" s="52" t="n"/>
      <c r="T41" s="52" t="n"/>
      <c r="U41" s="23" t="n"/>
      <c r="V41" s="30" t="n"/>
      <c r="W41" s="52" t="n"/>
      <c r="X41" s="53">
        <f>IFERROR(IF($A41="","",MAX(0,$R41*$S41-$T41)),"")</f>
        <v/>
      </c>
      <c r="Y41" s="53">
        <f>IFERROR(IF($A41="","",IF($U41="Yes",$X41*$V41,0)),"")</f>
        <v/>
      </c>
      <c r="Z41" s="53">
        <f>IFERROR(IF($A41="","",$X41+$Y41+$W41),"")</f>
        <v/>
      </c>
      <c r="AA41" s="28" t="n"/>
      <c r="AB41" s="51" t="n"/>
      <c r="AC41" s="24">
        <f>IFERROR(IF($A41="","",IF($N41="Canceled","Canceled",IF($AA41=0,"Not Received",IF($AA41&lt;$R41,"Partially Received",IF($AA41=$R41,"Fully Received","Over Received"))))),"")</f>
        <v/>
      </c>
      <c r="AD41" s="25" t="n"/>
      <c r="AE41" s="23" t="n"/>
      <c r="AF41" s="51" t="n"/>
      <c r="AG41" s="52" t="n"/>
      <c r="AH41" s="53">
        <f>IFERROR(IF($A41="","",IF($AG41="","",$AG41-$Z41)),"")</f>
        <v/>
      </c>
      <c r="AI41" s="32">
        <f>IFERROR(IF($A41="","",IF(OR($AG41="",$Z41=0),"",($AG41-$Z41)/$Z41)),"")</f>
        <v/>
      </c>
      <c r="AJ41" s="23" t="n"/>
      <c r="AK41" s="51" t="n"/>
      <c r="AL41" s="53">
        <f>IFERROR(IF($A41="","",IF(OR($N41="Canceled",$N41="Closed"),0,MAX($Z41-IF($AG41="",0,$AG41),0))),"")</f>
        <v/>
      </c>
      <c r="AM41" s="27">
        <f>IFERROR(IF($A41="","",IF(OR($N41="Closed",$N41="Canceled"),IF($O41="","",MAX(0,$O41-$H41)),MAX(0,TODAY()-$H41))),"")</f>
        <v/>
      </c>
      <c r="AN41" s="24">
        <f>IFERROR(IF($A41="","",IF($AA41&gt;$R41,"Over Received",IF(AND($J41="Approved",OR($K41="",$L41="")),"Approval Missing",IF(AND($J41="Pending",$AM41&gt;'Settings'!$B$7),"Approval Follow-Up",IF(AND($N41="Open",$I41&lt;&gt;"",$I41+'Settings'!$B$8&lt;TODAY(),$AA41&lt;$R41),"Delivery Overdue",IF(AND($AG41&lt;&gt;"",OR(ABS($AH41)&gt;'Settings'!$B$9,ABS($AI41)&gt;'Settings'!$B$10)),"Invoice Variance",IF(AND($N41="Open",$AM41&gt;'Settings'!$B$11),"Aging Open PO",""))))))),"")</f>
        <v/>
      </c>
      <c r="AO41" s="25" t="n"/>
      <c r="AP41" s="24">
        <f>IFERROR(IF(AND($AN41&lt;&gt;"",$N41&lt;&gt;"Closed",$N41&lt;&gt;"Canceled",OR('Dashboard'!$B$4="All",$B41='Dashboard'!$B$4),OR('Dashboard'!$D$4="All",$C41='Dashboard'!$D$4)),COUNTIFS($AN$6:$AN41,"&lt;&gt;",$N$6:$N41,"&lt;&gt;Closed",$N$6:$N41,"&lt;&gt;Canceled",$B$6:$B41,IF('Dashboard'!$B$4="All","&lt;&gt;",'Dashboard'!$B$4),$C$6:$C41,IF('Dashboard'!$D$4="All","&lt;&gt;",'Dashboard'!$D$4)),""),"")</f>
        <v/>
      </c>
    </row>
    <row r="42">
      <c r="A42" s="23" t="n"/>
      <c r="B42" s="23" t="n"/>
      <c r="C42" s="23" t="n"/>
      <c r="D42" s="23" t="n"/>
      <c r="E42" s="23" t="n"/>
      <c r="F42" s="24">
        <f>IFERROR(IF($E42="","",VLOOKUP($E42,'Settings'!$G$16:$M$115,2,0)),"")</f>
        <v/>
      </c>
      <c r="G42" s="25" t="n"/>
      <c r="H42" s="51" t="n"/>
      <c r="I42" s="51" t="n"/>
      <c r="J42" s="23" t="n"/>
      <c r="K42" s="23" t="n"/>
      <c r="L42" s="51" t="n"/>
      <c r="M42" s="27">
        <f>IFERROR(IF($A42="","",IF($J42="Approved",MAX(0,$L42-$H42),"")),"")</f>
        <v/>
      </c>
      <c r="N42" s="23" t="n"/>
      <c r="O42" s="51" t="n"/>
      <c r="P42" s="23" t="n"/>
      <c r="Q42" s="25" t="n"/>
      <c r="R42" s="28" t="n"/>
      <c r="S42" s="52" t="n"/>
      <c r="T42" s="52" t="n"/>
      <c r="U42" s="23" t="n"/>
      <c r="V42" s="30" t="n"/>
      <c r="W42" s="52" t="n"/>
      <c r="X42" s="53">
        <f>IFERROR(IF($A42="","",MAX(0,$R42*$S42-$T42)),"")</f>
        <v/>
      </c>
      <c r="Y42" s="53">
        <f>IFERROR(IF($A42="","",IF($U42="Yes",$X42*$V42,0)),"")</f>
        <v/>
      </c>
      <c r="Z42" s="53">
        <f>IFERROR(IF($A42="","",$X42+$Y42+$W42),"")</f>
        <v/>
      </c>
      <c r="AA42" s="28" t="n"/>
      <c r="AB42" s="51" t="n"/>
      <c r="AC42" s="24">
        <f>IFERROR(IF($A42="","",IF($N42="Canceled","Canceled",IF($AA42=0,"Not Received",IF($AA42&lt;$R42,"Partially Received",IF($AA42=$R42,"Fully Received","Over Received"))))),"")</f>
        <v/>
      </c>
      <c r="AD42" s="25" t="n"/>
      <c r="AE42" s="23" t="n"/>
      <c r="AF42" s="51" t="n"/>
      <c r="AG42" s="52" t="n"/>
      <c r="AH42" s="53">
        <f>IFERROR(IF($A42="","",IF($AG42="","",$AG42-$Z42)),"")</f>
        <v/>
      </c>
      <c r="AI42" s="32">
        <f>IFERROR(IF($A42="","",IF(OR($AG42="",$Z42=0),"",($AG42-$Z42)/$Z42)),"")</f>
        <v/>
      </c>
      <c r="AJ42" s="23" t="n"/>
      <c r="AK42" s="51" t="n"/>
      <c r="AL42" s="53">
        <f>IFERROR(IF($A42="","",IF(OR($N42="Canceled",$N42="Closed"),0,MAX($Z42-IF($AG42="",0,$AG42),0))),"")</f>
        <v/>
      </c>
      <c r="AM42" s="27">
        <f>IFERROR(IF($A42="","",IF(OR($N42="Closed",$N42="Canceled"),IF($O42="","",MAX(0,$O42-$H42)),MAX(0,TODAY()-$H42))),"")</f>
        <v/>
      </c>
      <c r="AN42" s="24">
        <f>IFERROR(IF($A42="","",IF($AA42&gt;$R42,"Over Received",IF(AND($J42="Approved",OR($K42="",$L42="")),"Approval Missing",IF(AND($J42="Pending",$AM42&gt;'Settings'!$B$7),"Approval Follow-Up",IF(AND($N42="Open",$I42&lt;&gt;"",$I42+'Settings'!$B$8&lt;TODAY(),$AA42&lt;$R42),"Delivery Overdue",IF(AND($AG42&lt;&gt;"",OR(ABS($AH42)&gt;'Settings'!$B$9,ABS($AI42)&gt;'Settings'!$B$10)),"Invoice Variance",IF(AND($N42="Open",$AM42&gt;'Settings'!$B$11),"Aging Open PO",""))))))),"")</f>
        <v/>
      </c>
      <c r="AO42" s="25" t="n"/>
      <c r="AP42" s="24">
        <f>IFERROR(IF(AND($AN42&lt;&gt;"",$N42&lt;&gt;"Closed",$N42&lt;&gt;"Canceled",OR('Dashboard'!$B$4="All",$B42='Dashboard'!$B$4),OR('Dashboard'!$D$4="All",$C42='Dashboard'!$D$4)),COUNTIFS($AN$6:$AN42,"&lt;&gt;",$N$6:$N42,"&lt;&gt;Closed",$N$6:$N42,"&lt;&gt;Canceled",$B$6:$B42,IF('Dashboard'!$B$4="All","&lt;&gt;",'Dashboard'!$B$4),$C$6:$C42,IF('Dashboard'!$D$4="All","&lt;&gt;",'Dashboard'!$D$4)),""),"")</f>
        <v/>
      </c>
    </row>
    <row r="43">
      <c r="A43" s="23" t="n"/>
      <c r="B43" s="23" t="n"/>
      <c r="C43" s="23" t="n"/>
      <c r="D43" s="23" t="n"/>
      <c r="E43" s="23" t="n"/>
      <c r="F43" s="24">
        <f>IFERROR(IF($E43="","",VLOOKUP($E43,'Settings'!$G$16:$M$115,2,0)),"")</f>
        <v/>
      </c>
      <c r="G43" s="25" t="n"/>
      <c r="H43" s="51" t="n"/>
      <c r="I43" s="51" t="n"/>
      <c r="J43" s="23" t="n"/>
      <c r="K43" s="23" t="n"/>
      <c r="L43" s="51" t="n"/>
      <c r="M43" s="27">
        <f>IFERROR(IF($A43="","",IF($J43="Approved",MAX(0,$L43-$H43),"")),"")</f>
        <v/>
      </c>
      <c r="N43" s="23" t="n"/>
      <c r="O43" s="51" t="n"/>
      <c r="P43" s="23" t="n"/>
      <c r="Q43" s="25" t="n"/>
      <c r="R43" s="28" t="n"/>
      <c r="S43" s="52" t="n"/>
      <c r="T43" s="52" t="n"/>
      <c r="U43" s="23" t="n"/>
      <c r="V43" s="30" t="n"/>
      <c r="W43" s="52" t="n"/>
      <c r="X43" s="53">
        <f>IFERROR(IF($A43="","",MAX(0,$R43*$S43-$T43)),"")</f>
        <v/>
      </c>
      <c r="Y43" s="53">
        <f>IFERROR(IF($A43="","",IF($U43="Yes",$X43*$V43,0)),"")</f>
        <v/>
      </c>
      <c r="Z43" s="53">
        <f>IFERROR(IF($A43="","",$X43+$Y43+$W43),"")</f>
        <v/>
      </c>
      <c r="AA43" s="28" t="n"/>
      <c r="AB43" s="51" t="n"/>
      <c r="AC43" s="24">
        <f>IFERROR(IF($A43="","",IF($N43="Canceled","Canceled",IF($AA43=0,"Not Received",IF($AA43&lt;$R43,"Partially Received",IF($AA43=$R43,"Fully Received","Over Received"))))),"")</f>
        <v/>
      </c>
      <c r="AD43" s="25" t="n"/>
      <c r="AE43" s="23" t="n"/>
      <c r="AF43" s="51" t="n"/>
      <c r="AG43" s="52" t="n"/>
      <c r="AH43" s="53">
        <f>IFERROR(IF($A43="","",IF($AG43="","",$AG43-$Z43)),"")</f>
        <v/>
      </c>
      <c r="AI43" s="32">
        <f>IFERROR(IF($A43="","",IF(OR($AG43="",$Z43=0),"",($AG43-$Z43)/$Z43)),"")</f>
        <v/>
      </c>
      <c r="AJ43" s="23" t="n"/>
      <c r="AK43" s="51" t="n"/>
      <c r="AL43" s="53">
        <f>IFERROR(IF($A43="","",IF(OR($N43="Canceled",$N43="Closed"),0,MAX($Z43-IF($AG43="",0,$AG43),0))),"")</f>
        <v/>
      </c>
      <c r="AM43" s="27">
        <f>IFERROR(IF($A43="","",IF(OR($N43="Closed",$N43="Canceled"),IF($O43="","",MAX(0,$O43-$H43)),MAX(0,TODAY()-$H43))),"")</f>
        <v/>
      </c>
      <c r="AN43" s="24">
        <f>IFERROR(IF($A43="","",IF($AA43&gt;$R43,"Over Received",IF(AND($J43="Approved",OR($K43="",$L43="")),"Approval Missing",IF(AND($J43="Pending",$AM43&gt;'Settings'!$B$7),"Approval Follow-Up",IF(AND($N43="Open",$I43&lt;&gt;"",$I43+'Settings'!$B$8&lt;TODAY(),$AA43&lt;$R43),"Delivery Overdue",IF(AND($AG43&lt;&gt;"",OR(ABS($AH43)&gt;'Settings'!$B$9,ABS($AI43)&gt;'Settings'!$B$10)),"Invoice Variance",IF(AND($N43="Open",$AM43&gt;'Settings'!$B$11),"Aging Open PO",""))))))),"")</f>
        <v/>
      </c>
      <c r="AO43" s="25" t="n"/>
      <c r="AP43" s="24">
        <f>IFERROR(IF(AND($AN43&lt;&gt;"",$N43&lt;&gt;"Closed",$N43&lt;&gt;"Canceled",OR('Dashboard'!$B$4="All",$B43='Dashboard'!$B$4),OR('Dashboard'!$D$4="All",$C43='Dashboard'!$D$4)),COUNTIFS($AN$6:$AN43,"&lt;&gt;",$N$6:$N43,"&lt;&gt;Closed",$N$6:$N43,"&lt;&gt;Canceled",$B$6:$B43,IF('Dashboard'!$B$4="All","&lt;&gt;",'Dashboard'!$B$4),$C$6:$C43,IF('Dashboard'!$D$4="All","&lt;&gt;",'Dashboard'!$D$4)),""),"")</f>
        <v/>
      </c>
    </row>
    <row r="44">
      <c r="A44" s="23" t="n"/>
      <c r="B44" s="23" t="n"/>
      <c r="C44" s="23" t="n"/>
      <c r="D44" s="23" t="n"/>
      <c r="E44" s="23" t="n"/>
      <c r="F44" s="24">
        <f>IFERROR(IF($E44="","",VLOOKUP($E44,'Settings'!$G$16:$M$115,2,0)),"")</f>
        <v/>
      </c>
      <c r="G44" s="25" t="n"/>
      <c r="H44" s="51" t="n"/>
      <c r="I44" s="51" t="n"/>
      <c r="J44" s="23" t="n"/>
      <c r="K44" s="23" t="n"/>
      <c r="L44" s="51" t="n"/>
      <c r="M44" s="27">
        <f>IFERROR(IF($A44="","",IF($J44="Approved",MAX(0,$L44-$H44),"")),"")</f>
        <v/>
      </c>
      <c r="N44" s="23" t="n"/>
      <c r="O44" s="51" t="n"/>
      <c r="P44" s="23" t="n"/>
      <c r="Q44" s="25" t="n"/>
      <c r="R44" s="28" t="n"/>
      <c r="S44" s="52" t="n"/>
      <c r="T44" s="52" t="n"/>
      <c r="U44" s="23" t="n"/>
      <c r="V44" s="30" t="n"/>
      <c r="W44" s="52" t="n"/>
      <c r="X44" s="53">
        <f>IFERROR(IF($A44="","",MAX(0,$R44*$S44-$T44)),"")</f>
        <v/>
      </c>
      <c r="Y44" s="53">
        <f>IFERROR(IF($A44="","",IF($U44="Yes",$X44*$V44,0)),"")</f>
        <v/>
      </c>
      <c r="Z44" s="53">
        <f>IFERROR(IF($A44="","",$X44+$Y44+$W44),"")</f>
        <v/>
      </c>
      <c r="AA44" s="28" t="n"/>
      <c r="AB44" s="51" t="n"/>
      <c r="AC44" s="24">
        <f>IFERROR(IF($A44="","",IF($N44="Canceled","Canceled",IF($AA44=0,"Not Received",IF($AA44&lt;$R44,"Partially Received",IF($AA44=$R44,"Fully Received","Over Received"))))),"")</f>
        <v/>
      </c>
      <c r="AD44" s="25" t="n"/>
      <c r="AE44" s="23" t="n"/>
      <c r="AF44" s="51" t="n"/>
      <c r="AG44" s="52" t="n"/>
      <c r="AH44" s="53">
        <f>IFERROR(IF($A44="","",IF($AG44="","",$AG44-$Z44)),"")</f>
        <v/>
      </c>
      <c r="AI44" s="32">
        <f>IFERROR(IF($A44="","",IF(OR($AG44="",$Z44=0),"",($AG44-$Z44)/$Z44)),"")</f>
        <v/>
      </c>
      <c r="AJ44" s="23" t="n"/>
      <c r="AK44" s="51" t="n"/>
      <c r="AL44" s="53">
        <f>IFERROR(IF($A44="","",IF(OR($N44="Canceled",$N44="Closed"),0,MAX($Z44-IF($AG44="",0,$AG44),0))),"")</f>
        <v/>
      </c>
      <c r="AM44" s="27">
        <f>IFERROR(IF($A44="","",IF(OR($N44="Closed",$N44="Canceled"),IF($O44="","",MAX(0,$O44-$H44)),MAX(0,TODAY()-$H44))),"")</f>
        <v/>
      </c>
      <c r="AN44" s="24">
        <f>IFERROR(IF($A44="","",IF($AA44&gt;$R44,"Over Received",IF(AND($J44="Approved",OR($K44="",$L44="")),"Approval Missing",IF(AND($J44="Pending",$AM44&gt;'Settings'!$B$7),"Approval Follow-Up",IF(AND($N44="Open",$I44&lt;&gt;"",$I44+'Settings'!$B$8&lt;TODAY(),$AA44&lt;$R44),"Delivery Overdue",IF(AND($AG44&lt;&gt;"",OR(ABS($AH44)&gt;'Settings'!$B$9,ABS($AI44)&gt;'Settings'!$B$10)),"Invoice Variance",IF(AND($N44="Open",$AM44&gt;'Settings'!$B$11),"Aging Open PO",""))))))),"")</f>
        <v/>
      </c>
      <c r="AO44" s="25" t="n"/>
      <c r="AP44" s="24">
        <f>IFERROR(IF(AND($AN44&lt;&gt;"",$N44&lt;&gt;"Closed",$N44&lt;&gt;"Canceled",OR('Dashboard'!$B$4="All",$B44='Dashboard'!$B$4),OR('Dashboard'!$D$4="All",$C44='Dashboard'!$D$4)),COUNTIFS($AN$6:$AN44,"&lt;&gt;",$N$6:$N44,"&lt;&gt;Closed",$N$6:$N44,"&lt;&gt;Canceled",$B$6:$B44,IF('Dashboard'!$B$4="All","&lt;&gt;",'Dashboard'!$B$4),$C$6:$C44,IF('Dashboard'!$D$4="All","&lt;&gt;",'Dashboard'!$D$4)),""),"")</f>
        <v/>
      </c>
    </row>
    <row r="45">
      <c r="A45" s="23" t="n"/>
      <c r="B45" s="23" t="n"/>
      <c r="C45" s="23" t="n"/>
      <c r="D45" s="23" t="n"/>
      <c r="E45" s="23" t="n"/>
      <c r="F45" s="24">
        <f>IFERROR(IF($E45="","",VLOOKUP($E45,'Settings'!$G$16:$M$115,2,0)),"")</f>
        <v/>
      </c>
      <c r="G45" s="25" t="n"/>
      <c r="H45" s="51" t="n"/>
      <c r="I45" s="51" t="n"/>
      <c r="J45" s="23" t="n"/>
      <c r="K45" s="23" t="n"/>
      <c r="L45" s="51" t="n"/>
      <c r="M45" s="27">
        <f>IFERROR(IF($A45="","",IF($J45="Approved",MAX(0,$L45-$H45),"")),"")</f>
        <v/>
      </c>
      <c r="N45" s="23" t="n"/>
      <c r="O45" s="51" t="n"/>
      <c r="P45" s="23" t="n"/>
      <c r="Q45" s="25" t="n"/>
      <c r="R45" s="28" t="n"/>
      <c r="S45" s="52" t="n"/>
      <c r="T45" s="52" t="n"/>
      <c r="U45" s="23" t="n"/>
      <c r="V45" s="30" t="n"/>
      <c r="W45" s="52" t="n"/>
      <c r="X45" s="53">
        <f>IFERROR(IF($A45="","",MAX(0,$R45*$S45-$T45)),"")</f>
        <v/>
      </c>
      <c r="Y45" s="53">
        <f>IFERROR(IF($A45="","",IF($U45="Yes",$X45*$V45,0)),"")</f>
        <v/>
      </c>
      <c r="Z45" s="53">
        <f>IFERROR(IF($A45="","",$X45+$Y45+$W45),"")</f>
        <v/>
      </c>
      <c r="AA45" s="28" t="n"/>
      <c r="AB45" s="51" t="n"/>
      <c r="AC45" s="24">
        <f>IFERROR(IF($A45="","",IF($N45="Canceled","Canceled",IF($AA45=0,"Not Received",IF($AA45&lt;$R45,"Partially Received",IF($AA45=$R45,"Fully Received","Over Received"))))),"")</f>
        <v/>
      </c>
      <c r="AD45" s="25" t="n"/>
      <c r="AE45" s="23" t="n"/>
      <c r="AF45" s="51" t="n"/>
      <c r="AG45" s="52" t="n"/>
      <c r="AH45" s="53">
        <f>IFERROR(IF($A45="","",IF($AG45="","",$AG45-$Z45)),"")</f>
        <v/>
      </c>
      <c r="AI45" s="32">
        <f>IFERROR(IF($A45="","",IF(OR($AG45="",$Z45=0),"",($AG45-$Z45)/$Z45)),"")</f>
        <v/>
      </c>
      <c r="AJ45" s="23" t="n"/>
      <c r="AK45" s="51" t="n"/>
      <c r="AL45" s="53">
        <f>IFERROR(IF($A45="","",IF(OR($N45="Canceled",$N45="Closed"),0,MAX($Z45-IF($AG45="",0,$AG45),0))),"")</f>
        <v/>
      </c>
      <c r="AM45" s="27">
        <f>IFERROR(IF($A45="","",IF(OR($N45="Closed",$N45="Canceled"),IF($O45="","",MAX(0,$O45-$H45)),MAX(0,TODAY()-$H45))),"")</f>
        <v/>
      </c>
      <c r="AN45" s="24">
        <f>IFERROR(IF($A45="","",IF($AA45&gt;$R45,"Over Received",IF(AND($J45="Approved",OR($K45="",$L45="")),"Approval Missing",IF(AND($J45="Pending",$AM45&gt;'Settings'!$B$7),"Approval Follow-Up",IF(AND($N45="Open",$I45&lt;&gt;"",$I45+'Settings'!$B$8&lt;TODAY(),$AA45&lt;$R45),"Delivery Overdue",IF(AND($AG45&lt;&gt;"",OR(ABS($AH45)&gt;'Settings'!$B$9,ABS($AI45)&gt;'Settings'!$B$10)),"Invoice Variance",IF(AND($N45="Open",$AM45&gt;'Settings'!$B$11),"Aging Open PO",""))))))),"")</f>
        <v/>
      </c>
      <c r="AO45" s="25" t="n"/>
      <c r="AP45" s="24">
        <f>IFERROR(IF(AND($AN45&lt;&gt;"",$N45&lt;&gt;"Closed",$N45&lt;&gt;"Canceled",OR('Dashboard'!$B$4="All",$B45='Dashboard'!$B$4),OR('Dashboard'!$D$4="All",$C45='Dashboard'!$D$4)),COUNTIFS($AN$6:$AN45,"&lt;&gt;",$N$6:$N45,"&lt;&gt;Closed",$N$6:$N45,"&lt;&gt;Canceled",$B$6:$B45,IF('Dashboard'!$B$4="All","&lt;&gt;",'Dashboard'!$B$4),$C$6:$C45,IF('Dashboard'!$D$4="All","&lt;&gt;",'Dashboard'!$D$4)),""),"")</f>
        <v/>
      </c>
    </row>
    <row r="46">
      <c r="A46" s="23" t="n"/>
      <c r="B46" s="23" t="n"/>
      <c r="C46" s="23" t="n"/>
      <c r="D46" s="23" t="n"/>
      <c r="E46" s="23" t="n"/>
      <c r="F46" s="24">
        <f>IFERROR(IF($E46="","",VLOOKUP($E46,'Settings'!$G$16:$M$115,2,0)),"")</f>
        <v/>
      </c>
      <c r="G46" s="25" t="n"/>
      <c r="H46" s="51" t="n"/>
      <c r="I46" s="51" t="n"/>
      <c r="J46" s="23" t="n"/>
      <c r="K46" s="23" t="n"/>
      <c r="L46" s="51" t="n"/>
      <c r="M46" s="27">
        <f>IFERROR(IF($A46="","",IF($J46="Approved",MAX(0,$L46-$H46),"")),"")</f>
        <v/>
      </c>
      <c r="N46" s="23" t="n"/>
      <c r="O46" s="51" t="n"/>
      <c r="P46" s="23" t="n"/>
      <c r="Q46" s="25" t="n"/>
      <c r="R46" s="28" t="n"/>
      <c r="S46" s="52" t="n"/>
      <c r="T46" s="52" t="n"/>
      <c r="U46" s="23" t="n"/>
      <c r="V46" s="30" t="n"/>
      <c r="W46" s="52" t="n"/>
      <c r="X46" s="53">
        <f>IFERROR(IF($A46="","",MAX(0,$R46*$S46-$T46)),"")</f>
        <v/>
      </c>
      <c r="Y46" s="53">
        <f>IFERROR(IF($A46="","",IF($U46="Yes",$X46*$V46,0)),"")</f>
        <v/>
      </c>
      <c r="Z46" s="53">
        <f>IFERROR(IF($A46="","",$X46+$Y46+$W46),"")</f>
        <v/>
      </c>
      <c r="AA46" s="28" t="n"/>
      <c r="AB46" s="51" t="n"/>
      <c r="AC46" s="24">
        <f>IFERROR(IF($A46="","",IF($N46="Canceled","Canceled",IF($AA46=0,"Not Received",IF($AA46&lt;$R46,"Partially Received",IF($AA46=$R46,"Fully Received","Over Received"))))),"")</f>
        <v/>
      </c>
      <c r="AD46" s="25" t="n"/>
      <c r="AE46" s="23" t="n"/>
      <c r="AF46" s="51" t="n"/>
      <c r="AG46" s="52" t="n"/>
      <c r="AH46" s="53">
        <f>IFERROR(IF($A46="","",IF($AG46="","",$AG46-$Z46)),"")</f>
        <v/>
      </c>
      <c r="AI46" s="32">
        <f>IFERROR(IF($A46="","",IF(OR($AG46="",$Z46=0),"",($AG46-$Z46)/$Z46)),"")</f>
        <v/>
      </c>
      <c r="AJ46" s="23" t="n"/>
      <c r="AK46" s="51" t="n"/>
      <c r="AL46" s="53">
        <f>IFERROR(IF($A46="","",IF(OR($N46="Canceled",$N46="Closed"),0,MAX($Z46-IF($AG46="",0,$AG46),0))),"")</f>
        <v/>
      </c>
      <c r="AM46" s="27">
        <f>IFERROR(IF($A46="","",IF(OR($N46="Closed",$N46="Canceled"),IF($O46="","",MAX(0,$O46-$H46)),MAX(0,TODAY()-$H46))),"")</f>
        <v/>
      </c>
      <c r="AN46" s="24">
        <f>IFERROR(IF($A46="","",IF($AA46&gt;$R46,"Over Received",IF(AND($J46="Approved",OR($K46="",$L46="")),"Approval Missing",IF(AND($J46="Pending",$AM46&gt;'Settings'!$B$7),"Approval Follow-Up",IF(AND($N46="Open",$I46&lt;&gt;"",$I46+'Settings'!$B$8&lt;TODAY(),$AA46&lt;$R46),"Delivery Overdue",IF(AND($AG46&lt;&gt;"",OR(ABS($AH46)&gt;'Settings'!$B$9,ABS($AI46)&gt;'Settings'!$B$10)),"Invoice Variance",IF(AND($N46="Open",$AM46&gt;'Settings'!$B$11),"Aging Open PO",""))))))),"")</f>
        <v/>
      </c>
      <c r="AO46" s="25" t="n"/>
      <c r="AP46" s="24">
        <f>IFERROR(IF(AND($AN46&lt;&gt;"",$N46&lt;&gt;"Closed",$N46&lt;&gt;"Canceled",OR('Dashboard'!$B$4="All",$B46='Dashboard'!$B$4),OR('Dashboard'!$D$4="All",$C46='Dashboard'!$D$4)),COUNTIFS($AN$6:$AN46,"&lt;&gt;",$N$6:$N46,"&lt;&gt;Closed",$N$6:$N46,"&lt;&gt;Canceled",$B$6:$B46,IF('Dashboard'!$B$4="All","&lt;&gt;",'Dashboard'!$B$4),$C$6:$C46,IF('Dashboard'!$D$4="All","&lt;&gt;",'Dashboard'!$D$4)),""),"")</f>
        <v/>
      </c>
    </row>
    <row r="47">
      <c r="A47" s="23" t="n"/>
      <c r="B47" s="23" t="n"/>
      <c r="C47" s="23" t="n"/>
      <c r="D47" s="23" t="n"/>
      <c r="E47" s="23" t="n"/>
      <c r="F47" s="24">
        <f>IFERROR(IF($E47="","",VLOOKUP($E47,'Settings'!$G$16:$M$115,2,0)),"")</f>
        <v/>
      </c>
      <c r="G47" s="25" t="n"/>
      <c r="H47" s="51" t="n"/>
      <c r="I47" s="51" t="n"/>
      <c r="J47" s="23" t="n"/>
      <c r="K47" s="23" t="n"/>
      <c r="L47" s="51" t="n"/>
      <c r="M47" s="27">
        <f>IFERROR(IF($A47="","",IF($J47="Approved",MAX(0,$L47-$H47),"")),"")</f>
        <v/>
      </c>
      <c r="N47" s="23" t="n"/>
      <c r="O47" s="51" t="n"/>
      <c r="P47" s="23" t="n"/>
      <c r="Q47" s="25" t="n"/>
      <c r="R47" s="28" t="n"/>
      <c r="S47" s="52" t="n"/>
      <c r="T47" s="52" t="n"/>
      <c r="U47" s="23" t="n"/>
      <c r="V47" s="30" t="n"/>
      <c r="W47" s="52" t="n"/>
      <c r="X47" s="53">
        <f>IFERROR(IF($A47="","",MAX(0,$R47*$S47-$T47)),"")</f>
        <v/>
      </c>
      <c r="Y47" s="53">
        <f>IFERROR(IF($A47="","",IF($U47="Yes",$X47*$V47,0)),"")</f>
        <v/>
      </c>
      <c r="Z47" s="53">
        <f>IFERROR(IF($A47="","",$X47+$Y47+$W47),"")</f>
        <v/>
      </c>
      <c r="AA47" s="28" t="n"/>
      <c r="AB47" s="51" t="n"/>
      <c r="AC47" s="24">
        <f>IFERROR(IF($A47="","",IF($N47="Canceled","Canceled",IF($AA47=0,"Not Received",IF($AA47&lt;$R47,"Partially Received",IF($AA47=$R47,"Fully Received","Over Received"))))),"")</f>
        <v/>
      </c>
      <c r="AD47" s="25" t="n"/>
      <c r="AE47" s="23" t="n"/>
      <c r="AF47" s="51" t="n"/>
      <c r="AG47" s="52" t="n"/>
      <c r="AH47" s="53">
        <f>IFERROR(IF($A47="","",IF($AG47="","",$AG47-$Z47)),"")</f>
        <v/>
      </c>
      <c r="AI47" s="32">
        <f>IFERROR(IF($A47="","",IF(OR($AG47="",$Z47=0),"",($AG47-$Z47)/$Z47)),"")</f>
        <v/>
      </c>
      <c r="AJ47" s="23" t="n"/>
      <c r="AK47" s="51" t="n"/>
      <c r="AL47" s="53">
        <f>IFERROR(IF($A47="","",IF(OR($N47="Canceled",$N47="Closed"),0,MAX($Z47-IF($AG47="",0,$AG47),0))),"")</f>
        <v/>
      </c>
      <c r="AM47" s="27">
        <f>IFERROR(IF($A47="","",IF(OR($N47="Closed",$N47="Canceled"),IF($O47="","",MAX(0,$O47-$H47)),MAX(0,TODAY()-$H47))),"")</f>
        <v/>
      </c>
      <c r="AN47" s="24">
        <f>IFERROR(IF($A47="","",IF($AA47&gt;$R47,"Over Received",IF(AND($J47="Approved",OR($K47="",$L47="")),"Approval Missing",IF(AND($J47="Pending",$AM47&gt;'Settings'!$B$7),"Approval Follow-Up",IF(AND($N47="Open",$I47&lt;&gt;"",$I47+'Settings'!$B$8&lt;TODAY(),$AA47&lt;$R47),"Delivery Overdue",IF(AND($AG47&lt;&gt;"",OR(ABS($AH47)&gt;'Settings'!$B$9,ABS($AI47)&gt;'Settings'!$B$10)),"Invoice Variance",IF(AND($N47="Open",$AM47&gt;'Settings'!$B$11),"Aging Open PO",""))))))),"")</f>
        <v/>
      </c>
      <c r="AO47" s="25" t="n"/>
      <c r="AP47" s="24">
        <f>IFERROR(IF(AND($AN47&lt;&gt;"",$N47&lt;&gt;"Closed",$N47&lt;&gt;"Canceled",OR('Dashboard'!$B$4="All",$B47='Dashboard'!$B$4),OR('Dashboard'!$D$4="All",$C47='Dashboard'!$D$4)),COUNTIFS($AN$6:$AN47,"&lt;&gt;",$N$6:$N47,"&lt;&gt;Closed",$N$6:$N47,"&lt;&gt;Canceled",$B$6:$B47,IF('Dashboard'!$B$4="All","&lt;&gt;",'Dashboard'!$B$4),$C$6:$C47,IF('Dashboard'!$D$4="All","&lt;&gt;",'Dashboard'!$D$4)),""),"")</f>
        <v/>
      </c>
    </row>
    <row r="48">
      <c r="A48" s="23" t="n"/>
      <c r="B48" s="23" t="n"/>
      <c r="C48" s="23" t="n"/>
      <c r="D48" s="23" t="n"/>
      <c r="E48" s="23" t="n"/>
      <c r="F48" s="24">
        <f>IFERROR(IF($E48="","",VLOOKUP($E48,'Settings'!$G$16:$M$115,2,0)),"")</f>
        <v/>
      </c>
      <c r="G48" s="25" t="n"/>
      <c r="H48" s="51" t="n"/>
      <c r="I48" s="51" t="n"/>
      <c r="J48" s="23" t="n"/>
      <c r="K48" s="23" t="n"/>
      <c r="L48" s="51" t="n"/>
      <c r="M48" s="27">
        <f>IFERROR(IF($A48="","",IF($J48="Approved",MAX(0,$L48-$H48),"")),"")</f>
        <v/>
      </c>
      <c r="N48" s="23" t="n"/>
      <c r="O48" s="51" t="n"/>
      <c r="P48" s="23" t="n"/>
      <c r="Q48" s="25" t="n"/>
      <c r="R48" s="28" t="n"/>
      <c r="S48" s="52" t="n"/>
      <c r="T48" s="52" t="n"/>
      <c r="U48" s="23" t="n"/>
      <c r="V48" s="30" t="n"/>
      <c r="W48" s="52" t="n"/>
      <c r="X48" s="53">
        <f>IFERROR(IF($A48="","",MAX(0,$R48*$S48-$T48)),"")</f>
        <v/>
      </c>
      <c r="Y48" s="53">
        <f>IFERROR(IF($A48="","",IF($U48="Yes",$X48*$V48,0)),"")</f>
        <v/>
      </c>
      <c r="Z48" s="53">
        <f>IFERROR(IF($A48="","",$X48+$Y48+$W48),"")</f>
        <v/>
      </c>
      <c r="AA48" s="28" t="n"/>
      <c r="AB48" s="51" t="n"/>
      <c r="AC48" s="24">
        <f>IFERROR(IF($A48="","",IF($N48="Canceled","Canceled",IF($AA48=0,"Not Received",IF($AA48&lt;$R48,"Partially Received",IF($AA48=$R48,"Fully Received","Over Received"))))),"")</f>
        <v/>
      </c>
      <c r="AD48" s="25" t="n"/>
      <c r="AE48" s="23" t="n"/>
      <c r="AF48" s="51" t="n"/>
      <c r="AG48" s="52" t="n"/>
      <c r="AH48" s="53">
        <f>IFERROR(IF($A48="","",IF($AG48="","",$AG48-$Z48)),"")</f>
        <v/>
      </c>
      <c r="AI48" s="32">
        <f>IFERROR(IF($A48="","",IF(OR($AG48="",$Z48=0),"",($AG48-$Z48)/$Z48)),"")</f>
        <v/>
      </c>
      <c r="AJ48" s="23" t="n"/>
      <c r="AK48" s="51" t="n"/>
      <c r="AL48" s="53">
        <f>IFERROR(IF($A48="","",IF(OR($N48="Canceled",$N48="Closed"),0,MAX($Z48-IF($AG48="",0,$AG48),0))),"")</f>
        <v/>
      </c>
      <c r="AM48" s="27">
        <f>IFERROR(IF($A48="","",IF(OR($N48="Closed",$N48="Canceled"),IF($O48="","",MAX(0,$O48-$H48)),MAX(0,TODAY()-$H48))),"")</f>
        <v/>
      </c>
      <c r="AN48" s="24">
        <f>IFERROR(IF($A48="","",IF($AA48&gt;$R48,"Over Received",IF(AND($J48="Approved",OR($K48="",$L48="")),"Approval Missing",IF(AND($J48="Pending",$AM48&gt;'Settings'!$B$7),"Approval Follow-Up",IF(AND($N48="Open",$I48&lt;&gt;"",$I48+'Settings'!$B$8&lt;TODAY(),$AA48&lt;$R48),"Delivery Overdue",IF(AND($AG48&lt;&gt;"",OR(ABS($AH48)&gt;'Settings'!$B$9,ABS($AI48)&gt;'Settings'!$B$10)),"Invoice Variance",IF(AND($N48="Open",$AM48&gt;'Settings'!$B$11),"Aging Open PO",""))))))),"")</f>
        <v/>
      </c>
      <c r="AO48" s="25" t="n"/>
      <c r="AP48" s="24">
        <f>IFERROR(IF(AND($AN48&lt;&gt;"",$N48&lt;&gt;"Closed",$N48&lt;&gt;"Canceled",OR('Dashboard'!$B$4="All",$B48='Dashboard'!$B$4),OR('Dashboard'!$D$4="All",$C48='Dashboard'!$D$4)),COUNTIFS($AN$6:$AN48,"&lt;&gt;",$N$6:$N48,"&lt;&gt;Closed",$N$6:$N48,"&lt;&gt;Canceled",$B$6:$B48,IF('Dashboard'!$B$4="All","&lt;&gt;",'Dashboard'!$B$4),$C$6:$C48,IF('Dashboard'!$D$4="All","&lt;&gt;",'Dashboard'!$D$4)),""),"")</f>
        <v/>
      </c>
    </row>
    <row r="49">
      <c r="A49" s="23" t="n"/>
      <c r="B49" s="23" t="n"/>
      <c r="C49" s="23" t="n"/>
      <c r="D49" s="23" t="n"/>
      <c r="E49" s="23" t="n"/>
      <c r="F49" s="24">
        <f>IFERROR(IF($E49="","",VLOOKUP($E49,'Settings'!$G$16:$M$115,2,0)),"")</f>
        <v/>
      </c>
      <c r="G49" s="25" t="n"/>
      <c r="H49" s="51" t="n"/>
      <c r="I49" s="51" t="n"/>
      <c r="J49" s="23" t="n"/>
      <c r="K49" s="23" t="n"/>
      <c r="L49" s="51" t="n"/>
      <c r="M49" s="27">
        <f>IFERROR(IF($A49="","",IF($J49="Approved",MAX(0,$L49-$H49),"")),"")</f>
        <v/>
      </c>
      <c r="N49" s="23" t="n"/>
      <c r="O49" s="51" t="n"/>
      <c r="P49" s="23" t="n"/>
      <c r="Q49" s="25" t="n"/>
      <c r="R49" s="28" t="n"/>
      <c r="S49" s="52" t="n"/>
      <c r="T49" s="52" t="n"/>
      <c r="U49" s="23" t="n"/>
      <c r="V49" s="30" t="n"/>
      <c r="W49" s="52" t="n"/>
      <c r="X49" s="53">
        <f>IFERROR(IF($A49="","",MAX(0,$R49*$S49-$T49)),"")</f>
        <v/>
      </c>
      <c r="Y49" s="53">
        <f>IFERROR(IF($A49="","",IF($U49="Yes",$X49*$V49,0)),"")</f>
        <v/>
      </c>
      <c r="Z49" s="53">
        <f>IFERROR(IF($A49="","",$X49+$Y49+$W49),"")</f>
        <v/>
      </c>
      <c r="AA49" s="28" t="n"/>
      <c r="AB49" s="51" t="n"/>
      <c r="AC49" s="24">
        <f>IFERROR(IF($A49="","",IF($N49="Canceled","Canceled",IF($AA49=0,"Not Received",IF($AA49&lt;$R49,"Partially Received",IF($AA49=$R49,"Fully Received","Over Received"))))),"")</f>
        <v/>
      </c>
      <c r="AD49" s="25" t="n"/>
      <c r="AE49" s="23" t="n"/>
      <c r="AF49" s="51" t="n"/>
      <c r="AG49" s="52" t="n"/>
      <c r="AH49" s="53">
        <f>IFERROR(IF($A49="","",IF($AG49="","",$AG49-$Z49)),"")</f>
        <v/>
      </c>
      <c r="AI49" s="32">
        <f>IFERROR(IF($A49="","",IF(OR($AG49="",$Z49=0),"",($AG49-$Z49)/$Z49)),"")</f>
        <v/>
      </c>
      <c r="AJ49" s="23" t="n"/>
      <c r="AK49" s="51" t="n"/>
      <c r="AL49" s="53">
        <f>IFERROR(IF($A49="","",IF(OR($N49="Canceled",$N49="Closed"),0,MAX($Z49-IF($AG49="",0,$AG49),0))),"")</f>
        <v/>
      </c>
      <c r="AM49" s="27">
        <f>IFERROR(IF($A49="","",IF(OR($N49="Closed",$N49="Canceled"),IF($O49="","",MAX(0,$O49-$H49)),MAX(0,TODAY()-$H49))),"")</f>
        <v/>
      </c>
      <c r="AN49" s="24">
        <f>IFERROR(IF($A49="","",IF($AA49&gt;$R49,"Over Received",IF(AND($J49="Approved",OR($K49="",$L49="")),"Approval Missing",IF(AND($J49="Pending",$AM49&gt;'Settings'!$B$7),"Approval Follow-Up",IF(AND($N49="Open",$I49&lt;&gt;"",$I49+'Settings'!$B$8&lt;TODAY(),$AA49&lt;$R49),"Delivery Overdue",IF(AND($AG49&lt;&gt;"",OR(ABS($AH49)&gt;'Settings'!$B$9,ABS($AI49)&gt;'Settings'!$B$10)),"Invoice Variance",IF(AND($N49="Open",$AM49&gt;'Settings'!$B$11),"Aging Open PO",""))))))),"")</f>
        <v/>
      </c>
      <c r="AO49" s="25" t="n"/>
      <c r="AP49" s="24">
        <f>IFERROR(IF(AND($AN49&lt;&gt;"",$N49&lt;&gt;"Closed",$N49&lt;&gt;"Canceled",OR('Dashboard'!$B$4="All",$B49='Dashboard'!$B$4),OR('Dashboard'!$D$4="All",$C49='Dashboard'!$D$4)),COUNTIFS($AN$6:$AN49,"&lt;&gt;",$N$6:$N49,"&lt;&gt;Closed",$N$6:$N49,"&lt;&gt;Canceled",$B$6:$B49,IF('Dashboard'!$B$4="All","&lt;&gt;",'Dashboard'!$B$4),$C$6:$C49,IF('Dashboard'!$D$4="All","&lt;&gt;",'Dashboard'!$D$4)),""),"")</f>
        <v/>
      </c>
    </row>
    <row r="50">
      <c r="A50" s="23" t="n"/>
      <c r="B50" s="23" t="n"/>
      <c r="C50" s="23" t="n"/>
      <c r="D50" s="23" t="n"/>
      <c r="E50" s="23" t="n"/>
      <c r="F50" s="24">
        <f>IFERROR(IF($E50="","",VLOOKUP($E50,'Settings'!$G$16:$M$115,2,0)),"")</f>
        <v/>
      </c>
      <c r="G50" s="25" t="n"/>
      <c r="H50" s="51" t="n"/>
      <c r="I50" s="51" t="n"/>
      <c r="J50" s="23" t="n"/>
      <c r="K50" s="23" t="n"/>
      <c r="L50" s="51" t="n"/>
      <c r="M50" s="27">
        <f>IFERROR(IF($A50="","",IF($J50="Approved",MAX(0,$L50-$H50),"")),"")</f>
        <v/>
      </c>
      <c r="N50" s="23" t="n"/>
      <c r="O50" s="51" t="n"/>
      <c r="P50" s="23" t="n"/>
      <c r="Q50" s="25" t="n"/>
      <c r="R50" s="28" t="n"/>
      <c r="S50" s="52" t="n"/>
      <c r="T50" s="52" t="n"/>
      <c r="U50" s="23" t="n"/>
      <c r="V50" s="30" t="n"/>
      <c r="W50" s="52" t="n"/>
      <c r="X50" s="53">
        <f>IFERROR(IF($A50="","",MAX(0,$R50*$S50-$T50)),"")</f>
        <v/>
      </c>
      <c r="Y50" s="53">
        <f>IFERROR(IF($A50="","",IF($U50="Yes",$X50*$V50,0)),"")</f>
        <v/>
      </c>
      <c r="Z50" s="53">
        <f>IFERROR(IF($A50="","",$X50+$Y50+$W50),"")</f>
        <v/>
      </c>
      <c r="AA50" s="28" t="n"/>
      <c r="AB50" s="51" t="n"/>
      <c r="AC50" s="24">
        <f>IFERROR(IF($A50="","",IF($N50="Canceled","Canceled",IF($AA50=0,"Not Received",IF($AA50&lt;$R50,"Partially Received",IF($AA50=$R50,"Fully Received","Over Received"))))),"")</f>
        <v/>
      </c>
      <c r="AD50" s="25" t="n"/>
      <c r="AE50" s="23" t="n"/>
      <c r="AF50" s="51" t="n"/>
      <c r="AG50" s="52" t="n"/>
      <c r="AH50" s="53">
        <f>IFERROR(IF($A50="","",IF($AG50="","",$AG50-$Z50)),"")</f>
        <v/>
      </c>
      <c r="AI50" s="32">
        <f>IFERROR(IF($A50="","",IF(OR($AG50="",$Z50=0),"",($AG50-$Z50)/$Z50)),"")</f>
        <v/>
      </c>
      <c r="AJ50" s="23" t="n"/>
      <c r="AK50" s="51" t="n"/>
      <c r="AL50" s="53">
        <f>IFERROR(IF($A50="","",IF(OR($N50="Canceled",$N50="Closed"),0,MAX($Z50-IF($AG50="",0,$AG50),0))),"")</f>
        <v/>
      </c>
      <c r="AM50" s="27">
        <f>IFERROR(IF($A50="","",IF(OR($N50="Closed",$N50="Canceled"),IF($O50="","",MAX(0,$O50-$H50)),MAX(0,TODAY()-$H50))),"")</f>
        <v/>
      </c>
      <c r="AN50" s="24">
        <f>IFERROR(IF($A50="","",IF($AA50&gt;$R50,"Over Received",IF(AND($J50="Approved",OR($K50="",$L50="")),"Approval Missing",IF(AND($J50="Pending",$AM50&gt;'Settings'!$B$7),"Approval Follow-Up",IF(AND($N50="Open",$I50&lt;&gt;"",$I50+'Settings'!$B$8&lt;TODAY(),$AA50&lt;$R50),"Delivery Overdue",IF(AND($AG50&lt;&gt;"",OR(ABS($AH50)&gt;'Settings'!$B$9,ABS($AI50)&gt;'Settings'!$B$10)),"Invoice Variance",IF(AND($N50="Open",$AM50&gt;'Settings'!$B$11),"Aging Open PO",""))))))),"")</f>
        <v/>
      </c>
      <c r="AO50" s="25" t="n"/>
      <c r="AP50" s="24">
        <f>IFERROR(IF(AND($AN50&lt;&gt;"",$N50&lt;&gt;"Closed",$N50&lt;&gt;"Canceled",OR('Dashboard'!$B$4="All",$B50='Dashboard'!$B$4),OR('Dashboard'!$D$4="All",$C50='Dashboard'!$D$4)),COUNTIFS($AN$6:$AN50,"&lt;&gt;",$N$6:$N50,"&lt;&gt;Closed",$N$6:$N50,"&lt;&gt;Canceled",$B$6:$B50,IF('Dashboard'!$B$4="All","&lt;&gt;",'Dashboard'!$B$4),$C$6:$C50,IF('Dashboard'!$D$4="All","&lt;&gt;",'Dashboard'!$D$4)),""),"")</f>
        <v/>
      </c>
    </row>
    <row r="51">
      <c r="A51" s="23" t="n"/>
      <c r="B51" s="23" t="n"/>
      <c r="C51" s="23" t="n"/>
      <c r="D51" s="23" t="n"/>
      <c r="E51" s="23" t="n"/>
      <c r="F51" s="24">
        <f>IFERROR(IF($E51="","",VLOOKUP($E51,'Settings'!$G$16:$M$115,2,0)),"")</f>
        <v/>
      </c>
      <c r="G51" s="25" t="n"/>
      <c r="H51" s="51" t="n"/>
      <c r="I51" s="51" t="n"/>
      <c r="J51" s="23" t="n"/>
      <c r="K51" s="23" t="n"/>
      <c r="L51" s="51" t="n"/>
      <c r="M51" s="27">
        <f>IFERROR(IF($A51="","",IF($J51="Approved",MAX(0,$L51-$H51),"")),"")</f>
        <v/>
      </c>
      <c r="N51" s="23" t="n"/>
      <c r="O51" s="51" t="n"/>
      <c r="P51" s="23" t="n"/>
      <c r="Q51" s="25" t="n"/>
      <c r="R51" s="28" t="n"/>
      <c r="S51" s="52" t="n"/>
      <c r="T51" s="52" t="n"/>
      <c r="U51" s="23" t="n"/>
      <c r="V51" s="30" t="n"/>
      <c r="W51" s="52" t="n"/>
      <c r="X51" s="53">
        <f>IFERROR(IF($A51="","",MAX(0,$R51*$S51-$T51)),"")</f>
        <v/>
      </c>
      <c r="Y51" s="53">
        <f>IFERROR(IF($A51="","",IF($U51="Yes",$X51*$V51,0)),"")</f>
        <v/>
      </c>
      <c r="Z51" s="53">
        <f>IFERROR(IF($A51="","",$X51+$Y51+$W51),"")</f>
        <v/>
      </c>
      <c r="AA51" s="28" t="n"/>
      <c r="AB51" s="51" t="n"/>
      <c r="AC51" s="24">
        <f>IFERROR(IF($A51="","",IF($N51="Canceled","Canceled",IF($AA51=0,"Not Received",IF($AA51&lt;$R51,"Partially Received",IF($AA51=$R51,"Fully Received","Over Received"))))),"")</f>
        <v/>
      </c>
      <c r="AD51" s="25" t="n"/>
      <c r="AE51" s="23" t="n"/>
      <c r="AF51" s="51" t="n"/>
      <c r="AG51" s="52" t="n"/>
      <c r="AH51" s="53">
        <f>IFERROR(IF($A51="","",IF($AG51="","",$AG51-$Z51)),"")</f>
        <v/>
      </c>
      <c r="AI51" s="32">
        <f>IFERROR(IF($A51="","",IF(OR($AG51="",$Z51=0),"",($AG51-$Z51)/$Z51)),"")</f>
        <v/>
      </c>
      <c r="AJ51" s="23" t="n"/>
      <c r="AK51" s="51" t="n"/>
      <c r="AL51" s="53">
        <f>IFERROR(IF($A51="","",IF(OR($N51="Canceled",$N51="Closed"),0,MAX($Z51-IF($AG51="",0,$AG51),0))),"")</f>
        <v/>
      </c>
      <c r="AM51" s="27">
        <f>IFERROR(IF($A51="","",IF(OR($N51="Closed",$N51="Canceled"),IF($O51="","",MAX(0,$O51-$H51)),MAX(0,TODAY()-$H51))),"")</f>
        <v/>
      </c>
      <c r="AN51" s="24">
        <f>IFERROR(IF($A51="","",IF($AA51&gt;$R51,"Over Received",IF(AND($J51="Approved",OR($K51="",$L51="")),"Approval Missing",IF(AND($J51="Pending",$AM51&gt;'Settings'!$B$7),"Approval Follow-Up",IF(AND($N51="Open",$I51&lt;&gt;"",$I51+'Settings'!$B$8&lt;TODAY(),$AA51&lt;$R51),"Delivery Overdue",IF(AND($AG51&lt;&gt;"",OR(ABS($AH51)&gt;'Settings'!$B$9,ABS($AI51)&gt;'Settings'!$B$10)),"Invoice Variance",IF(AND($N51="Open",$AM51&gt;'Settings'!$B$11),"Aging Open PO",""))))))),"")</f>
        <v/>
      </c>
      <c r="AO51" s="25" t="n"/>
      <c r="AP51" s="24">
        <f>IFERROR(IF(AND($AN51&lt;&gt;"",$N51&lt;&gt;"Closed",$N51&lt;&gt;"Canceled",OR('Dashboard'!$B$4="All",$B51='Dashboard'!$B$4),OR('Dashboard'!$D$4="All",$C51='Dashboard'!$D$4)),COUNTIFS($AN$6:$AN51,"&lt;&gt;",$N$6:$N51,"&lt;&gt;Closed",$N$6:$N51,"&lt;&gt;Canceled",$B$6:$B51,IF('Dashboard'!$B$4="All","&lt;&gt;",'Dashboard'!$B$4),$C$6:$C51,IF('Dashboard'!$D$4="All","&lt;&gt;",'Dashboard'!$D$4)),""),"")</f>
        <v/>
      </c>
    </row>
    <row r="52">
      <c r="A52" s="23" t="n"/>
      <c r="B52" s="23" t="n"/>
      <c r="C52" s="23" t="n"/>
      <c r="D52" s="23" t="n"/>
      <c r="E52" s="23" t="n"/>
      <c r="F52" s="24">
        <f>IFERROR(IF($E52="","",VLOOKUP($E52,'Settings'!$G$16:$M$115,2,0)),"")</f>
        <v/>
      </c>
      <c r="G52" s="25" t="n"/>
      <c r="H52" s="51" t="n"/>
      <c r="I52" s="51" t="n"/>
      <c r="J52" s="23" t="n"/>
      <c r="K52" s="23" t="n"/>
      <c r="L52" s="51" t="n"/>
      <c r="M52" s="27">
        <f>IFERROR(IF($A52="","",IF($J52="Approved",MAX(0,$L52-$H52),"")),"")</f>
        <v/>
      </c>
      <c r="N52" s="23" t="n"/>
      <c r="O52" s="51" t="n"/>
      <c r="P52" s="23" t="n"/>
      <c r="Q52" s="25" t="n"/>
      <c r="R52" s="28" t="n"/>
      <c r="S52" s="52" t="n"/>
      <c r="T52" s="52" t="n"/>
      <c r="U52" s="23" t="n"/>
      <c r="V52" s="30" t="n"/>
      <c r="W52" s="52" t="n"/>
      <c r="X52" s="53">
        <f>IFERROR(IF($A52="","",MAX(0,$R52*$S52-$T52)),"")</f>
        <v/>
      </c>
      <c r="Y52" s="53">
        <f>IFERROR(IF($A52="","",IF($U52="Yes",$X52*$V52,0)),"")</f>
        <v/>
      </c>
      <c r="Z52" s="53">
        <f>IFERROR(IF($A52="","",$X52+$Y52+$W52),"")</f>
        <v/>
      </c>
      <c r="AA52" s="28" t="n"/>
      <c r="AB52" s="51" t="n"/>
      <c r="AC52" s="24">
        <f>IFERROR(IF($A52="","",IF($N52="Canceled","Canceled",IF($AA52=0,"Not Received",IF($AA52&lt;$R52,"Partially Received",IF($AA52=$R52,"Fully Received","Over Received"))))),"")</f>
        <v/>
      </c>
      <c r="AD52" s="25" t="n"/>
      <c r="AE52" s="23" t="n"/>
      <c r="AF52" s="51" t="n"/>
      <c r="AG52" s="52" t="n"/>
      <c r="AH52" s="53">
        <f>IFERROR(IF($A52="","",IF($AG52="","",$AG52-$Z52)),"")</f>
        <v/>
      </c>
      <c r="AI52" s="32">
        <f>IFERROR(IF($A52="","",IF(OR($AG52="",$Z52=0),"",($AG52-$Z52)/$Z52)),"")</f>
        <v/>
      </c>
      <c r="AJ52" s="23" t="n"/>
      <c r="AK52" s="51" t="n"/>
      <c r="AL52" s="53">
        <f>IFERROR(IF($A52="","",IF(OR($N52="Canceled",$N52="Closed"),0,MAX($Z52-IF($AG52="",0,$AG52),0))),"")</f>
        <v/>
      </c>
      <c r="AM52" s="27">
        <f>IFERROR(IF($A52="","",IF(OR($N52="Closed",$N52="Canceled"),IF($O52="","",MAX(0,$O52-$H52)),MAX(0,TODAY()-$H52))),"")</f>
        <v/>
      </c>
      <c r="AN52" s="24">
        <f>IFERROR(IF($A52="","",IF($AA52&gt;$R52,"Over Received",IF(AND($J52="Approved",OR($K52="",$L52="")),"Approval Missing",IF(AND($J52="Pending",$AM52&gt;'Settings'!$B$7),"Approval Follow-Up",IF(AND($N52="Open",$I52&lt;&gt;"",$I52+'Settings'!$B$8&lt;TODAY(),$AA52&lt;$R52),"Delivery Overdue",IF(AND($AG52&lt;&gt;"",OR(ABS($AH52)&gt;'Settings'!$B$9,ABS($AI52)&gt;'Settings'!$B$10)),"Invoice Variance",IF(AND($N52="Open",$AM52&gt;'Settings'!$B$11),"Aging Open PO",""))))))),"")</f>
        <v/>
      </c>
      <c r="AO52" s="25" t="n"/>
      <c r="AP52" s="24">
        <f>IFERROR(IF(AND($AN52&lt;&gt;"",$N52&lt;&gt;"Closed",$N52&lt;&gt;"Canceled",OR('Dashboard'!$B$4="All",$B52='Dashboard'!$B$4),OR('Dashboard'!$D$4="All",$C52='Dashboard'!$D$4)),COUNTIFS($AN$6:$AN52,"&lt;&gt;",$N$6:$N52,"&lt;&gt;Closed",$N$6:$N52,"&lt;&gt;Canceled",$B$6:$B52,IF('Dashboard'!$B$4="All","&lt;&gt;",'Dashboard'!$B$4),$C$6:$C52,IF('Dashboard'!$D$4="All","&lt;&gt;",'Dashboard'!$D$4)),""),"")</f>
        <v/>
      </c>
    </row>
    <row r="53">
      <c r="A53" s="23" t="n"/>
      <c r="B53" s="23" t="n"/>
      <c r="C53" s="23" t="n"/>
      <c r="D53" s="23" t="n"/>
      <c r="E53" s="23" t="n"/>
      <c r="F53" s="24">
        <f>IFERROR(IF($E53="","",VLOOKUP($E53,'Settings'!$G$16:$M$115,2,0)),"")</f>
        <v/>
      </c>
      <c r="G53" s="25" t="n"/>
      <c r="H53" s="51" t="n"/>
      <c r="I53" s="51" t="n"/>
      <c r="J53" s="23" t="n"/>
      <c r="K53" s="23" t="n"/>
      <c r="L53" s="51" t="n"/>
      <c r="M53" s="27">
        <f>IFERROR(IF($A53="","",IF($J53="Approved",MAX(0,$L53-$H53),"")),"")</f>
        <v/>
      </c>
      <c r="N53" s="23" t="n"/>
      <c r="O53" s="51" t="n"/>
      <c r="P53" s="23" t="n"/>
      <c r="Q53" s="25" t="n"/>
      <c r="R53" s="28" t="n"/>
      <c r="S53" s="52" t="n"/>
      <c r="T53" s="52" t="n"/>
      <c r="U53" s="23" t="n"/>
      <c r="V53" s="30" t="n"/>
      <c r="W53" s="52" t="n"/>
      <c r="X53" s="53">
        <f>IFERROR(IF($A53="","",MAX(0,$R53*$S53-$T53)),"")</f>
        <v/>
      </c>
      <c r="Y53" s="53">
        <f>IFERROR(IF($A53="","",IF($U53="Yes",$X53*$V53,0)),"")</f>
        <v/>
      </c>
      <c r="Z53" s="53">
        <f>IFERROR(IF($A53="","",$X53+$Y53+$W53),"")</f>
        <v/>
      </c>
      <c r="AA53" s="28" t="n"/>
      <c r="AB53" s="51" t="n"/>
      <c r="AC53" s="24">
        <f>IFERROR(IF($A53="","",IF($N53="Canceled","Canceled",IF($AA53=0,"Not Received",IF($AA53&lt;$R53,"Partially Received",IF($AA53=$R53,"Fully Received","Over Received"))))),"")</f>
        <v/>
      </c>
      <c r="AD53" s="25" t="n"/>
      <c r="AE53" s="23" t="n"/>
      <c r="AF53" s="51" t="n"/>
      <c r="AG53" s="52" t="n"/>
      <c r="AH53" s="53">
        <f>IFERROR(IF($A53="","",IF($AG53="","",$AG53-$Z53)),"")</f>
        <v/>
      </c>
      <c r="AI53" s="32">
        <f>IFERROR(IF($A53="","",IF(OR($AG53="",$Z53=0),"",($AG53-$Z53)/$Z53)),"")</f>
        <v/>
      </c>
      <c r="AJ53" s="23" t="n"/>
      <c r="AK53" s="51" t="n"/>
      <c r="AL53" s="53">
        <f>IFERROR(IF($A53="","",IF(OR($N53="Canceled",$N53="Closed"),0,MAX($Z53-IF($AG53="",0,$AG53),0))),"")</f>
        <v/>
      </c>
      <c r="AM53" s="27">
        <f>IFERROR(IF($A53="","",IF(OR($N53="Closed",$N53="Canceled"),IF($O53="","",MAX(0,$O53-$H53)),MAX(0,TODAY()-$H53))),"")</f>
        <v/>
      </c>
      <c r="AN53" s="24">
        <f>IFERROR(IF($A53="","",IF($AA53&gt;$R53,"Over Received",IF(AND($J53="Approved",OR($K53="",$L53="")),"Approval Missing",IF(AND($J53="Pending",$AM53&gt;'Settings'!$B$7),"Approval Follow-Up",IF(AND($N53="Open",$I53&lt;&gt;"",$I53+'Settings'!$B$8&lt;TODAY(),$AA53&lt;$R53),"Delivery Overdue",IF(AND($AG53&lt;&gt;"",OR(ABS($AH53)&gt;'Settings'!$B$9,ABS($AI53)&gt;'Settings'!$B$10)),"Invoice Variance",IF(AND($N53="Open",$AM53&gt;'Settings'!$B$11),"Aging Open PO",""))))))),"")</f>
        <v/>
      </c>
      <c r="AO53" s="25" t="n"/>
      <c r="AP53" s="24">
        <f>IFERROR(IF(AND($AN53&lt;&gt;"",$N53&lt;&gt;"Closed",$N53&lt;&gt;"Canceled",OR('Dashboard'!$B$4="All",$B53='Dashboard'!$B$4),OR('Dashboard'!$D$4="All",$C53='Dashboard'!$D$4)),COUNTIFS($AN$6:$AN53,"&lt;&gt;",$N$6:$N53,"&lt;&gt;Closed",$N$6:$N53,"&lt;&gt;Canceled",$B$6:$B53,IF('Dashboard'!$B$4="All","&lt;&gt;",'Dashboard'!$B$4),$C$6:$C53,IF('Dashboard'!$D$4="All","&lt;&gt;",'Dashboard'!$D$4)),""),"")</f>
        <v/>
      </c>
    </row>
    <row r="54">
      <c r="A54" s="23" t="n"/>
      <c r="B54" s="23" t="n"/>
      <c r="C54" s="23" t="n"/>
      <c r="D54" s="23" t="n"/>
      <c r="E54" s="23" t="n"/>
      <c r="F54" s="24">
        <f>IFERROR(IF($E54="","",VLOOKUP($E54,'Settings'!$G$16:$M$115,2,0)),"")</f>
        <v/>
      </c>
      <c r="G54" s="25" t="n"/>
      <c r="H54" s="51" t="n"/>
      <c r="I54" s="51" t="n"/>
      <c r="J54" s="23" t="n"/>
      <c r="K54" s="23" t="n"/>
      <c r="L54" s="51" t="n"/>
      <c r="M54" s="27">
        <f>IFERROR(IF($A54="","",IF($J54="Approved",MAX(0,$L54-$H54),"")),"")</f>
        <v/>
      </c>
      <c r="N54" s="23" t="n"/>
      <c r="O54" s="51" t="n"/>
      <c r="P54" s="23" t="n"/>
      <c r="Q54" s="25" t="n"/>
      <c r="R54" s="28" t="n"/>
      <c r="S54" s="52" t="n"/>
      <c r="T54" s="52" t="n"/>
      <c r="U54" s="23" t="n"/>
      <c r="V54" s="30" t="n"/>
      <c r="W54" s="52" t="n"/>
      <c r="X54" s="53">
        <f>IFERROR(IF($A54="","",MAX(0,$R54*$S54-$T54)),"")</f>
        <v/>
      </c>
      <c r="Y54" s="53">
        <f>IFERROR(IF($A54="","",IF($U54="Yes",$X54*$V54,0)),"")</f>
        <v/>
      </c>
      <c r="Z54" s="53">
        <f>IFERROR(IF($A54="","",$X54+$Y54+$W54),"")</f>
        <v/>
      </c>
      <c r="AA54" s="28" t="n"/>
      <c r="AB54" s="51" t="n"/>
      <c r="AC54" s="24">
        <f>IFERROR(IF($A54="","",IF($N54="Canceled","Canceled",IF($AA54=0,"Not Received",IF($AA54&lt;$R54,"Partially Received",IF($AA54=$R54,"Fully Received","Over Received"))))),"")</f>
        <v/>
      </c>
      <c r="AD54" s="25" t="n"/>
      <c r="AE54" s="23" t="n"/>
      <c r="AF54" s="51" t="n"/>
      <c r="AG54" s="52" t="n"/>
      <c r="AH54" s="53">
        <f>IFERROR(IF($A54="","",IF($AG54="","",$AG54-$Z54)),"")</f>
        <v/>
      </c>
      <c r="AI54" s="32">
        <f>IFERROR(IF($A54="","",IF(OR($AG54="",$Z54=0),"",($AG54-$Z54)/$Z54)),"")</f>
        <v/>
      </c>
      <c r="AJ54" s="23" t="n"/>
      <c r="AK54" s="51" t="n"/>
      <c r="AL54" s="53">
        <f>IFERROR(IF($A54="","",IF(OR($N54="Canceled",$N54="Closed"),0,MAX($Z54-IF($AG54="",0,$AG54),0))),"")</f>
        <v/>
      </c>
      <c r="AM54" s="27">
        <f>IFERROR(IF($A54="","",IF(OR($N54="Closed",$N54="Canceled"),IF($O54="","",MAX(0,$O54-$H54)),MAX(0,TODAY()-$H54))),"")</f>
        <v/>
      </c>
      <c r="AN54" s="24">
        <f>IFERROR(IF($A54="","",IF($AA54&gt;$R54,"Over Received",IF(AND($J54="Approved",OR($K54="",$L54="")),"Approval Missing",IF(AND($J54="Pending",$AM54&gt;'Settings'!$B$7),"Approval Follow-Up",IF(AND($N54="Open",$I54&lt;&gt;"",$I54+'Settings'!$B$8&lt;TODAY(),$AA54&lt;$R54),"Delivery Overdue",IF(AND($AG54&lt;&gt;"",OR(ABS($AH54)&gt;'Settings'!$B$9,ABS($AI54)&gt;'Settings'!$B$10)),"Invoice Variance",IF(AND($N54="Open",$AM54&gt;'Settings'!$B$11),"Aging Open PO",""))))))),"")</f>
        <v/>
      </c>
      <c r="AO54" s="25" t="n"/>
      <c r="AP54" s="24">
        <f>IFERROR(IF(AND($AN54&lt;&gt;"",$N54&lt;&gt;"Closed",$N54&lt;&gt;"Canceled",OR('Dashboard'!$B$4="All",$B54='Dashboard'!$B$4),OR('Dashboard'!$D$4="All",$C54='Dashboard'!$D$4)),COUNTIFS($AN$6:$AN54,"&lt;&gt;",$N$6:$N54,"&lt;&gt;Closed",$N$6:$N54,"&lt;&gt;Canceled",$B$6:$B54,IF('Dashboard'!$B$4="All","&lt;&gt;",'Dashboard'!$B$4),$C$6:$C54,IF('Dashboard'!$D$4="All","&lt;&gt;",'Dashboard'!$D$4)),""),"")</f>
        <v/>
      </c>
    </row>
    <row r="55">
      <c r="A55" s="23" t="n"/>
      <c r="B55" s="23" t="n"/>
      <c r="C55" s="23" t="n"/>
      <c r="D55" s="23" t="n"/>
      <c r="E55" s="23" t="n"/>
      <c r="F55" s="24">
        <f>IFERROR(IF($E55="","",VLOOKUP($E55,'Settings'!$G$16:$M$115,2,0)),"")</f>
        <v/>
      </c>
      <c r="G55" s="25" t="n"/>
      <c r="H55" s="51" t="n"/>
      <c r="I55" s="51" t="n"/>
      <c r="J55" s="23" t="n"/>
      <c r="K55" s="23" t="n"/>
      <c r="L55" s="51" t="n"/>
      <c r="M55" s="27">
        <f>IFERROR(IF($A55="","",IF($J55="Approved",MAX(0,$L55-$H55),"")),"")</f>
        <v/>
      </c>
      <c r="N55" s="23" t="n"/>
      <c r="O55" s="51" t="n"/>
      <c r="P55" s="23" t="n"/>
      <c r="Q55" s="25" t="n"/>
      <c r="R55" s="28" t="n"/>
      <c r="S55" s="52" t="n"/>
      <c r="T55" s="52" t="n"/>
      <c r="U55" s="23" t="n"/>
      <c r="V55" s="30" t="n"/>
      <c r="W55" s="52" t="n"/>
      <c r="X55" s="53">
        <f>IFERROR(IF($A55="","",MAX(0,$R55*$S55-$T55)),"")</f>
        <v/>
      </c>
      <c r="Y55" s="53">
        <f>IFERROR(IF($A55="","",IF($U55="Yes",$X55*$V55,0)),"")</f>
        <v/>
      </c>
      <c r="Z55" s="53">
        <f>IFERROR(IF($A55="","",$X55+$Y55+$W55),"")</f>
        <v/>
      </c>
      <c r="AA55" s="28" t="n"/>
      <c r="AB55" s="51" t="n"/>
      <c r="AC55" s="24">
        <f>IFERROR(IF($A55="","",IF($N55="Canceled","Canceled",IF($AA55=0,"Not Received",IF($AA55&lt;$R55,"Partially Received",IF($AA55=$R55,"Fully Received","Over Received"))))),"")</f>
        <v/>
      </c>
      <c r="AD55" s="25" t="n"/>
      <c r="AE55" s="23" t="n"/>
      <c r="AF55" s="51" t="n"/>
      <c r="AG55" s="52" t="n"/>
      <c r="AH55" s="53">
        <f>IFERROR(IF($A55="","",IF($AG55="","",$AG55-$Z55)),"")</f>
        <v/>
      </c>
      <c r="AI55" s="32">
        <f>IFERROR(IF($A55="","",IF(OR($AG55="",$Z55=0),"",($AG55-$Z55)/$Z55)),"")</f>
        <v/>
      </c>
      <c r="AJ55" s="23" t="n"/>
      <c r="AK55" s="51" t="n"/>
      <c r="AL55" s="53">
        <f>IFERROR(IF($A55="","",IF(OR($N55="Canceled",$N55="Closed"),0,MAX($Z55-IF($AG55="",0,$AG55),0))),"")</f>
        <v/>
      </c>
      <c r="AM55" s="27">
        <f>IFERROR(IF($A55="","",IF(OR($N55="Closed",$N55="Canceled"),IF($O55="","",MAX(0,$O55-$H55)),MAX(0,TODAY()-$H55))),"")</f>
        <v/>
      </c>
      <c r="AN55" s="24">
        <f>IFERROR(IF($A55="","",IF($AA55&gt;$R55,"Over Received",IF(AND($J55="Approved",OR($K55="",$L55="")),"Approval Missing",IF(AND($J55="Pending",$AM55&gt;'Settings'!$B$7),"Approval Follow-Up",IF(AND($N55="Open",$I55&lt;&gt;"",$I55+'Settings'!$B$8&lt;TODAY(),$AA55&lt;$R55),"Delivery Overdue",IF(AND($AG55&lt;&gt;"",OR(ABS($AH55)&gt;'Settings'!$B$9,ABS($AI55)&gt;'Settings'!$B$10)),"Invoice Variance",IF(AND($N55="Open",$AM55&gt;'Settings'!$B$11),"Aging Open PO",""))))))),"")</f>
        <v/>
      </c>
      <c r="AO55" s="25" t="n"/>
      <c r="AP55" s="24">
        <f>IFERROR(IF(AND($AN55&lt;&gt;"",$N55&lt;&gt;"Closed",$N55&lt;&gt;"Canceled",OR('Dashboard'!$B$4="All",$B55='Dashboard'!$B$4),OR('Dashboard'!$D$4="All",$C55='Dashboard'!$D$4)),COUNTIFS($AN$6:$AN55,"&lt;&gt;",$N$6:$N55,"&lt;&gt;Closed",$N$6:$N55,"&lt;&gt;Canceled",$B$6:$B55,IF('Dashboard'!$B$4="All","&lt;&gt;",'Dashboard'!$B$4),$C$6:$C55,IF('Dashboard'!$D$4="All","&lt;&gt;",'Dashboard'!$D$4)),""),"")</f>
        <v/>
      </c>
    </row>
    <row r="56">
      <c r="A56" s="23" t="n"/>
      <c r="B56" s="23" t="n"/>
      <c r="C56" s="23" t="n"/>
      <c r="D56" s="23" t="n"/>
      <c r="E56" s="23" t="n"/>
      <c r="F56" s="24">
        <f>IFERROR(IF($E56="","",VLOOKUP($E56,'Settings'!$G$16:$M$115,2,0)),"")</f>
        <v/>
      </c>
      <c r="G56" s="25" t="n"/>
      <c r="H56" s="51" t="n"/>
      <c r="I56" s="51" t="n"/>
      <c r="J56" s="23" t="n"/>
      <c r="K56" s="23" t="n"/>
      <c r="L56" s="51" t="n"/>
      <c r="M56" s="27">
        <f>IFERROR(IF($A56="","",IF($J56="Approved",MAX(0,$L56-$H56),"")),"")</f>
        <v/>
      </c>
      <c r="N56" s="23" t="n"/>
      <c r="O56" s="51" t="n"/>
      <c r="P56" s="23" t="n"/>
      <c r="Q56" s="25" t="n"/>
      <c r="R56" s="28" t="n"/>
      <c r="S56" s="52" t="n"/>
      <c r="T56" s="52" t="n"/>
      <c r="U56" s="23" t="n"/>
      <c r="V56" s="30" t="n"/>
      <c r="W56" s="52" t="n"/>
      <c r="X56" s="53">
        <f>IFERROR(IF($A56="","",MAX(0,$R56*$S56-$T56)),"")</f>
        <v/>
      </c>
      <c r="Y56" s="53">
        <f>IFERROR(IF($A56="","",IF($U56="Yes",$X56*$V56,0)),"")</f>
        <v/>
      </c>
      <c r="Z56" s="53">
        <f>IFERROR(IF($A56="","",$X56+$Y56+$W56),"")</f>
        <v/>
      </c>
      <c r="AA56" s="28" t="n"/>
      <c r="AB56" s="51" t="n"/>
      <c r="AC56" s="24">
        <f>IFERROR(IF($A56="","",IF($N56="Canceled","Canceled",IF($AA56=0,"Not Received",IF($AA56&lt;$R56,"Partially Received",IF($AA56=$R56,"Fully Received","Over Received"))))),"")</f>
        <v/>
      </c>
      <c r="AD56" s="25" t="n"/>
      <c r="AE56" s="23" t="n"/>
      <c r="AF56" s="51" t="n"/>
      <c r="AG56" s="52" t="n"/>
      <c r="AH56" s="53">
        <f>IFERROR(IF($A56="","",IF($AG56="","",$AG56-$Z56)),"")</f>
        <v/>
      </c>
      <c r="AI56" s="32">
        <f>IFERROR(IF($A56="","",IF(OR($AG56="",$Z56=0),"",($AG56-$Z56)/$Z56)),"")</f>
        <v/>
      </c>
      <c r="AJ56" s="23" t="n"/>
      <c r="AK56" s="51" t="n"/>
      <c r="AL56" s="53">
        <f>IFERROR(IF($A56="","",IF(OR($N56="Canceled",$N56="Closed"),0,MAX($Z56-IF($AG56="",0,$AG56),0))),"")</f>
        <v/>
      </c>
      <c r="AM56" s="27">
        <f>IFERROR(IF($A56="","",IF(OR($N56="Closed",$N56="Canceled"),IF($O56="","",MAX(0,$O56-$H56)),MAX(0,TODAY()-$H56))),"")</f>
        <v/>
      </c>
      <c r="AN56" s="24">
        <f>IFERROR(IF($A56="","",IF($AA56&gt;$R56,"Over Received",IF(AND($J56="Approved",OR($K56="",$L56="")),"Approval Missing",IF(AND($J56="Pending",$AM56&gt;'Settings'!$B$7),"Approval Follow-Up",IF(AND($N56="Open",$I56&lt;&gt;"",$I56+'Settings'!$B$8&lt;TODAY(),$AA56&lt;$R56),"Delivery Overdue",IF(AND($AG56&lt;&gt;"",OR(ABS($AH56)&gt;'Settings'!$B$9,ABS($AI56)&gt;'Settings'!$B$10)),"Invoice Variance",IF(AND($N56="Open",$AM56&gt;'Settings'!$B$11),"Aging Open PO",""))))))),"")</f>
        <v/>
      </c>
      <c r="AO56" s="25" t="n"/>
      <c r="AP56" s="24">
        <f>IFERROR(IF(AND($AN56&lt;&gt;"",$N56&lt;&gt;"Closed",$N56&lt;&gt;"Canceled",OR('Dashboard'!$B$4="All",$B56='Dashboard'!$B$4),OR('Dashboard'!$D$4="All",$C56='Dashboard'!$D$4)),COUNTIFS($AN$6:$AN56,"&lt;&gt;",$N$6:$N56,"&lt;&gt;Closed",$N$6:$N56,"&lt;&gt;Canceled",$B$6:$B56,IF('Dashboard'!$B$4="All","&lt;&gt;",'Dashboard'!$B$4),$C$6:$C56,IF('Dashboard'!$D$4="All","&lt;&gt;",'Dashboard'!$D$4)),""),"")</f>
        <v/>
      </c>
    </row>
    <row r="57">
      <c r="A57" s="23" t="n"/>
      <c r="B57" s="23" t="n"/>
      <c r="C57" s="23" t="n"/>
      <c r="D57" s="23" t="n"/>
      <c r="E57" s="23" t="n"/>
      <c r="F57" s="24">
        <f>IFERROR(IF($E57="","",VLOOKUP($E57,'Settings'!$G$16:$M$115,2,0)),"")</f>
        <v/>
      </c>
      <c r="G57" s="25" t="n"/>
      <c r="H57" s="51" t="n"/>
      <c r="I57" s="51" t="n"/>
      <c r="J57" s="23" t="n"/>
      <c r="K57" s="23" t="n"/>
      <c r="L57" s="51" t="n"/>
      <c r="M57" s="27">
        <f>IFERROR(IF($A57="","",IF($J57="Approved",MAX(0,$L57-$H57),"")),"")</f>
        <v/>
      </c>
      <c r="N57" s="23" t="n"/>
      <c r="O57" s="51" t="n"/>
      <c r="P57" s="23" t="n"/>
      <c r="Q57" s="25" t="n"/>
      <c r="R57" s="28" t="n"/>
      <c r="S57" s="52" t="n"/>
      <c r="T57" s="52" t="n"/>
      <c r="U57" s="23" t="n"/>
      <c r="V57" s="30" t="n"/>
      <c r="W57" s="52" t="n"/>
      <c r="X57" s="53">
        <f>IFERROR(IF($A57="","",MAX(0,$R57*$S57-$T57)),"")</f>
        <v/>
      </c>
      <c r="Y57" s="53">
        <f>IFERROR(IF($A57="","",IF($U57="Yes",$X57*$V57,0)),"")</f>
        <v/>
      </c>
      <c r="Z57" s="53">
        <f>IFERROR(IF($A57="","",$X57+$Y57+$W57),"")</f>
        <v/>
      </c>
      <c r="AA57" s="28" t="n"/>
      <c r="AB57" s="51" t="n"/>
      <c r="AC57" s="24">
        <f>IFERROR(IF($A57="","",IF($N57="Canceled","Canceled",IF($AA57=0,"Not Received",IF($AA57&lt;$R57,"Partially Received",IF($AA57=$R57,"Fully Received","Over Received"))))),"")</f>
        <v/>
      </c>
      <c r="AD57" s="25" t="n"/>
      <c r="AE57" s="23" t="n"/>
      <c r="AF57" s="51" t="n"/>
      <c r="AG57" s="52" t="n"/>
      <c r="AH57" s="53">
        <f>IFERROR(IF($A57="","",IF($AG57="","",$AG57-$Z57)),"")</f>
        <v/>
      </c>
      <c r="AI57" s="32">
        <f>IFERROR(IF($A57="","",IF(OR($AG57="",$Z57=0),"",($AG57-$Z57)/$Z57)),"")</f>
        <v/>
      </c>
      <c r="AJ57" s="23" t="n"/>
      <c r="AK57" s="51" t="n"/>
      <c r="AL57" s="53">
        <f>IFERROR(IF($A57="","",IF(OR($N57="Canceled",$N57="Closed"),0,MAX($Z57-IF($AG57="",0,$AG57),0))),"")</f>
        <v/>
      </c>
      <c r="AM57" s="27">
        <f>IFERROR(IF($A57="","",IF(OR($N57="Closed",$N57="Canceled"),IF($O57="","",MAX(0,$O57-$H57)),MAX(0,TODAY()-$H57))),"")</f>
        <v/>
      </c>
      <c r="AN57" s="24">
        <f>IFERROR(IF($A57="","",IF($AA57&gt;$R57,"Over Received",IF(AND($J57="Approved",OR($K57="",$L57="")),"Approval Missing",IF(AND($J57="Pending",$AM57&gt;'Settings'!$B$7),"Approval Follow-Up",IF(AND($N57="Open",$I57&lt;&gt;"",$I57+'Settings'!$B$8&lt;TODAY(),$AA57&lt;$R57),"Delivery Overdue",IF(AND($AG57&lt;&gt;"",OR(ABS($AH57)&gt;'Settings'!$B$9,ABS($AI57)&gt;'Settings'!$B$10)),"Invoice Variance",IF(AND($N57="Open",$AM57&gt;'Settings'!$B$11),"Aging Open PO",""))))))),"")</f>
        <v/>
      </c>
      <c r="AO57" s="25" t="n"/>
      <c r="AP57" s="24">
        <f>IFERROR(IF(AND($AN57&lt;&gt;"",$N57&lt;&gt;"Closed",$N57&lt;&gt;"Canceled",OR('Dashboard'!$B$4="All",$B57='Dashboard'!$B$4),OR('Dashboard'!$D$4="All",$C57='Dashboard'!$D$4)),COUNTIFS($AN$6:$AN57,"&lt;&gt;",$N$6:$N57,"&lt;&gt;Closed",$N$6:$N57,"&lt;&gt;Canceled",$B$6:$B57,IF('Dashboard'!$B$4="All","&lt;&gt;",'Dashboard'!$B$4),$C$6:$C57,IF('Dashboard'!$D$4="All","&lt;&gt;",'Dashboard'!$D$4)),""),"")</f>
        <v/>
      </c>
    </row>
    <row r="58">
      <c r="A58" s="23" t="n"/>
      <c r="B58" s="23" t="n"/>
      <c r="C58" s="23" t="n"/>
      <c r="D58" s="23" t="n"/>
      <c r="E58" s="23" t="n"/>
      <c r="F58" s="24">
        <f>IFERROR(IF($E58="","",VLOOKUP($E58,'Settings'!$G$16:$M$115,2,0)),"")</f>
        <v/>
      </c>
      <c r="G58" s="25" t="n"/>
      <c r="H58" s="51" t="n"/>
      <c r="I58" s="51" t="n"/>
      <c r="J58" s="23" t="n"/>
      <c r="K58" s="23" t="n"/>
      <c r="L58" s="51" t="n"/>
      <c r="M58" s="27">
        <f>IFERROR(IF($A58="","",IF($J58="Approved",MAX(0,$L58-$H58),"")),"")</f>
        <v/>
      </c>
      <c r="N58" s="23" t="n"/>
      <c r="O58" s="51" t="n"/>
      <c r="P58" s="23" t="n"/>
      <c r="Q58" s="25" t="n"/>
      <c r="R58" s="28" t="n"/>
      <c r="S58" s="52" t="n"/>
      <c r="T58" s="52" t="n"/>
      <c r="U58" s="23" t="n"/>
      <c r="V58" s="30" t="n"/>
      <c r="W58" s="52" t="n"/>
      <c r="X58" s="53">
        <f>IFERROR(IF($A58="","",MAX(0,$R58*$S58-$T58)),"")</f>
        <v/>
      </c>
      <c r="Y58" s="53">
        <f>IFERROR(IF($A58="","",IF($U58="Yes",$X58*$V58,0)),"")</f>
        <v/>
      </c>
      <c r="Z58" s="53">
        <f>IFERROR(IF($A58="","",$X58+$Y58+$W58),"")</f>
        <v/>
      </c>
      <c r="AA58" s="28" t="n"/>
      <c r="AB58" s="51" t="n"/>
      <c r="AC58" s="24">
        <f>IFERROR(IF($A58="","",IF($N58="Canceled","Canceled",IF($AA58=0,"Not Received",IF($AA58&lt;$R58,"Partially Received",IF($AA58=$R58,"Fully Received","Over Received"))))),"")</f>
        <v/>
      </c>
      <c r="AD58" s="25" t="n"/>
      <c r="AE58" s="23" t="n"/>
      <c r="AF58" s="51" t="n"/>
      <c r="AG58" s="52" t="n"/>
      <c r="AH58" s="53">
        <f>IFERROR(IF($A58="","",IF($AG58="","",$AG58-$Z58)),"")</f>
        <v/>
      </c>
      <c r="AI58" s="32">
        <f>IFERROR(IF($A58="","",IF(OR($AG58="",$Z58=0),"",($AG58-$Z58)/$Z58)),"")</f>
        <v/>
      </c>
      <c r="AJ58" s="23" t="n"/>
      <c r="AK58" s="51" t="n"/>
      <c r="AL58" s="53">
        <f>IFERROR(IF($A58="","",IF(OR($N58="Canceled",$N58="Closed"),0,MAX($Z58-IF($AG58="",0,$AG58),0))),"")</f>
        <v/>
      </c>
      <c r="AM58" s="27">
        <f>IFERROR(IF($A58="","",IF(OR($N58="Closed",$N58="Canceled"),IF($O58="","",MAX(0,$O58-$H58)),MAX(0,TODAY()-$H58))),"")</f>
        <v/>
      </c>
      <c r="AN58" s="24">
        <f>IFERROR(IF($A58="","",IF($AA58&gt;$R58,"Over Received",IF(AND($J58="Approved",OR($K58="",$L58="")),"Approval Missing",IF(AND($J58="Pending",$AM58&gt;'Settings'!$B$7),"Approval Follow-Up",IF(AND($N58="Open",$I58&lt;&gt;"",$I58+'Settings'!$B$8&lt;TODAY(),$AA58&lt;$R58),"Delivery Overdue",IF(AND($AG58&lt;&gt;"",OR(ABS($AH58)&gt;'Settings'!$B$9,ABS($AI58)&gt;'Settings'!$B$10)),"Invoice Variance",IF(AND($N58="Open",$AM58&gt;'Settings'!$B$11),"Aging Open PO",""))))))),"")</f>
        <v/>
      </c>
      <c r="AO58" s="25" t="n"/>
      <c r="AP58" s="24">
        <f>IFERROR(IF(AND($AN58&lt;&gt;"",$N58&lt;&gt;"Closed",$N58&lt;&gt;"Canceled",OR('Dashboard'!$B$4="All",$B58='Dashboard'!$B$4),OR('Dashboard'!$D$4="All",$C58='Dashboard'!$D$4)),COUNTIFS($AN$6:$AN58,"&lt;&gt;",$N$6:$N58,"&lt;&gt;Closed",$N$6:$N58,"&lt;&gt;Canceled",$B$6:$B58,IF('Dashboard'!$B$4="All","&lt;&gt;",'Dashboard'!$B$4),$C$6:$C58,IF('Dashboard'!$D$4="All","&lt;&gt;",'Dashboard'!$D$4)),""),"")</f>
        <v/>
      </c>
    </row>
    <row r="59">
      <c r="A59" s="23" t="n"/>
      <c r="B59" s="23" t="n"/>
      <c r="C59" s="23" t="n"/>
      <c r="D59" s="23" t="n"/>
      <c r="E59" s="23" t="n"/>
      <c r="F59" s="24">
        <f>IFERROR(IF($E59="","",VLOOKUP($E59,'Settings'!$G$16:$M$115,2,0)),"")</f>
        <v/>
      </c>
      <c r="G59" s="25" t="n"/>
      <c r="H59" s="51" t="n"/>
      <c r="I59" s="51" t="n"/>
      <c r="J59" s="23" t="n"/>
      <c r="K59" s="23" t="n"/>
      <c r="L59" s="51" t="n"/>
      <c r="M59" s="27">
        <f>IFERROR(IF($A59="","",IF($J59="Approved",MAX(0,$L59-$H59),"")),"")</f>
        <v/>
      </c>
      <c r="N59" s="23" t="n"/>
      <c r="O59" s="51" t="n"/>
      <c r="P59" s="23" t="n"/>
      <c r="Q59" s="25" t="n"/>
      <c r="R59" s="28" t="n"/>
      <c r="S59" s="52" t="n"/>
      <c r="T59" s="52" t="n"/>
      <c r="U59" s="23" t="n"/>
      <c r="V59" s="30" t="n"/>
      <c r="W59" s="52" t="n"/>
      <c r="X59" s="53">
        <f>IFERROR(IF($A59="","",MAX(0,$R59*$S59-$T59)),"")</f>
        <v/>
      </c>
      <c r="Y59" s="53">
        <f>IFERROR(IF($A59="","",IF($U59="Yes",$X59*$V59,0)),"")</f>
        <v/>
      </c>
      <c r="Z59" s="53">
        <f>IFERROR(IF($A59="","",$X59+$Y59+$W59),"")</f>
        <v/>
      </c>
      <c r="AA59" s="28" t="n"/>
      <c r="AB59" s="51" t="n"/>
      <c r="AC59" s="24">
        <f>IFERROR(IF($A59="","",IF($N59="Canceled","Canceled",IF($AA59=0,"Not Received",IF($AA59&lt;$R59,"Partially Received",IF($AA59=$R59,"Fully Received","Over Received"))))),"")</f>
        <v/>
      </c>
      <c r="AD59" s="25" t="n"/>
      <c r="AE59" s="23" t="n"/>
      <c r="AF59" s="51" t="n"/>
      <c r="AG59" s="52" t="n"/>
      <c r="AH59" s="53">
        <f>IFERROR(IF($A59="","",IF($AG59="","",$AG59-$Z59)),"")</f>
        <v/>
      </c>
      <c r="AI59" s="32">
        <f>IFERROR(IF($A59="","",IF(OR($AG59="",$Z59=0),"",($AG59-$Z59)/$Z59)),"")</f>
        <v/>
      </c>
      <c r="AJ59" s="23" t="n"/>
      <c r="AK59" s="51" t="n"/>
      <c r="AL59" s="53">
        <f>IFERROR(IF($A59="","",IF(OR($N59="Canceled",$N59="Closed"),0,MAX($Z59-IF($AG59="",0,$AG59),0))),"")</f>
        <v/>
      </c>
      <c r="AM59" s="27">
        <f>IFERROR(IF($A59="","",IF(OR($N59="Closed",$N59="Canceled"),IF($O59="","",MAX(0,$O59-$H59)),MAX(0,TODAY()-$H59))),"")</f>
        <v/>
      </c>
      <c r="AN59" s="24">
        <f>IFERROR(IF($A59="","",IF($AA59&gt;$R59,"Over Received",IF(AND($J59="Approved",OR($K59="",$L59="")),"Approval Missing",IF(AND($J59="Pending",$AM59&gt;'Settings'!$B$7),"Approval Follow-Up",IF(AND($N59="Open",$I59&lt;&gt;"",$I59+'Settings'!$B$8&lt;TODAY(),$AA59&lt;$R59),"Delivery Overdue",IF(AND($AG59&lt;&gt;"",OR(ABS($AH59)&gt;'Settings'!$B$9,ABS($AI59)&gt;'Settings'!$B$10)),"Invoice Variance",IF(AND($N59="Open",$AM59&gt;'Settings'!$B$11),"Aging Open PO",""))))))),"")</f>
        <v/>
      </c>
      <c r="AO59" s="25" t="n"/>
      <c r="AP59" s="24">
        <f>IFERROR(IF(AND($AN59&lt;&gt;"",$N59&lt;&gt;"Closed",$N59&lt;&gt;"Canceled",OR('Dashboard'!$B$4="All",$B59='Dashboard'!$B$4),OR('Dashboard'!$D$4="All",$C59='Dashboard'!$D$4)),COUNTIFS($AN$6:$AN59,"&lt;&gt;",$N$6:$N59,"&lt;&gt;Closed",$N$6:$N59,"&lt;&gt;Canceled",$B$6:$B59,IF('Dashboard'!$B$4="All","&lt;&gt;",'Dashboard'!$B$4),$C$6:$C59,IF('Dashboard'!$D$4="All","&lt;&gt;",'Dashboard'!$D$4)),""),"")</f>
        <v/>
      </c>
    </row>
    <row r="60">
      <c r="A60" s="23" t="n"/>
      <c r="B60" s="23" t="n"/>
      <c r="C60" s="23" t="n"/>
      <c r="D60" s="23" t="n"/>
      <c r="E60" s="23" t="n"/>
      <c r="F60" s="24">
        <f>IFERROR(IF($E60="","",VLOOKUP($E60,'Settings'!$G$16:$M$115,2,0)),"")</f>
        <v/>
      </c>
      <c r="G60" s="25" t="n"/>
      <c r="H60" s="51" t="n"/>
      <c r="I60" s="51" t="n"/>
      <c r="J60" s="23" t="n"/>
      <c r="K60" s="23" t="n"/>
      <c r="L60" s="51" t="n"/>
      <c r="M60" s="27">
        <f>IFERROR(IF($A60="","",IF($J60="Approved",MAX(0,$L60-$H60),"")),"")</f>
        <v/>
      </c>
      <c r="N60" s="23" t="n"/>
      <c r="O60" s="51" t="n"/>
      <c r="P60" s="23" t="n"/>
      <c r="Q60" s="25" t="n"/>
      <c r="R60" s="28" t="n"/>
      <c r="S60" s="52" t="n"/>
      <c r="T60" s="52" t="n"/>
      <c r="U60" s="23" t="n"/>
      <c r="V60" s="30" t="n"/>
      <c r="W60" s="52" t="n"/>
      <c r="X60" s="53">
        <f>IFERROR(IF($A60="","",MAX(0,$R60*$S60-$T60)),"")</f>
        <v/>
      </c>
      <c r="Y60" s="53">
        <f>IFERROR(IF($A60="","",IF($U60="Yes",$X60*$V60,0)),"")</f>
        <v/>
      </c>
      <c r="Z60" s="53">
        <f>IFERROR(IF($A60="","",$X60+$Y60+$W60),"")</f>
        <v/>
      </c>
      <c r="AA60" s="28" t="n"/>
      <c r="AB60" s="51" t="n"/>
      <c r="AC60" s="24">
        <f>IFERROR(IF($A60="","",IF($N60="Canceled","Canceled",IF($AA60=0,"Not Received",IF($AA60&lt;$R60,"Partially Received",IF($AA60=$R60,"Fully Received","Over Received"))))),"")</f>
        <v/>
      </c>
      <c r="AD60" s="25" t="n"/>
      <c r="AE60" s="23" t="n"/>
      <c r="AF60" s="51" t="n"/>
      <c r="AG60" s="52" t="n"/>
      <c r="AH60" s="53">
        <f>IFERROR(IF($A60="","",IF($AG60="","",$AG60-$Z60)),"")</f>
        <v/>
      </c>
      <c r="AI60" s="32">
        <f>IFERROR(IF($A60="","",IF(OR($AG60="",$Z60=0),"",($AG60-$Z60)/$Z60)),"")</f>
        <v/>
      </c>
      <c r="AJ60" s="23" t="n"/>
      <c r="AK60" s="51" t="n"/>
      <c r="AL60" s="53">
        <f>IFERROR(IF($A60="","",IF(OR($N60="Canceled",$N60="Closed"),0,MAX($Z60-IF($AG60="",0,$AG60),0))),"")</f>
        <v/>
      </c>
      <c r="AM60" s="27">
        <f>IFERROR(IF($A60="","",IF(OR($N60="Closed",$N60="Canceled"),IF($O60="","",MAX(0,$O60-$H60)),MAX(0,TODAY()-$H60))),"")</f>
        <v/>
      </c>
      <c r="AN60" s="24">
        <f>IFERROR(IF($A60="","",IF($AA60&gt;$R60,"Over Received",IF(AND($J60="Approved",OR($K60="",$L60="")),"Approval Missing",IF(AND($J60="Pending",$AM60&gt;'Settings'!$B$7),"Approval Follow-Up",IF(AND($N60="Open",$I60&lt;&gt;"",$I60+'Settings'!$B$8&lt;TODAY(),$AA60&lt;$R60),"Delivery Overdue",IF(AND($AG60&lt;&gt;"",OR(ABS($AH60)&gt;'Settings'!$B$9,ABS($AI60)&gt;'Settings'!$B$10)),"Invoice Variance",IF(AND($N60="Open",$AM60&gt;'Settings'!$B$11),"Aging Open PO",""))))))),"")</f>
        <v/>
      </c>
      <c r="AO60" s="25" t="n"/>
      <c r="AP60" s="24">
        <f>IFERROR(IF(AND($AN60&lt;&gt;"",$N60&lt;&gt;"Closed",$N60&lt;&gt;"Canceled",OR('Dashboard'!$B$4="All",$B60='Dashboard'!$B$4),OR('Dashboard'!$D$4="All",$C60='Dashboard'!$D$4)),COUNTIFS($AN$6:$AN60,"&lt;&gt;",$N$6:$N60,"&lt;&gt;Closed",$N$6:$N60,"&lt;&gt;Canceled",$B$6:$B60,IF('Dashboard'!$B$4="All","&lt;&gt;",'Dashboard'!$B$4),$C$6:$C60,IF('Dashboard'!$D$4="All","&lt;&gt;",'Dashboard'!$D$4)),""),"")</f>
        <v/>
      </c>
    </row>
    <row r="61">
      <c r="A61" s="23" t="n"/>
      <c r="B61" s="23" t="n"/>
      <c r="C61" s="23" t="n"/>
      <c r="D61" s="23" t="n"/>
      <c r="E61" s="23" t="n"/>
      <c r="F61" s="24">
        <f>IFERROR(IF($E61="","",VLOOKUP($E61,'Settings'!$G$16:$M$115,2,0)),"")</f>
        <v/>
      </c>
      <c r="G61" s="25" t="n"/>
      <c r="H61" s="51" t="n"/>
      <c r="I61" s="51" t="n"/>
      <c r="J61" s="23" t="n"/>
      <c r="K61" s="23" t="n"/>
      <c r="L61" s="51" t="n"/>
      <c r="M61" s="27">
        <f>IFERROR(IF($A61="","",IF($J61="Approved",MAX(0,$L61-$H61),"")),"")</f>
        <v/>
      </c>
      <c r="N61" s="23" t="n"/>
      <c r="O61" s="51" t="n"/>
      <c r="P61" s="23" t="n"/>
      <c r="Q61" s="25" t="n"/>
      <c r="R61" s="28" t="n"/>
      <c r="S61" s="52" t="n"/>
      <c r="T61" s="52" t="n"/>
      <c r="U61" s="23" t="n"/>
      <c r="V61" s="30" t="n"/>
      <c r="W61" s="52" t="n"/>
      <c r="X61" s="53">
        <f>IFERROR(IF($A61="","",MAX(0,$R61*$S61-$T61)),"")</f>
        <v/>
      </c>
      <c r="Y61" s="53">
        <f>IFERROR(IF($A61="","",IF($U61="Yes",$X61*$V61,0)),"")</f>
        <v/>
      </c>
      <c r="Z61" s="53">
        <f>IFERROR(IF($A61="","",$X61+$Y61+$W61),"")</f>
        <v/>
      </c>
      <c r="AA61" s="28" t="n"/>
      <c r="AB61" s="51" t="n"/>
      <c r="AC61" s="24">
        <f>IFERROR(IF($A61="","",IF($N61="Canceled","Canceled",IF($AA61=0,"Not Received",IF($AA61&lt;$R61,"Partially Received",IF($AA61=$R61,"Fully Received","Over Received"))))),"")</f>
        <v/>
      </c>
      <c r="AD61" s="25" t="n"/>
      <c r="AE61" s="23" t="n"/>
      <c r="AF61" s="51" t="n"/>
      <c r="AG61" s="52" t="n"/>
      <c r="AH61" s="53">
        <f>IFERROR(IF($A61="","",IF($AG61="","",$AG61-$Z61)),"")</f>
        <v/>
      </c>
      <c r="AI61" s="32">
        <f>IFERROR(IF($A61="","",IF(OR($AG61="",$Z61=0),"",($AG61-$Z61)/$Z61)),"")</f>
        <v/>
      </c>
      <c r="AJ61" s="23" t="n"/>
      <c r="AK61" s="51" t="n"/>
      <c r="AL61" s="53">
        <f>IFERROR(IF($A61="","",IF(OR($N61="Canceled",$N61="Closed"),0,MAX($Z61-IF($AG61="",0,$AG61),0))),"")</f>
        <v/>
      </c>
      <c r="AM61" s="27">
        <f>IFERROR(IF($A61="","",IF(OR($N61="Closed",$N61="Canceled"),IF($O61="","",MAX(0,$O61-$H61)),MAX(0,TODAY()-$H61))),"")</f>
        <v/>
      </c>
      <c r="AN61" s="24">
        <f>IFERROR(IF($A61="","",IF($AA61&gt;$R61,"Over Received",IF(AND($J61="Approved",OR($K61="",$L61="")),"Approval Missing",IF(AND($J61="Pending",$AM61&gt;'Settings'!$B$7),"Approval Follow-Up",IF(AND($N61="Open",$I61&lt;&gt;"",$I61+'Settings'!$B$8&lt;TODAY(),$AA61&lt;$R61),"Delivery Overdue",IF(AND($AG61&lt;&gt;"",OR(ABS($AH61)&gt;'Settings'!$B$9,ABS($AI61)&gt;'Settings'!$B$10)),"Invoice Variance",IF(AND($N61="Open",$AM61&gt;'Settings'!$B$11),"Aging Open PO",""))))))),"")</f>
        <v/>
      </c>
      <c r="AO61" s="25" t="n"/>
      <c r="AP61" s="24">
        <f>IFERROR(IF(AND($AN61&lt;&gt;"",$N61&lt;&gt;"Closed",$N61&lt;&gt;"Canceled",OR('Dashboard'!$B$4="All",$B61='Dashboard'!$B$4),OR('Dashboard'!$D$4="All",$C61='Dashboard'!$D$4)),COUNTIFS($AN$6:$AN61,"&lt;&gt;",$N$6:$N61,"&lt;&gt;Closed",$N$6:$N61,"&lt;&gt;Canceled",$B$6:$B61,IF('Dashboard'!$B$4="All","&lt;&gt;",'Dashboard'!$B$4),$C$6:$C61,IF('Dashboard'!$D$4="All","&lt;&gt;",'Dashboard'!$D$4)),""),"")</f>
        <v/>
      </c>
    </row>
    <row r="62">
      <c r="A62" s="23" t="n"/>
      <c r="B62" s="23" t="n"/>
      <c r="C62" s="23" t="n"/>
      <c r="D62" s="23" t="n"/>
      <c r="E62" s="23" t="n"/>
      <c r="F62" s="24">
        <f>IFERROR(IF($E62="","",VLOOKUP($E62,'Settings'!$G$16:$M$115,2,0)),"")</f>
        <v/>
      </c>
      <c r="G62" s="25" t="n"/>
      <c r="H62" s="51" t="n"/>
      <c r="I62" s="51" t="n"/>
      <c r="J62" s="23" t="n"/>
      <c r="K62" s="23" t="n"/>
      <c r="L62" s="51" t="n"/>
      <c r="M62" s="27">
        <f>IFERROR(IF($A62="","",IF($J62="Approved",MAX(0,$L62-$H62),"")),"")</f>
        <v/>
      </c>
      <c r="N62" s="23" t="n"/>
      <c r="O62" s="51" t="n"/>
      <c r="P62" s="23" t="n"/>
      <c r="Q62" s="25" t="n"/>
      <c r="R62" s="28" t="n"/>
      <c r="S62" s="52" t="n"/>
      <c r="T62" s="52" t="n"/>
      <c r="U62" s="23" t="n"/>
      <c r="V62" s="30" t="n"/>
      <c r="W62" s="52" t="n"/>
      <c r="X62" s="53">
        <f>IFERROR(IF($A62="","",MAX(0,$R62*$S62-$T62)),"")</f>
        <v/>
      </c>
      <c r="Y62" s="53">
        <f>IFERROR(IF($A62="","",IF($U62="Yes",$X62*$V62,0)),"")</f>
        <v/>
      </c>
      <c r="Z62" s="53">
        <f>IFERROR(IF($A62="","",$X62+$Y62+$W62),"")</f>
        <v/>
      </c>
      <c r="AA62" s="28" t="n"/>
      <c r="AB62" s="51" t="n"/>
      <c r="AC62" s="24">
        <f>IFERROR(IF($A62="","",IF($N62="Canceled","Canceled",IF($AA62=0,"Not Received",IF($AA62&lt;$R62,"Partially Received",IF($AA62=$R62,"Fully Received","Over Received"))))),"")</f>
        <v/>
      </c>
      <c r="AD62" s="25" t="n"/>
      <c r="AE62" s="23" t="n"/>
      <c r="AF62" s="51" t="n"/>
      <c r="AG62" s="52" t="n"/>
      <c r="AH62" s="53">
        <f>IFERROR(IF($A62="","",IF($AG62="","",$AG62-$Z62)),"")</f>
        <v/>
      </c>
      <c r="AI62" s="32">
        <f>IFERROR(IF($A62="","",IF(OR($AG62="",$Z62=0),"",($AG62-$Z62)/$Z62)),"")</f>
        <v/>
      </c>
      <c r="AJ62" s="23" t="n"/>
      <c r="AK62" s="51" t="n"/>
      <c r="AL62" s="53">
        <f>IFERROR(IF($A62="","",IF(OR($N62="Canceled",$N62="Closed"),0,MAX($Z62-IF($AG62="",0,$AG62),0))),"")</f>
        <v/>
      </c>
      <c r="AM62" s="27">
        <f>IFERROR(IF($A62="","",IF(OR($N62="Closed",$N62="Canceled"),IF($O62="","",MAX(0,$O62-$H62)),MAX(0,TODAY()-$H62))),"")</f>
        <v/>
      </c>
      <c r="AN62" s="24">
        <f>IFERROR(IF($A62="","",IF($AA62&gt;$R62,"Over Received",IF(AND($J62="Approved",OR($K62="",$L62="")),"Approval Missing",IF(AND($J62="Pending",$AM62&gt;'Settings'!$B$7),"Approval Follow-Up",IF(AND($N62="Open",$I62&lt;&gt;"",$I62+'Settings'!$B$8&lt;TODAY(),$AA62&lt;$R62),"Delivery Overdue",IF(AND($AG62&lt;&gt;"",OR(ABS($AH62)&gt;'Settings'!$B$9,ABS($AI62)&gt;'Settings'!$B$10)),"Invoice Variance",IF(AND($N62="Open",$AM62&gt;'Settings'!$B$11),"Aging Open PO",""))))))),"")</f>
        <v/>
      </c>
      <c r="AO62" s="25" t="n"/>
      <c r="AP62" s="24">
        <f>IFERROR(IF(AND($AN62&lt;&gt;"",$N62&lt;&gt;"Closed",$N62&lt;&gt;"Canceled",OR('Dashboard'!$B$4="All",$B62='Dashboard'!$B$4),OR('Dashboard'!$D$4="All",$C62='Dashboard'!$D$4)),COUNTIFS($AN$6:$AN62,"&lt;&gt;",$N$6:$N62,"&lt;&gt;Closed",$N$6:$N62,"&lt;&gt;Canceled",$B$6:$B62,IF('Dashboard'!$B$4="All","&lt;&gt;",'Dashboard'!$B$4),$C$6:$C62,IF('Dashboard'!$D$4="All","&lt;&gt;",'Dashboard'!$D$4)),""),"")</f>
        <v/>
      </c>
    </row>
    <row r="63">
      <c r="A63" s="23" t="n"/>
      <c r="B63" s="23" t="n"/>
      <c r="C63" s="23" t="n"/>
      <c r="D63" s="23" t="n"/>
      <c r="E63" s="23" t="n"/>
      <c r="F63" s="24">
        <f>IFERROR(IF($E63="","",VLOOKUP($E63,'Settings'!$G$16:$M$115,2,0)),"")</f>
        <v/>
      </c>
      <c r="G63" s="25" t="n"/>
      <c r="H63" s="51" t="n"/>
      <c r="I63" s="51" t="n"/>
      <c r="J63" s="23" t="n"/>
      <c r="K63" s="23" t="n"/>
      <c r="L63" s="51" t="n"/>
      <c r="M63" s="27">
        <f>IFERROR(IF($A63="","",IF($J63="Approved",MAX(0,$L63-$H63),"")),"")</f>
        <v/>
      </c>
      <c r="N63" s="23" t="n"/>
      <c r="O63" s="51" t="n"/>
      <c r="P63" s="23" t="n"/>
      <c r="Q63" s="25" t="n"/>
      <c r="R63" s="28" t="n"/>
      <c r="S63" s="52" t="n"/>
      <c r="T63" s="52" t="n"/>
      <c r="U63" s="23" t="n"/>
      <c r="V63" s="30" t="n"/>
      <c r="W63" s="52" t="n"/>
      <c r="X63" s="53">
        <f>IFERROR(IF($A63="","",MAX(0,$R63*$S63-$T63)),"")</f>
        <v/>
      </c>
      <c r="Y63" s="53">
        <f>IFERROR(IF($A63="","",IF($U63="Yes",$X63*$V63,0)),"")</f>
        <v/>
      </c>
      <c r="Z63" s="53">
        <f>IFERROR(IF($A63="","",$X63+$Y63+$W63),"")</f>
        <v/>
      </c>
      <c r="AA63" s="28" t="n"/>
      <c r="AB63" s="51" t="n"/>
      <c r="AC63" s="24">
        <f>IFERROR(IF($A63="","",IF($N63="Canceled","Canceled",IF($AA63=0,"Not Received",IF($AA63&lt;$R63,"Partially Received",IF($AA63=$R63,"Fully Received","Over Received"))))),"")</f>
        <v/>
      </c>
      <c r="AD63" s="25" t="n"/>
      <c r="AE63" s="23" t="n"/>
      <c r="AF63" s="51" t="n"/>
      <c r="AG63" s="52" t="n"/>
      <c r="AH63" s="53">
        <f>IFERROR(IF($A63="","",IF($AG63="","",$AG63-$Z63)),"")</f>
        <v/>
      </c>
      <c r="AI63" s="32">
        <f>IFERROR(IF($A63="","",IF(OR($AG63="",$Z63=0),"",($AG63-$Z63)/$Z63)),"")</f>
        <v/>
      </c>
      <c r="AJ63" s="23" t="n"/>
      <c r="AK63" s="51" t="n"/>
      <c r="AL63" s="53">
        <f>IFERROR(IF($A63="","",IF(OR($N63="Canceled",$N63="Closed"),0,MAX($Z63-IF($AG63="",0,$AG63),0))),"")</f>
        <v/>
      </c>
      <c r="AM63" s="27">
        <f>IFERROR(IF($A63="","",IF(OR($N63="Closed",$N63="Canceled"),IF($O63="","",MAX(0,$O63-$H63)),MAX(0,TODAY()-$H63))),"")</f>
        <v/>
      </c>
      <c r="AN63" s="24">
        <f>IFERROR(IF($A63="","",IF($AA63&gt;$R63,"Over Received",IF(AND($J63="Approved",OR($K63="",$L63="")),"Approval Missing",IF(AND($J63="Pending",$AM63&gt;'Settings'!$B$7),"Approval Follow-Up",IF(AND($N63="Open",$I63&lt;&gt;"",$I63+'Settings'!$B$8&lt;TODAY(),$AA63&lt;$R63),"Delivery Overdue",IF(AND($AG63&lt;&gt;"",OR(ABS($AH63)&gt;'Settings'!$B$9,ABS($AI63)&gt;'Settings'!$B$10)),"Invoice Variance",IF(AND($N63="Open",$AM63&gt;'Settings'!$B$11),"Aging Open PO",""))))))),"")</f>
        <v/>
      </c>
      <c r="AO63" s="25" t="n"/>
      <c r="AP63" s="24">
        <f>IFERROR(IF(AND($AN63&lt;&gt;"",$N63&lt;&gt;"Closed",$N63&lt;&gt;"Canceled",OR('Dashboard'!$B$4="All",$B63='Dashboard'!$B$4),OR('Dashboard'!$D$4="All",$C63='Dashboard'!$D$4)),COUNTIFS($AN$6:$AN63,"&lt;&gt;",$N$6:$N63,"&lt;&gt;Closed",$N$6:$N63,"&lt;&gt;Canceled",$B$6:$B63,IF('Dashboard'!$B$4="All","&lt;&gt;",'Dashboard'!$B$4),$C$6:$C63,IF('Dashboard'!$D$4="All","&lt;&gt;",'Dashboard'!$D$4)),""),"")</f>
        <v/>
      </c>
    </row>
    <row r="64">
      <c r="A64" s="23" t="n"/>
      <c r="B64" s="23" t="n"/>
      <c r="C64" s="23" t="n"/>
      <c r="D64" s="23" t="n"/>
      <c r="E64" s="23" t="n"/>
      <c r="F64" s="24">
        <f>IFERROR(IF($E64="","",VLOOKUP($E64,'Settings'!$G$16:$M$115,2,0)),"")</f>
        <v/>
      </c>
      <c r="G64" s="25" t="n"/>
      <c r="H64" s="51" t="n"/>
      <c r="I64" s="51" t="n"/>
      <c r="J64" s="23" t="n"/>
      <c r="K64" s="23" t="n"/>
      <c r="L64" s="51" t="n"/>
      <c r="M64" s="27">
        <f>IFERROR(IF($A64="","",IF($J64="Approved",MAX(0,$L64-$H64),"")),"")</f>
        <v/>
      </c>
      <c r="N64" s="23" t="n"/>
      <c r="O64" s="51" t="n"/>
      <c r="P64" s="23" t="n"/>
      <c r="Q64" s="25" t="n"/>
      <c r="R64" s="28" t="n"/>
      <c r="S64" s="52" t="n"/>
      <c r="T64" s="52" t="n"/>
      <c r="U64" s="23" t="n"/>
      <c r="V64" s="30" t="n"/>
      <c r="W64" s="52" t="n"/>
      <c r="X64" s="53">
        <f>IFERROR(IF($A64="","",MAX(0,$R64*$S64-$T64)),"")</f>
        <v/>
      </c>
      <c r="Y64" s="53">
        <f>IFERROR(IF($A64="","",IF($U64="Yes",$X64*$V64,0)),"")</f>
        <v/>
      </c>
      <c r="Z64" s="53">
        <f>IFERROR(IF($A64="","",$X64+$Y64+$W64),"")</f>
        <v/>
      </c>
      <c r="AA64" s="28" t="n"/>
      <c r="AB64" s="51" t="n"/>
      <c r="AC64" s="24">
        <f>IFERROR(IF($A64="","",IF($N64="Canceled","Canceled",IF($AA64=0,"Not Received",IF($AA64&lt;$R64,"Partially Received",IF($AA64=$R64,"Fully Received","Over Received"))))),"")</f>
        <v/>
      </c>
      <c r="AD64" s="25" t="n"/>
      <c r="AE64" s="23" t="n"/>
      <c r="AF64" s="51" t="n"/>
      <c r="AG64" s="52" t="n"/>
      <c r="AH64" s="53">
        <f>IFERROR(IF($A64="","",IF($AG64="","",$AG64-$Z64)),"")</f>
        <v/>
      </c>
      <c r="AI64" s="32">
        <f>IFERROR(IF($A64="","",IF(OR($AG64="",$Z64=0),"",($AG64-$Z64)/$Z64)),"")</f>
        <v/>
      </c>
      <c r="AJ64" s="23" t="n"/>
      <c r="AK64" s="51" t="n"/>
      <c r="AL64" s="53">
        <f>IFERROR(IF($A64="","",IF(OR($N64="Canceled",$N64="Closed"),0,MAX($Z64-IF($AG64="",0,$AG64),0))),"")</f>
        <v/>
      </c>
      <c r="AM64" s="27">
        <f>IFERROR(IF($A64="","",IF(OR($N64="Closed",$N64="Canceled"),IF($O64="","",MAX(0,$O64-$H64)),MAX(0,TODAY()-$H64))),"")</f>
        <v/>
      </c>
      <c r="AN64" s="24">
        <f>IFERROR(IF($A64="","",IF($AA64&gt;$R64,"Over Received",IF(AND($J64="Approved",OR($K64="",$L64="")),"Approval Missing",IF(AND($J64="Pending",$AM64&gt;'Settings'!$B$7),"Approval Follow-Up",IF(AND($N64="Open",$I64&lt;&gt;"",$I64+'Settings'!$B$8&lt;TODAY(),$AA64&lt;$R64),"Delivery Overdue",IF(AND($AG64&lt;&gt;"",OR(ABS($AH64)&gt;'Settings'!$B$9,ABS($AI64)&gt;'Settings'!$B$10)),"Invoice Variance",IF(AND($N64="Open",$AM64&gt;'Settings'!$B$11),"Aging Open PO",""))))))),"")</f>
        <v/>
      </c>
      <c r="AO64" s="25" t="n"/>
      <c r="AP64" s="24">
        <f>IFERROR(IF(AND($AN64&lt;&gt;"",$N64&lt;&gt;"Closed",$N64&lt;&gt;"Canceled",OR('Dashboard'!$B$4="All",$B64='Dashboard'!$B$4),OR('Dashboard'!$D$4="All",$C64='Dashboard'!$D$4)),COUNTIFS($AN$6:$AN64,"&lt;&gt;",$N$6:$N64,"&lt;&gt;Closed",$N$6:$N64,"&lt;&gt;Canceled",$B$6:$B64,IF('Dashboard'!$B$4="All","&lt;&gt;",'Dashboard'!$B$4),$C$6:$C64,IF('Dashboard'!$D$4="All","&lt;&gt;",'Dashboard'!$D$4)),""),"")</f>
        <v/>
      </c>
    </row>
    <row r="65">
      <c r="A65" s="23" t="n"/>
      <c r="B65" s="23" t="n"/>
      <c r="C65" s="23" t="n"/>
      <c r="D65" s="23" t="n"/>
      <c r="E65" s="23" t="n"/>
      <c r="F65" s="24">
        <f>IFERROR(IF($E65="","",VLOOKUP($E65,'Settings'!$G$16:$M$115,2,0)),"")</f>
        <v/>
      </c>
      <c r="G65" s="25" t="n"/>
      <c r="H65" s="51" t="n"/>
      <c r="I65" s="51" t="n"/>
      <c r="J65" s="23" t="n"/>
      <c r="K65" s="23" t="n"/>
      <c r="L65" s="51" t="n"/>
      <c r="M65" s="27">
        <f>IFERROR(IF($A65="","",IF($J65="Approved",MAX(0,$L65-$H65),"")),"")</f>
        <v/>
      </c>
      <c r="N65" s="23" t="n"/>
      <c r="O65" s="51" t="n"/>
      <c r="P65" s="23" t="n"/>
      <c r="Q65" s="25" t="n"/>
      <c r="R65" s="28" t="n"/>
      <c r="S65" s="52" t="n"/>
      <c r="T65" s="52" t="n"/>
      <c r="U65" s="23" t="n"/>
      <c r="V65" s="30" t="n"/>
      <c r="W65" s="52" t="n"/>
      <c r="X65" s="53">
        <f>IFERROR(IF($A65="","",MAX(0,$R65*$S65-$T65)),"")</f>
        <v/>
      </c>
      <c r="Y65" s="53">
        <f>IFERROR(IF($A65="","",IF($U65="Yes",$X65*$V65,0)),"")</f>
        <v/>
      </c>
      <c r="Z65" s="53">
        <f>IFERROR(IF($A65="","",$X65+$Y65+$W65),"")</f>
        <v/>
      </c>
      <c r="AA65" s="28" t="n"/>
      <c r="AB65" s="51" t="n"/>
      <c r="AC65" s="24">
        <f>IFERROR(IF($A65="","",IF($N65="Canceled","Canceled",IF($AA65=0,"Not Received",IF($AA65&lt;$R65,"Partially Received",IF($AA65=$R65,"Fully Received","Over Received"))))),"")</f>
        <v/>
      </c>
      <c r="AD65" s="25" t="n"/>
      <c r="AE65" s="23" t="n"/>
      <c r="AF65" s="51" t="n"/>
      <c r="AG65" s="52" t="n"/>
      <c r="AH65" s="53">
        <f>IFERROR(IF($A65="","",IF($AG65="","",$AG65-$Z65)),"")</f>
        <v/>
      </c>
      <c r="AI65" s="32">
        <f>IFERROR(IF($A65="","",IF(OR($AG65="",$Z65=0),"",($AG65-$Z65)/$Z65)),"")</f>
        <v/>
      </c>
      <c r="AJ65" s="23" t="n"/>
      <c r="AK65" s="51" t="n"/>
      <c r="AL65" s="53">
        <f>IFERROR(IF($A65="","",IF(OR($N65="Canceled",$N65="Closed"),0,MAX($Z65-IF($AG65="",0,$AG65),0))),"")</f>
        <v/>
      </c>
      <c r="AM65" s="27">
        <f>IFERROR(IF($A65="","",IF(OR($N65="Closed",$N65="Canceled"),IF($O65="","",MAX(0,$O65-$H65)),MAX(0,TODAY()-$H65))),"")</f>
        <v/>
      </c>
      <c r="AN65" s="24">
        <f>IFERROR(IF($A65="","",IF($AA65&gt;$R65,"Over Received",IF(AND($J65="Approved",OR($K65="",$L65="")),"Approval Missing",IF(AND($J65="Pending",$AM65&gt;'Settings'!$B$7),"Approval Follow-Up",IF(AND($N65="Open",$I65&lt;&gt;"",$I65+'Settings'!$B$8&lt;TODAY(),$AA65&lt;$R65),"Delivery Overdue",IF(AND($AG65&lt;&gt;"",OR(ABS($AH65)&gt;'Settings'!$B$9,ABS($AI65)&gt;'Settings'!$B$10)),"Invoice Variance",IF(AND($N65="Open",$AM65&gt;'Settings'!$B$11),"Aging Open PO",""))))))),"")</f>
        <v/>
      </c>
      <c r="AO65" s="25" t="n"/>
      <c r="AP65" s="24">
        <f>IFERROR(IF(AND($AN65&lt;&gt;"",$N65&lt;&gt;"Closed",$N65&lt;&gt;"Canceled",OR('Dashboard'!$B$4="All",$B65='Dashboard'!$B$4),OR('Dashboard'!$D$4="All",$C65='Dashboard'!$D$4)),COUNTIFS($AN$6:$AN65,"&lt;&gt;",$N$6:$N65,"&lt;&gt;Closed",$N$6:$N65,"&lt;&gt;Canceled",$B$6:$B65,IF('Dashboard'!$B$4="All","&lt;&gt;",'Dashboard'!$B$4),$C$6:$C65,IF('Dashboard'!$D$4="All","&lt;&gt;",'Dashboard'!$D$4)),""),"")</f>
        <v/>
      </c>
    </row>
    <row r="66">
      <c r="A66" s="23" t="n"/>
      <c r="B66" s="23" t="n"/>
      <c r="C66" s="23" t="n"/>
      <c r="D66" s="23" t="n"/>
      <c r="E66" s="23" t="n"/>
      <c r="F66" s="24">
        <f>IFERROR(IF($E66="","",VLOOKUP($E66,'Settings'!$G$16:$M$115,2,0)),"")</f>
        <v/>
      </c>
      <c r="G66" s="25" t="n"/>
      <c r="H66" s="51" t="n"/>
      <c r="I66" s="51" t="n"/>
      <c r="J66" s="23" t="n"/>
      <c r="K66" s="23" t="n"/>
      <c r="L66" s="51" t="n"/>
      <c r="M66" s="27">
        <f>IFERROR(IF($A66="","",IF($J66="Approved",MAX(0,$L66-$H66),"")),"")</f>
        <v/>
      </c>
      <c r="N66" s="23" t="n"/>
      <c r="O66" s="51" t="n"/>
      <c r="P66" s="23" t="n"/>
      <c r="Q66" s="25" t="n"/>
      <c r="R66" s="28" t="n"/>
      <c r="S66" s="52" t="n"/>
      <c r="T66" s="52" t="n"/>
      <c r="U66" s="23" t="n"/>
      <c r="V66" s="30" t="n"/>
      <c r="W66" s="52" t="n"/>
      <c r="X66" s="53">
        <f>IFERROR(IF($A66="","",MAX(0,$R66*$S66-$T66)),"")</f>
        <v/>
      </c>
      <c r="Y66" s="53">
        <f>IFERROR(IF($A66="","",IF($U66="Yes",$X66*$V66,0)),"")</f>
        <v/>
      </c>
      <c r="Z66" s="53">
        <f>IFERROR(IF($A66="","",$X66+$Y66+$W66),"")</f>
        <v/>
      </c>
      <c r="AA66" s="28" t="n"/>
      <c r="AB66" s="51" t="n"/>
      <c r="AC66" s="24">
        <f>IFERROR(IF($A66="","",IF($N66="Canceled","Canceled",IF($AA66=0,"Not Received",IF($AA66&lt;$R66,"Partially Received",IF($AA66=$R66,"Fully Received","Over Received"))))),"")</f>
        <v/>
      </c>
      <c r="AD66" s="25" t="n"/>
      <c r="AE66" s="23" t="n"/>
      <c r="AF66" s="51" t="n"/>
      <c r="AG66" s="52" t="n"/>
      <c r="AH66" s="53">
        <f>IFERROR(IF($A66="","",IF($AG66="","",$AG66-$Z66)),"")</f>
        <v/>
      </c>
      <c r="AI66" s="32">
        <f>IFERROR(IF($A66="","",IF(OR($AG66="",$Z66=0),"",($AG66-$Z66)/$Z66)),"")</f>
        <v/>
      </c>
      <c r="AJ66" s="23" t="n"/>
      <c r="AK66" s="51" t="n"/>
      <c r="AL66" s="53">
        <f>IFERROR(IF($A66="","",IF(OR($N66="Canceled",$N66="Closed"),0,MAX($Z66-IF($AG66="",0,$AG66),0))),"")</f>
        <v/>
      </c>
      <c r="AM66" s="27">
        <f>IFERROR(IF($A66="","",IF(OR($N66="Closed",$N66="Canceled"),IF($O66="","",MAX(0,$O66-$H66)),MAX(0,TODAY()-$H66))),"")</f>
        <v/>
      </c>
      <c r="AN66" s="24">
        <f>IFERROR(IF($A66="","",IF($AA66&gt;$R66,"Over Received",IF(AND($J66="Approved",OR($K66="",$L66="")),"Approval Missing",IF(AND($J66="Pending",$AM66&gt;'Settings'!$B$7),"Approval Follow-Up",IF(AND($N66="Open",$I66&lt;&gt;"",$I66+'Settings'!$B$8&lt;TODAY(),$AA66&lt;$R66),"Delivery Overdue",IF(AND($AG66&lt;&gt;"",OR(ABS($AH66)&gt;'Settings'!$B$9,ABS($AI66)&gt;'Settings'!$B$10)),"Invoice Variance",IF(AND($N66="Open",$AM66&gt;'Settings'!$B$11),"Aging Open PO",""))))))),"")</f>
        <v/>
      </c>
      <c r="AO66" s="25" t="n"/>
      <c r="AP66" s="24">
        <f>IFERROR(IF(AND($AN66&lt;&gt;"",$N66&lt;&gt;"Closed",$N66&lt;&gt;"Canceled",OR('Dashboard'!$B$4="All",$B66='Dashboard'!$B$4),OR('Dashboard'!$D$4="All",$C66='Dashboard'!$D$4)),COUNTIFS($AN$6:$AN66,"&lt;&gt;",$N$6:$N66,"&lt;&gt;Closed",$N$6:$N66,"&lt;&gt;Canceled",$B$6:$B66,IF('Dashboard'!$B$4="All","&lt;&gt;",'Dashboard'!$B$4),$C$6:$C66,IF('Dashboard'!$D$4="All","&lt;&gt;",'Dashboard'!$D$4)),""),"")</f>
        <v/>
      </c>
    </row>
    <row r="67">
      <c r="A67" s="23" t="n"/>
      <c r="B67" s="23" t="n"/>
      <c r="C67" s="23" t="n"/>
      <c r="D67" s="23" t="n"/>
      <c r="E67" s="23" t="n"/>
      <c r="F67" s="24">
        <f>IFERROR(IF($E67="","",VLOOKUP($E67,'Settings'!$G$16:$M$115,2,0)),"")</f>
        <v/>
      </c>
      <c r="G67" s="25" t="n"/>
      <c r="H67" s="51" t="n"/>
      <c r="I67" s="51" t="n"/>
      <c r="J67" s="23" t="n"/>
      <c r="K67" s="23" t="n"/>
      <c r="L67" s="51" t="n"/>
      <c r="M67" s="27">
        <f>IFERROR(IF($A67="","",IF($J67="Approved",MAX(0,$L67-$H67),"")),"")</f>
        <v/>
      </c>
      <c r="N67" s="23" t="n"/>
      <c r="O67" s="51" t="n"/>
      <c r="P67" s="23" t="n"/>
      <c r="Q67" s="25" t="n"/>
      <c r="R67" s="28" t="n"/>
      <c r="S67" s="52" t="n"/>
      <c r="T67" s="52" t="n"/>
      <c r="U67" s="23" t="n"/>
      <c r="V67" s="30" t="n"/>
      <c r="W67" s="52" t="n"/>
      <c r="X67" s="53">
        <f>IFERROR(IF($A67="","",MAX(0,$R67*$S67-$T67)),"")</f>
        <v/>
      </c>
      <c r="Y67" s="53">
        <f>IFERROR(IF($A67="","",IF($U67="Yes",$X67*$V67,0)),"")</f>
        <v/>
      </c>
      <c r="Z67" s="53">
        <f>IFERROR(IF($A67="","",$X67+$Y67+$W67),"")</f>
        <v/>
      </c>
      <c r="AA67" s="28" t="n"/>
      <c r="AB67" s="51" t="n"/>
      <c r="AC67" s="24">
        <f>IFERROR(IF($A67="","",IF($N67="Canceled","Canceled",IF($AA67=0,"Not Received",IF($AA67&lt;$R67,"Partially Received",IF($AA67=$R67,"Fully Received","Over Received"))))),"")</f>
        <v/>
      </c>
      <c r="AD67" s="25" t="n"/>
      <c r="AE67" s="23" t="n"/>
      <c r="AF67" s="51" t="n"/>
      <c r="AG67" s="52" t="n"/>
      <c r="AH67" s="53">
        <f>IFERROR(IF($A67="","",IF($AG67="","",$AG67-$Z67)),"")</f>
        <v/>
      </c>
      <c r="AI67" s="32">
        <f>IFERROR(IF($A67="","",IF(OR($AG67="",$Z67=0),"",($AG67-$Z67)/$Z67)),"")</f>
        <v/>
      </c>
      <c r="AJ67" s="23" t="n"/>
      <c r="AK67" s="51" t="n"/>
      <c r="AL67" s="53">
        <f>IFERROR(IF($A67="","",IF(OR($N67="Canceled",$N67="Closed"),0,MAX($Z67-IF($AG67="",0,$AG67),0))),"")</f>
        <v/>
      </c>
      <c r="AM67" s="27">
        <f>IFERROR(IF($A67="","",IF(OR($N67="Closed",$N67="Canceled"),IF($O67="","",MAX(0,$O67-$H67)),MAX(0,TODAY()-$H67))),"")</f>
        <v/>
      </c>
      <c r="AN67" s="24">
        <f>IFERROR(IF($A67="","",IF($AA67&gt;$R67,"Over Received",IF(AND($J67="Approved",OR($K67="",$L67="")),"Approval Missing",IF(AND($J67="Pending",$AM67&gt;'Settings'!$B$7),"Approval Follow-Up",IF(AND($N67="Open",$I67&lt;&gt;"",$I67+'Settings'!$B$8&lt;TODAY(),$AA67&lt;$R67),"Delivery Overdue",IF(AND($AG67&lt;&gt;"",OR(ABS($AH67)&gt;'Settings'!$B$9,ABS($AI67)&gt;'Settings'!$B$10)),"Invoice Variance",IF(AND($N67="Open",$AM67&gt;'Settings'!$B$11),"Aging Open PO",""))))))),"")</f>
        <v/>
      </c>
      <c r="AO67" s="25" t="n"/>
      <c r="AP67" s="24">
        <f>IFERROR(IF(AND($AN67&lt;&gt;"",$N67&lt;&gt;"Closed",$N67&lt;&gt;"Canceled",OR('Dashboard'!$B$4="All",$B67='Dashboard'!$B$4),OR('Dashboard'!$D$4="All",$C67='Dashboard'!$D$4)),COUNTIFS($AN$6:$AN67,"&lt;&gt;",$N$6:$N67,"&lt;&gt;Closed",$N$6:$N67,"&lt;&gt;Canceled",$B$6:$B67,IF('Dashboard'!$B$4="All","&lt;&gt;",'Dashboard'!$B$4),$C$6:$C67,IF('Dashboard'!$D$4="All","&lt;&gt;",'Dashboard'!$D$4)),""),"")</f>
        <v/>
      </c>
    </row>
    <row r="68">
      <c r="A68" s="23" t="n"/>
      <c r="B68" s="23" t="n"/>
      <c r="C68" s="23" t="n"/>
      <c r="D68" s="23" t="n"/>
      <c r="E68" s="23" t="n"/>
      <c r="F68" s="24">
        <f>IFERROR(IF($E68="","",VLOOKUP($E68,'Settings'!$G$16:$M$115,2,0)),"")</f>
        <v/>
      </c>
      <c r="G68" s="25" t="n"/>
      <c r="H68" s="51" t="n"/>
      <c r="I68" s="51" t="n"/>
      <c r="J68" s="23" t="n"/>
      <c r="K68" s="23" t="n"/>
      <c r="L68" s="51" t="n"/>
      <c r="M68" s="27">
        <f>IFERROR(IF($A68="","",IF($J68="Approved",MAX(0,$L68-$H68),"")),"")</f>
        <v/>
      </c>
      <c r="N68" s="23" t="n"/>
      <c r="O68" s="51" t="n"/>
      <c r="P68" s="23" t="n"/>
      <c r="Q68" s="25" t="n"/>
      <c r="R68" s="28" t="n"/>
      <c r="S68" s="52" t="n"/>
      <c r="T68" s="52" t="n"/>
      <c r="U68" s="23" t="n"/>
      <c r="V68" s="30" t="n"/>
      <c r="W68" s="52" t="n"/>
      <c r="X68" s="53">
        <f>IFERROR(IF($A68="","",MAX(0,$R68*$S68-$T68)),"")</f>
        <v/>
      </c>
      <c r="Y68" s="53">
        <f>IFERROR(IF($A68="","",IF($U68="Yes",$X68*$V68,0)),"")</f>
        <v/>
      </c>
      <c r="Z68" s="53">
        <f>IFERROR(IF($A68="","",$X68+$Y68+$W68),"")</f>
        <v/>
      </c>
      <c r="AA68" s="28" t="n"/>
      <c r="AB68" s="51" t="n"/>
      <c r="AC68" s="24">
        <f>IFERROR(IF($A68="","",IF($N68="Canceled","Canceled",IF($AA68=0,"Not Received",IF($AA68&lt;$R68,"Partially Received",IF($AA68=$R68,"Fully Received","Over Received"))))),"")</f>
        <v/>
      </c>
      <c r="AD68" s="25" t="n"/>
      <c r="AE68" s="23" t="n"/>
      <c r="AF68" s="51" t="n"/>
      <c r="AG68" s="52" t="n"/>
      <c r="AH68" s="53">
        <f>IFERROR(IF($A68="","",IF($AG68="","",$AG68-$Z68)),"")</f>
        <v/>
      </c>
      <c r="AI68" s="32">
        <f>IFERROR(IF($A68="","",IF(OR($AG68="",$Z68=0),"",($AG68-$Z68)/$Z68)),"")</f>
        <v/>
      </c>
      <c r="AJ68" s="23" t="n"/>
      <c r="AK68" s="51" t="n"/>
      <c r="AL68" s="53">
        <f>IFERROR(IF($A68="","",IF(OR($N68="Canceled",$N68="Closed"),0,MAX($Z68-IF($AG68="",0,$AG68),0))),"")</f>
        <v/>
      </c>
      <c r="AM68" s="27">
        <f>IFERROR(IF($A68="","",IF(OR($N68="Closed",$N68="Canceled"),IF($O68="","",MAX(0,$O68-$H68)),MAX(0,TODAY()-$H68))),"")</f>
        <v/>
      </c>
      <c r="AN68" s="24">
        <f>IFERROR(IF($A68="","",IF($AA68&gt;$R68,"Over Received",IF(AND($J68="Approved",OR($K68="",$L68="")),"Approval Missing",IF(AND($J68="Pending",$AM68&gt;'Settings'!$B$7),"Approval Follow-Up",IF(AND($N68="Open",$I68&lt;&gt;"",$I68+'Settings'!$B$8&lt;TODAY(),$AA68&lt;$R68),"Delivery Overdue",IF(AND($AG68&lt;&gt;"",OR(ABS($AH68)&gt;'Settings'!$B$9,ABS($AI68)&gt;'Settings'!$B$10)),"Invoice Variance",IF(AND($N68="Open",$AM68&gt;'Settings'!$B$11),"Aging Open PO",""))))))),"")</f>
        <v/>
      </c>
      <c r="AO68" s="25" t="n"/>
      <c r="AP68" s="24">
        <f>IFERROR(IF(AND($AN68&lt;&gt;"",$N68&lt;&gt;"Closed",$N68&lt;&gt;"Canceled",OR('Dashboard'!$B$4="All",$B68='Dashboard'!$B$4),OR('Dashboard'!$D$4="All",$C68='Dashboard'!$D$4)),COUNTIFS($AN$6:$AN68,"&lt;&gt;",$N$6:$N68,"&lt;&gt;Closed",$N$6:$N68,"&lt;&gt;Canceled",$B$6:$B68,IF('Dashboard'!$B$4="All","&lt;&gt;",'Dashboard'!$B$4),$C$6:$C68,IF('Dashboard'!$D$4="All","&lt;&gt;",'Dashboard'!$D$4)),""),"")</f>
        <v/>
      </c>
    </row>
    <row r="69">
      <c r="A69" s="23" t="n"/>
      <c r="B69" s="23" t="n"/>
      <c r="C69" s="23" t="n"/>
      <c r="D69" s="23" t="n"/>
      <c r="E69" s="23" t="n"/>
      <c r="F69" s="24">
        <f>IFERROR(IF($E69="","",VLOOKUP($E69,'Settings'!$G$16:$M$115,2,0)),"")</f>
        <v/>
      </c>
      <c r="G69" s="25" t="n"/>
      <c r="H69" s="51" t="n"/>
      <c r="I69" s="51" t="n"/>
      <c r="J69" s="23" t="n"/>
      <c r="K69" s="23" t="n"/>
      <c r="L69" s="51" t="n"/>
      <c r="M69" s="27">
        <f>IFERROR(IF($A69="","",IF($J69="Approved",MAX(0,$L69-$H69),"")),"")</f>
        <v/>
      </c>
      <c r="N69" s="23" t="n"/>
      <c r="O69" s="51" t="n"/>
      <c r="P69" s="23" t="n"/>
      <c r="Q69" s="25" t="n"/>
      <c r="R69" s="28" t="n"/>
      <c r="S69" s="52" t="n"/>
      <c r="T69" s="52" t="n"/>
      <c r="U69" s="23" t="n"/>
      <c r="V69" s="30" t="n"/>
      <c r="W69" s="52" t="n"/>
      <c r="X69" s="53">
        <f>IFERROR(IF($A69="","",MAX(0,$R69*$S69-$T69)),"")</f>
        <v/>
      </c>
      <c r="Y69" s="53">
        <f>IFERROR(IF($A69="","",IF($U69="Yes",$X69*$V69,0)),"")</f>
        <v/>
      </c>
      <c r="Z69" s="53">
        <f>IFERROR(IF($A69="","",$X69+$Y69+$W69),"")</f>
        <v/>
      </c>
      <c r="AA69" s="28" t="n"/>
      <c r="AB69" s="51" t="n"/>
      <c r="AC69" s="24">
        <f>IFERROR(IF($A69="","",IF($N69="Canceled","Canceled",IF($AA69=0,"Not Received",IF($AA69&lt;$R69,"Partially Received",IF($AA69=$R69,"Fully Received","Over Received"))))),"")</f>
        <v/>
      </c>
      <c r="AD69" s="25" t="n"/>
      <c r="AE69" s="23" t="n"/>
      <c r="AF69" s="51" t="n"/>
      <c r="AG69" s="52" t="n"/>
      <c r="AH69" s="53">
        <f>IFERROR(IF($A69="","",IF($AG69="","",$AG69-$Z69)),"")</f>
        <v/>
      </c>
      <c r="AI69" s="32">
        <f>IFERROR(IF($A69="","",IF(OR($AG69="",$Z69=0),"",($AG69-$Z69)/$Z69)),"")</f>
        <v/>
      </c>
      <c r="AJ69" s="23" t="n"/>
      <c r="AK69" s="51" t="n"/>
      <c r="AL69" s="53">
        <f>IFERROR(IF($A69="","",IF(OR($N69="Canceled",$N69="Closed"),0,MAX($Z69-IF($AG69="",0,$AG69),0))),"")</f>
        <v/>
      </c>
      <c r="AM69" s="27">
        <f>IFERROR(IF($A69="","",IF(OR($N69="Closed",$N69="Canceled"),IF($O69="","",MAX(0,$O69-$H69)),MAX(0,TODAY()-$H69))),"")</f>
        <v/>
      </c>
      <c r="AN69" s="24">
        <f>IFERROR(IF($A69="","",IF($AA69&gt;$R69,"Over Received",IF(AND($J69="Approved",OR($K69="",$L69="")),"Approval Missing",IF(AND($J69="Pending",$AM69&gt;'Settings'!$B$7),"Approval Follow-Up",IF(AND($N69="Open",$I69&lt;&gt;"",$I69+'Settings'!$B$8&lt;TODAY(),$AA69&lt;$R69),"Delivery Overdue",IF(AND($AG69&lt;&gt;"",OR(ABS($AH69)&gt;'Settings'!$B$9,ABS($AI69)&gt;'Settings'!$B$10)),"Invoice Variance",IF(AND($N69="Open",$AM69&gt;'Settings'!$B$11),"Aging Open PO",""))))))),"")</f>
        <v/>
      </c>
      <c r="AO69" s="25" t="n"/>
      <c r="AP69" s="24">
        <f>IFERROR(IF(AND($AN69&lt;&gt;"",$N69&lt;&gt;"Closed",$N69&lt;&gt;"Canceled",OR('Dashboard'!$B$4="All",$B69='Dashboard'!$B$4),OR('Dashboard'!$D$4="All",$C69='Dashboard'!$D$4)),COUNTIFS($AN$6:$AN69,"&lt;&gt;",$N$6:$N69,"&lt;&gt;Closed",$N$6:$N69,"&lt;&gt;Canceled",$B$6:$B69,IF('Dashboard'!$B$4="All","&lt;&gt;",'Dashboard'!$B$4),$C$6:$C69,IF('Dashboard'!$D$4="All","&lt;&gt;",'Dashboard'!$D$4)),""),"")</f>
        <v/>
      </c>
    </row>
    <row r="70">
      <c r="A70" s="23" t="n"/>
      <c r="B70" s="23" t="n"/>
      <c r="C70" s="23" t="n"/>
      <c r="D70" s="23" t="n"/>
      <c r="E70" s="23" t="n"/>
      <c r="F70" s="24">
        <f>IFERROR(IF($E70="","",VLOOKUP($E70,'Settings'!$G$16:$M$115,2,0)),"")</f>
        <v/>
      </c>
      <c r="G70" s="25" t="n"/>
      <c r="H70" s="51" t="n"/>
      <c r="I70" s="51" t="n"/>
      <c r="J70" s="23" t="n"/>
      <c r="K70" s="23" t="n"/>
      <c r="L70" s="51" t="n"/>
      <c r="M70" s="27">
        <f>IFERROR(IF($A70="","",IF($J70="Approved",MAX(0,$L70-$H70),"")),"")</f>
        <v/>
      </c>
      <c r="N70" s="23" t="n"/>
      <c r="O70" s="51" t="n"/>
      <c r="P70" s="23" t="n"/>
      <c r="Q70" s="25" t="n"/>
      <c r="R70" s="28" t="n"/>
      <c r="S70" s="52" t="n"/>
      <c r="T70" s="52" t="n"/>
      <c r="U70" s="23" t="n"/>
      <c r="V70" s="30" t="n"/>
      <c r="W70" s="52" t="n"/>
      <c r="X70" s="53">
        <f>IFERROR(IF($A70="","",MAX(0,$R70*$S70-$T70)),"")</f>
        <v/>
      </c>
      <c r="Y70" s="53">
        <f>IFERROR(IF($A70="","",IF($U70="Yes",$X70*$V70,0)),"")</f>
        <v/>
      </c>
      <c r="Z70" s="53">
        <f>IFERROR(IF($A70="","",$X70+$Y70+$W70),"")</f>
        <v/>
      </c>
      <c r="AA70" s="28" t="n"/>
      <c r="AB70" s="51" t="n"/>
      <c r="AC70" s="24">
        <f>IFERROR(IF($A70="","",IF($N70="Canceled","Canceled",IF($AA70=0,"Not Received",IF($AA70&lt;$R70,"Partially Received",IF($AA70=$R70,"Fully Received","Over Received"))))),"")</f>
        <v/>
      </c>
      <c r="AD70" s="25" t="n"/>
      <c r="AE70" s="23" t="n"/>
      <c r="AF70" s="51" t="n"/>
      <c r="AG70" s="52" t="n"/>
      <c r="AH70" s="53">
        <f>IFERROR(IF($A70="","",IF($AG70="","",$AG70-$Z70)),"")</f>
        <v/>
      </c>
      <c r="AI70" s="32">
        <f>IFERROR(IF($A70="","",IF(OR($AG70="",$Z70=0),"",($AG70-$Z70)/$Z70)),"")</f>
        <v/>
      </c>
      <c r="AJ70" s="23" t="n"/>
      <c r="AK70" s="51" t="n"/>
      <c r="AL70" s="53">
        <f>IFERROR(IF($A70="","",IF(OR($N70="Canceled",$N70="Closed"),0,MAX($Z70-IF($AG70="",0,$AG70),0))),"")</f>
        <v/>
      </c>
      <c r="AM70" s="27">
        <f>IFERROR(IF($A70="","",IF(OR($N70="Closed",$N70="Canceled"),IF($O70="","",MAX(0,$O70-$H70)),MAX(0,TODAY()-$H70))),"")</f>
        <v/>
      </c>
      <c r="AN70" s="24">
        <f>IFERROR(IF($A70="","",IF($AA70&gt;$R70,"Over Received",IF(AND($J70="Approved",OR($K70="",$L70="")),"Approval Missing",IF(AND($J70="Pending",$AM70&gt;'Settings'!$B$7),"Approval Follow-Up",IF(AND($N70="Open",$I70&lt;&gt;"",$I70+'Settings'!$B$8&lt;TODAY(),$AA70&lt;$R70),"Delivery Overdue",IF(AND($AG70&lt;&gt;"",OR(ABS($AH70)&gt;'Settings'!$B$9,ABS($AI70)&gt;'Settings'!$B$10)),"Invoice Variance",IF(AND($N70="Open",$AM70&gt;'Settings'!$B$11),"Aging Open PO",""))))))),"")</f>
        <v/>
      </c>
      <c r="AO70" s="25" t="n"/>
      <c r="AP70" s="24">
        <f>IFERROR(IF(AND($AN70&lt;&gt;"",$N70&lt;&gt;"Closed",$N70&lt;&gt;"Canceled",OR('Dashboard'!$B$4="All",$B70='Dashboard'!$B$4),OR('Dashboard'!$D$4="All",$C70='Dashboard'!$D$4)),COUNTIFS($AN$6:$AN70,"&lt;&gt;",$N$6:$N70,"&lt;&gt;Closed",$N$6:$N70,"&lt;&gt;Canceled",$B$6:$B70,IF('Dashboard'!$B$4="All","&lt;&gt;",'Dashboard'!$B$4),$C$6:$C70,IF('Dashboard'!$D$4="All","&lt;&gt;",'Dashboard'!$D$4)),""),"")</f>
        <v/>
      </c>
    </row>
    <row r="71">
      <c r="A71" s="23" t="n"/>
      <c r="B71" s="23" t="n"/>
      <c r="C71" s="23" t="n"/>
      <c r="D71" s="23" t="n"/>
      <c r="E71" s="23" t="n"/>
      <c r="F71" s="24">
        <f>IFERROR(IF($E71="","",VLOOKUP($E71,'Settings'!$G$16:$M$115,2,0)),"")</f>
        <v/>
      </c>
      <c r="G71" s="25" t="n"/>
      <c r="H71" s="51" t="n"/>
      <c r="I71" s="51" t="n"/>
      <c r="J71" s="23" t="n"/>
      <c r="K71" s="23" t="n"/>
      <c r="L71" s="51" t="n"/>
      <c r="M71" s="27">
        <f>IFERROR(IF($A71="","",IF($J71="Approved",MAX(0,$L71-$H71),"")),"")</f>
        <v/>
      </c>
      <c r="N71" s="23" t="n"/>
      <c r="O71" s="51" t="n"/>
      <c r="P71" s="23" t="n"/>
      <c r="Q71" s="25" t="n"/>
      <c r="R71" s="28" t="n"/>
      <c r="S71" s="52" t="n"/>
      <c r="T71" s="52" t="n"/>
      <c r="U71" s="23" t="n"/>
      <c r="V71" s="30" t="n"/>
      <c r="W71" s="52" t="n"/>
      <c r="X71" s="53">
        <f>IFERROR(IF($A71="","",MAX(0,$R71*$S71-$T71)),"")</f>
        <v/>
      </c>
      <c r="Y71" s="53">
        <f>IFERROR(IF($A71="","",IF($U71="Yes",$X71*$V71,0)),"")</f>
        <v/>
      </c>
      <c r="Z71" s="53">
        <f>IFERROR(IF($A71="","",$X71+$Y71+$W71),"")</f>
        <v/>
      </c>
      <c r="AA71" s="28" t="n"/>
      <c r="AB71" s="51" t="n"/>
      <c r="AC71" s="24">
        <f>IFERROR(IF($A71="","",IF($N71="Canceled","Canceled",IF($AA71=0,"Not Received",IF($AA71&lt;$R71,"Partially Received",IF($AA71=$R71,"Fully Received","Over Received"))))),"")</f>
        <v/>
      </c>
      <c r="AD71" s="25" t="n"/>
      <c r="AE71" s="23" t="n"/>
      <c r="AF71" s="51" t="n"/>
      <c r="AG71" s="52" t="n"/>
      <c r="AH71" s="53">
        <f>IFERROR(IF($A71="","",IF($AG71="","",$AG71-$Z71)),"")</f>
        <v/>
      </c>
      <c r="AI71" s="32">
        <f>IFERROR(IF($A71="","",IF(OR($AG71="",$Z71=0),"",($AG71-$Z71)/$Z71)),"")</f>
        <v/>
      </c>
      <c r="AJ71" s="23" t="n"/>
      <c r="AK71" s="51" t="n"/>
      <c r="AL71" s="53">
        <f>IFERROR(IF($A71="","",IF(OR($N71="Canceled",$N71="Closed"),0,MAX($Z71-IF($AG71="",0,$AG71),0))),"")</f>
        <v/>
      </c>
      <c r="AM71" s="27">
        <f>IFERROR(IF($A71="","",IF(OR($N71="Closed",$N71="Canceled"),IF($O71="","",MAX(0,$O71-$H71)),MAX(0,TODAY()-$H71))),"")</f>
        <v/>
      </c>
      <c r="AN71" s="24">
        <f>IFERROR(IF($A71="","",IF($AA71&gt;$R71,"Over Received",IF(AND($J71="Approved",OR($K71="",$L71="")),"Approval Missing",IF(AND($J71="Pending",$AM71&gt;'Settings'!$B$7),"Approval Follow-Up",IF(AND($N71="Open",$I71&lt;&gt;"",$I71+'Settings'!$B$8&lt;TODAY(),$AA71&lt;$R71),"Delivery Overdue",IF(AND($AG71&lt;&gt;"",OR(ABS($AH71)&gt;'Settings'!$B$9,ABS($AI71)&gt;'Settings'!$B$10)),"Invoice Variance",IF(AND($N71="Open",$AM71&gt;'Settings'!$B$11),"Aging Open PO",""))))))),"")</f>
        <v/>
      </c>
      <c r="AO71" s="25" t="n"/>
      <c r="AP71" s="24">
        <f>IFERROR(IF(AND($AN71&lt;&gt;"",$N71&lt;&gt;"Closed",$N71&lt;&gt;"Canceled",OR('Dashboard'!$B$4="All",$B71='Dashboard'!$B$4),OR('Dashboard'!$D$4="All",$C71='Dashboard'!$D$4)),COUNTIFS($AN$6:$AN71,"&lt;&gt;",$N$6:$N71,"&lt;&gt;Closed",$N$6:$N71,"&lt;&gt;Canceled",$B$6:$B71,IF('Dashboard'!$B$4="All","&lt;&gt;",'Dashboard'!$B$4),$C$6:$C71,IF('Dashboard'!$D$4="All","&lt;&gt;",'Dashboard'!$D$4)),""),"")</f>
        <v/>
      </c>
    </row>
    <row r="72">
      <c r="A72" s="23" t="n"/>
      <c r="B72" s="23" t="n"/>
      <c r="C72" s="23" t="n"/>
      <c r="D72" s="23" t="n"/>
      <c r="E72" s="23" t="n"/>
      <c r="F72" s="24">
        <f>IFERROR(IF($E72="","",VLOOKUP($E72,'Settings'!$G$16:$M$115,2,0)),"")</f>
        <v/>
      </c>
      <c r="G72" s="25" t="n"/>
      <c r="H72" s="51" t="n"/>
      <c r="I72" s="51" t="n"/>
      <c r="J72" s="23" t="n"/>
      <c r="K72" s="23" t="n"/>
      <c r="L72" s="51" t="n"/>
      <c r="M72" s="27">
        <f>IFERROR(IF($A72="","",IF($J72="Approved",MAX(0,$L72-$H72),"")),"")</f>
        <v/>
      </c>
      <c r="N72" s="23" t="n"/>
      <c r="O72" s="51" t="n"/>
      <c r="P72" s="23" t="n"/>
      <c r="Q72" s="25" t="n"/>
      <c r="R72" s="28" t="n"/>
      <c r="S72" s="52" t="n"/>
      <c r="T72" s="52" t="n"/>
      <c r="U72" s="23" t="n"/>
      <c r="V72" s="30" t="n"/>
      <c r="W72" s="52" t="n"/>
      <c r="X72" s="53">
        <f>IFERROR(IF($A72="","",MAX(0,$R72*$S72-$T72)),"")</f>
        <v/>
      </c>
      <c r="Y72" s="53">
        <f>IFERROR(IF($A72="","",IF($U72="Yes",$X72*$V72,0)),"")</f>
        <v/>
      </c>
      <c r="Z72" s="53">
        <f>IFERROR(IF($A72="","",$X72+$Y72+$W72),"")</f>
        <v/>
      </c>
      <c r="AA72" s="28" t="n"/>
      <c r="AB72" s="51" t="n"/>
      <c r="AC72" s="24">
        <f>IFERROR(IF($A72="","",IF($N72="Canceled","Canceled",IF($AA72=0,"Not Received",IF($AA72&lt;$R72,"Partially Received",IF($AA72=$R72,"Fully Received","Over Received"))))),"")</f>
        <v/>
      </c>
      <c r="AD72" s="25" t="n"/>
      <c r="AE72" s="23" t="n"/>
      <c r="AF72" s="51" t="n"/>
      <c r="AG72" s="52" t="n"/>
      <c r="AH72" s="53">
        <f>IFERROR(IF($A72="","",IF($AG72="","",$AG72-$Z72)),"")</f>
        <v/>
      </c>
      <c r="AI72" s="32">
        <f>IFERROR(IF($A72="","",IF(OR($AG72="",$Z72=0),"",($AG72-$Z72)/$Z72)),"")</f>
        <v/>
      </c>
      <c r="AJ72" s="23" t="n"/>
      <c r="AK72" s="51" t="n"/>
      <c r="AL72" s="53">
        <f>IFERROR(IF($A72="","",IF(OR($N72="Canceled",$N72="Closed"),0,MAX($Z72-IF($AG72="",0,$AG72),0))),"")</f>
        <v/>
      </c>
      <c r="AM72" s="27">
        <f>IFERROR(IF($A72="","",IF(OR($N72="Closed",$N72="Canceled"),IF($O72="","",MAX(0,$O72-$H72)),MAX(0,TODAY()-$H72))),"")</f>
        <v/>
      </c>
      <c r="AN72" s="24">
        <f>IFERROR(IF($A72="","",IF($AA72&gt;$R72,"Over Received",IF(AND($J72="Approved",OR($K72="",$L72="")),"Approval Missing",IF(AND($J72="Pending",$AM72&gt;'Settings'!$B$7),"Approval Follow-Up",IF(AND($N72="Open",$I72&lt;&gt;"",$I72+'Settings'!$B$8&lt;TODAY(),$AA72&lt;$R72),"Delivery Overdue",IF(AND($AG72&lt;&gt;"",OR(ABS($AH72)&gt;'Settings'!$B$9,ABS($AI72)&gt;'Settings'!$B$10)),"Invoice Variance",IF(AND($N72="Open",$AM72&gt;'Settings'!$B$11),"Aging Open PO",""))))))),"")</f>
        <v/>
      </c>
      <c r="AO72" s="25" t="n"/>
      <c r="AP72" s="24">
        <f>IFERROR(IF(AND($AN72&lt;&gt;"",$N72&lt;&gt;"Closed",$N72&lt;&gt;"Canceled",OR('Dashboard'!$B$4="All",$B72='Dashboard'!$B$4),OR('Dashboard'!$D$4="All",$C72='Dashboard'!$D$4)),COUNTIFS($AN$6:$AN72,"&lt;&gt;",$N$6:$N72,"&lt;&gt;Closed",$N$6:$N72,"&lt;&gt;Canceled",$B$6:$B72,IF('Dashboard'!$B$4="All","&lt;&gt;",'Dashboard'!$B$4),$C$6:$C72,IF('Dashboard'!$D$4="All","&lt;&gt;",'Dashboard'!$D$4)),""),"")</f>
        <v/>
      </c>
    </row>
    <row r="73">
      <c r="A73" s="23" t="n"/>
      <c r="B73" s="23" t="n"/>
      <c r="C73" s="23" t="n"/>
      <c r="D73" s="23" t="n"/>
      <c r="E73" s="23" t="n"/>
      <c r="F73" s="24">
        <f>IFERROR(IF($E73="","",VLOOKUP($E73,'Settings'!$G$16:$M$115,2,0)),"")</f>
        <v/>
      </c>
      <c r="G73" s="25" t="n"/>
      <c r="H73" s="51" t="n"/>
      <c r="I73" s="51" t="n"/>
      <c r="J73" s="23" t="n"/>
      <c r="K73" s="23" t="n"/>
      <c r="L73" s="51" t="n"/>
      <c r="M73" s="27">
        <f>IFERROR(IF($A73="","",IF($J73="Approved",MAX(0,$L73-$H73),"")),"")</f>
        <v/>
      </c>
      <c r="N73" s="23" t="n"/>
      <c r="O73" s="51" t="n"/>
      <c r="P73" s="23" t="n"/>
      <c r="Q73" s="25" t="n"/>
      <c r="R73" s="28" t="n"/>
      <c r="S73" s="52" t="n"/>
      <c r="T73" s="52" t="n"/>
      <c r="U73" s="23" t="n"/>
      <c r="V73" s="30" t="n"/>
      <c r="W73" s="52" t="n"/>
      <c r="X73" s="53">
        <f>IFERROR(IF($A73="","",MAX(0,$R73*$S73-$T73)),"")</f>
        <v/>
      </c>
      <c r="Y73" s="53">
        <f>IFERROR(IF($A73="","",IF($U73="Yes",$X73*$V73,0)),"")</f>
        <v/>
      </c>
      <c r="Z73" s="53">
        <f>IFERROR(IF($A73="","",$X73+$Y73+$W73),"")</f>
        <v/>
      </c>
      <c r="AA73" s="28" t="n"/>
      <c r="AB73" s="51" t="n"/>
      <c r="AC73" s="24">
        <f>IFERROR(IF($A73="","",IF($N73="Canceled","Canceled",IF($AA73=0,"Not Received",IF($AA73&lt;$R73,"Partially Received",IF($AA73=$R73,"Fully Received","Over Received"))))),"")</f>
        <v/>
      </c>
      <c r="AD73" s="25" t="n"/>
      <c r="AE73" s="23" t="n"/>
      <c r="AF73" s="51" t="n"/>
      <c r="AG73" s="52" t="n"/>
      <c r="AH73" s="53">
        <f>IFERROR(IF($A73="","",IF($AG73="","",$AG73-$Z73)),"")</f>
        <v/>
      </c>
      <c r="AI73" s="32">
        <f>IFERROR(IF($A73="","",IF(OR($AG73="",$Z73=0),"",($AG73-$Z73)/$Z73)),"")</f>
        <v/>
      </c>
      <c r="AJ73" s="23" t="n"/>
      <c r="AK73" s="51" t="n"/>
      <c r="AL73" s="53">
        <f>IFERROR(IF($A73="","",IF(OR($N73="Canceled",$N73="Closed"),0,MAX($Z73-IF($AG73="",0,$AG73),0))),"")</f>
        <v/>
      </c>
      <c r="AM73" s="27">
        <f>IFERROR(IF($A73="","",IF(OR($N73="Closed",$N73="Canceled"),IF($O73="","",MAX(0,$O73-$H73)),MAX(0,TODAY()-$H73))),"")</f>
        <v/>
      </c>
      <c r="AN73" s="24">
        <f>IFERROR(IF($A73="","",IF($AA73&gt;$R73,"Over Received",IF(AND($J73="Approved",OR($K73="",$L73="")),"Approval Missing",IF(AND($J73="Pending",$AM73&gt;'Settings'!$B$7),"Approval Follow-Up",IF(AND($N73="Open",$I73&lt;&gt;"",$I73+'Settings'!$B$8&lt;TODAY(),$AA73&lt;$R73),"Delivery Overdue",IF(AND($AG73&lt;&gt;"",OR(ABS($AH73)&gt;'Settings'!$B$9,ABS($AI73)&gt;'Settings'!$B$10)),"Invoice Variance",IF(AND($N73="Open",$AM73&gt;'Settings'!$B$11),"Aging Open PO",""))))))),"")</f>
        <v/>
      </c>
      <c r="AO73" s="25" t="n"/>
      <c r="AP73" s="24">
        <f>IFERROR(IF(AND($AN73&lt;&gt;"",$N73&lt;&gt;"Closed",$N73&lt;&gt;"Canceled",OR('Dashboard'!$B$4="All",$B73='Dashboard'!$B$4),OR('Dashboard'!$D$4="All",$C73='Dashboard'!$D$4)),COUNTIFS($AN$6:$AN73,"&lt;&gt;",$N$6:$N73,"&lt;&gt;Closed",$N$6:$N73,"&lt;&gt;Canceled",$B$6:$B73,IF('Dashboard'!$B$4="All","&lt;&gt;",'Dashboard'!$B$4),$C$6:$C73,IF('Dashboard'!$D$4="All","&lt;&gt;",'Dashboard'!$D$4)),""),"")</f>
        <v/>
      </c>
    </row>
    <row r="74">
      <c r="A74" s="23" t="n"/>
      <c r="B74" s="23" t="n"/>
      <c r="C74" s="23" t="n"/>
      <c r="D74" s="23" t="n"/>
      <c r="E74" s="23" t="n"/>
      <c r="F74" s="24">
        <f>IFERROR(IF($E74="","",VLOOKUP($E74,'Settings'!$G$16:$M$115,2,0)),"")</f>
        <v/>
      </c>
      <c r="G74" s="25" t="n"/>
      <c r="H74" s="51" t="n"/>
      <c r="I74" s="51" t="n"/>
      <c r="J74" s="23" t="n"/>
      <c r="K74" s="23" t="n"/>
      <c r="L74" s="51" t="n"/>
      <c r="M74" s="27">
        <f>IFERROR(IF($A74="","",IF($J74="Approved",MAX(0,$L74-$H74),"")),"")</f>
        <v/>
      </c>
      <c r="N74" s="23" t="n"/>
      <c r="O74" s="51" t="n"/>
      <c r="P74" s="23" t="n"/>
      <c r="Q74" s="25" t="n"/>
      <c r="R74" s="28" t="n"/>
      <c r="S74" s="52" t="n"/>
      <c r="T74" s="52" t="n"/>
      <c r="U74" s="23" t="n"/>
      <c r="V74" s="30" t="n"/>
      <c r="W74" s="52" t="n"/>
      <c r="X74" s="53">
        <f>IFERROR(IF($A74="","",MAX(0,$R74*$S74-$T74)),"")</f>
        <v/>
      </c>
      <c r="Y74" s="53">
        <f>IFERROR(IF($A74="","",IF($U74="Yes",$X74*$V74,0)),"")</f>
        <v/>
      </c>
      <c r="Z74" s="53">
        <f>IFERROR(IF($A74="","",$X74+$Y74+$W74),"")</f>
        <v/>
      </c>
      <c r="AA74" s="28" t="n"/>
      <c r="AB74" s="51" t="n"/>
      <c r="AC74" s="24">
        <f>IFERROR(IF($A74="","",IF($N74="Canceled","Canceled",IF($AA74=0,"Not Received",IF($AA74&lt;$R74,"Partially Received",IF($AA74=$R74,"Fully Received","Over Received"))))),"")</f>
        <v/>
      </c>
      <c r="AD74" s="25" t="n"/>
      <c r="AE74" s="23" t="n"/>
      <c r="AF74" s="51" t="n"/>
      <c r="AG74" s="52" t="n"/>
      <c r="AH74" s="53">
        <f>IFERROR(IF($A74="","",IF($AG74="","",$AG74-$Z74)),"")</f>
        <v/>
      </c>
      <c r="AI74" s="32">
        <f>IFERROR(IF($A74="","",IF(OR($AG74="",$Z74=0),"",($AG74-$Z74)/$Z74)),"")</f>
        <v/>
      </c>
      <c r="AJ74" s="23" t="n"/>
      <c r="AK74" s="51" t="n"/>
      <c r="AL74" s="53">
        <f>IFERROR(IF($A74="","",IF(OR($N74="Canceled",$N74="Closed"),0,MAX($Z74-IF($AG74="",0,$AG74),0))),"")</f>
        <v/>
      </c>
      <c r="AM74" s="27">
        <f>IFERROR(IF($A74="","",IF(OR($N74="Closed",$N74="Canceled"),IF($O74="","",MAX(0,$O74-$H74)),MAX(0,TODAY()-$H74))),"")</f>
        <v/>
      </c>
      <c r="AN74" s="24">
        <f>IFERROR(IF($A74="","",IF($AA74&gt;$R74,"Over Received",IF(AND($J74="Approved",OR($K74="",$L74="")),"Approval Missing",IF(AND($J74="Pending",$AM74&gt;'Settings'!$B$7),"Approval Follow-Up",IF(AND($N74="Open",$I74&lt;&gt;"",$I74+'Settings'!$B$8&lt;TODAY(),$AA74&lt;$R74),"Delivery Overdue",IF(AND($AG74&lt;&gt;"",OR(ABS($AH74)&gt;'Settings'!$B$9,ABS($AI74)&gt;'Settings'!$B$10)),"Invoice Variance",IF(AND($N74="Open",$AM74&gt;'Settings'!$B$11),"Aging Open PO",""))))))),"")</f>
        <v/>
      </c>
      <c r="AO74" s="25" t="n"/>
      <c r="AP74" s="24">
        <f>IFERROR(IF(AND($AN74&lt;&gt;"",$N74&lt;&gt;"Closed",$N74&lt;&gt;"Canceled",OR('Dashboard'!$B$4="All",$B74='Dashboard'!$B$4),OR('Dashboard'!$D$4="All",$C74='Dashboard'!$D$4)),COUNTIFS($AN$6:$AN74,"&lt;&gt;",$N$6:$N74,"&lt;&gt;Closed",$N$6:$N74,"&lt;&gt;Canceled",$B$6:$B74,IF('Dashboard'!$B$4="All","&lt;&gt;",'Dashboard'!$B$4),$C$6:$C74,IF('Dashboard'!$D$4="All","&lt;&gt;",'Dashboard'!$D$4)),""),"")</f>
        <v/>
      </c>
    </row>
    <row r="75">
      <c r="A75" s="23" t="n"/>
      <c r="B75" s="23" t="n"/>
      <c r="C75" s="23" t="n"/>
      <c r="D75" s="23" t="n"/>
      <c r="E75" s="23" t="n"/>
      <c r="F75" s="24">
        <f>IFERROR(IF($E75="","",VLOOKUP($E75,'Settings'!$G$16:$M$115,2,0)),"")</f>
        <v/>
      </c>
      <c r="G75" s="25" t="n"/>
      <c r="H75" s="51" t="n"/>
      <c r="I75" s="51" t="n"/>
      <c r="J75" s="23" t="n"/>
      <c r="K75" s="23" t="n"/>
      <c r="L75" s="51" t="n"/>
      <c r="M75" s="27">
        <f>IFERROR(IF($A75="","",IF($J75="Approved",MAX(0,$L75-$H75),"")),"")</f>
        <v/>
      </c>
      <c r="N75" s="23" t="n"/>
      <c r="O75" s="51" t="n"/>
      <c r="P75" s="23" t="n"/>
      <c r="Q75" s="25" t="n"/>
      <c r="R75" s="28" t="n"/>
      <c r="S75" s="52" t="n"/>
      <c r="T75" s="52" t="n"/>
      <c r="U75" s="23" t="n"/>
      <c r="V75" s="30" t="n"/>
      <c r="W75" s="52" t="n"/>
      <c r="X75" s="53">
        <f>IFERROR(IF($A75="","",MAX(0,$R75*$S75-$T75)),"")</f>
        <v/>
      </c>
      <c r="Y75" s="53">
        <f>IFERROR(IF($A75="","",IF($U75="Yes",$X75*$V75,0)),"")</f>
        <v/>
      </c>
      <c r="Z75" s="53">
        <f>IFERROR(IF($A75="","",$X75+$Y75+$W75),"")</f>
        <v/>
      </c>
      <c r="AA75" s="28" t="n"/>
      <c r="AB75" s="51" t="n"/>
      <c r="AC75" s="24">
        <f>IFERROR(IF($A75="","",IF($N75="Canceled","Canceled",IF($AA75=0,"Not Received",IF($AA75&lt;$R75,"Partially Received",IF($AA75=$R75,"Fully Received","Over Received"))))),"")</f>
        <v/>
      </c>
      <c r="AD75" s="25" t="n"/>
      <c r="AE75" s="23" t="n"/>
      <c r="AF75" s="51" t="n"/>
      <c r="AG75" s="52" t="n"/>
      <c r="AH75" s="53">
        <f>IFERROR(IF($A75="","",IF($AG75="","",$AG75-$Z75)),"")</f>
        <v/>
      </c>
      <c r="AI75" s="32">
        <f>IFERROR(IF($A75="","",IF(OR($AG75="",$Z75=0),"",($AG75-$Z75)/$Z75)),"")</f>
        <v/>
      </c>
      <c r="AJ75" s="23" t="n"/>
      <c r="AK75" s="51" t="n"/>
      <c r="AL75" s="53">
        <f>IFERROR(IF($A75="","",IF(OR($N75="Canceled",$N75="Closed"),0,MAX($Z75-IF($AG75="",0,$AG75),0))),"")</f>
        <v/>
      </c>
      <c r="AM75" s="27">
        <f>IFERROR(IF($A75="","",IF(OR($N75="Closed",$N75="Canceled"),IF($O75="","",MAX(0,$O75-$H75)),MAX(0,TODAY()-$H75))),"")</f>
        <v/>
      </c>
      <c r="AN75" s="24">
        <f>IFERROR(IF($A75="","",IF($AA75&gt;$R75,"Over Received",IF(AND($J75="Approved",OR($K75="",$L75="")),"Approval Missing",IF(AND($J75="Pending",$AM75&gt;'Settings'!$B$7),"Approval Follow-Up",IF(AND($N75="Open",$I75&lt;&gt;"",$I75+'Settings'!$B$8&lt;TODAY(),$AA75&lt;$R75),"Delivery Overdue",IF(AND($AG75&lt;&gt;"",OR(ABS($AH75)&gt;'Settings'!$B$9,ABS($AI75)&gt;'Settings'!$B$10)),"Invoice Variance",IF(AND($N75="Open",$AM75&gt;'Settings'!$B$11),"Aging Open PO",""))))))),"")</f>
        <v/>
      </c>
      <c r="AO75" s="25" t="n"/>
      <c r="AP75" s="24">
        <f>IFERROR(IF(AND($AN75&lt;&gt;"",$N75&lt;&gt;"Closed",$N75&lt;&gt;"Canceled",OR('Dashboard'!$B$4="All",$B75='Dashboard'!$B$4),OR('Dashboard'!$D$4="All",$C75='Dashboard'!$D$4)),COUNTIFS($AN$6:$AN75,"&lt;&gt;",$N$6:$N75,"&lt;&gt;Closed",$N$6:$N75,"&lt;&gt;Canceled",$B$6:$B75,IF('Dashboard'!$B$4="All","&lt;&gt;",'Dashboard'!$B$4),$C$6:$C75,IF('Dashboard'!$D$4="All","&lt;&gt;",'Dashboard'!$D$4)),""),"")</f>
        <v/>
      </c>
    </row>
    <row r="76">
      <c r="A76" s="23" t="n"/>
      <c r="B76" s="23" t="n"/>
      <c r="C76" s="23" t="n"/>
      <c r="D76" s="23" t="n"/>
      <c r="E76" s="23" t="n"/>
      <c r="F76" s="24">
        <f>IFERROR(IF($E76="","",VLOOKUP($E76,'Settings'!$G$16:$M$115,2,0)),"")</f>
        <v/>
      </c>
      <c r="G76" s="25" t="n"/>
      <c r="H76" s="51" t="n"/>
      <c r="I76" s="51" t="n"/>
      <c r="J76" s="23" t="n"/>
      <c r="K76" s="23" t="n"/>
      <c r="L76" s="51" t="n"/>
      <c r="M76" s="27">
        <f>IFERROR(IF($A76="","",IF($J76="Approved",MAX(0,$L76-$H76),"")),"")</f>
        <v/>
      </c>
      <c r="N76" s="23" t="n"/>
      <c r="O76" s="51" t="n"/>
      <c r="P76" s="23" t="n"/>
      <c r="Q76" s="25" t="n"/>
      <c r="R76" s="28" t="n"/>
      <c r="S76" s="52" t="n"/>
      <c r="T76" s="52" t="n"/>
      <c r="U76" s="23" t="n"/>
      <c r="V76" s="30" t="n"/>
      <c r="W76" s="52" t="n"/>
      <c r="X76" s="53">
        <f>IFERROR(IF($A76="","",MAX(0,$R76*$S76-$T76)),"")</f>
        <v/>
      </c>
      <c r="Y76" s="53">
        <f>IFERROR(IF($A76="","",IF($U76="Yes",$X76*$V76,0)),"")</f>
        <v/>
      </c>
      <c r="Z76" s="53">
        <f>IFERROR(IF($A76="","",$X76+$Y76+$W76),"")</f>
        <v/>
      </c>
      <c r="AA76" s="28" t="n"/>
      <c r="AB76" s="51" t="n"/>
      <c r="AC76" s="24">
        <f>IFERROR(IF($A76="","",IF($N76="Canceled","Canceled",IF($AA76=0,"Not Received",IF($AA76&lt;$R76,"Partially Received",IF($AA76=$R76,"Fully Received","Over Received"))))),"")</f>
        <v/>
      </c>
      <c r="AD76" s="25" t="n"/>
      <c r="AE76" s="23" t="n"/>
      <c r="AF76" s="51" t="n"/>
      <c r="AG76" s="52" t="n"/>
      <c r="AH76" s="53">
        <f>IFERROR(IF($A76="","",IF($AG76="","",$AG76-$Z76)),"")</f>
        <v/>
      </c>
      <c r="AI76" s="32">
        <f>IFERROR(IF($A76="","",IF(OR($AG76="",$Z76=0),"",($AG76-$Z76)/$Z76)),"")</f>
        <v/>
      </c>
      <c r="AJ76" s="23" t="n"/>
      <c r="AK76" s="51" t="n"/>
      <c r="AL76" s="53">
        <f>IFERROR(IF($A76="","",IF(OR($N76="Canceled",$N76="Closed"),0,MAX($Z76-IF($AG76="",0,$AG76),0))),"")</f>
        <v/>
      </c>
      <c r="AM76" s="27">
        <f>IFERROR(IF($A76="","",IF(OR($N76="Closed",$N76="Canceled"),IF($O76="","",MAX(0,$O76-$H76)),MAX(0,TODAY()-$H76))),"")</f>
        <v/>
      </c>
      <c r="AN76" s="24">
        <f>IFERROR(IF($A76="","",IF($AA76&gt;$R76,"Over Received",IF(AND($J76="Approved",OR($K76="",$L76="")),"Approval Missing",IF(AND($J76="Pending",$AM76&gt;'Settings'!$B$7),"Approval Follow-Up",IF(AND($N76="Open",$I76&lt;&gt;"",$I76+'Settings'!$B$8&lt;TODAY(),$AA76&lt;$R76),"Delivery Overdue",IF(AND($AG76&lt;&gt;"",OR(ABS($AH76)&gt;'Settings'!$B$9,ABS($AI76)&gt;'Settings'!$B$10)),"Invoice Variance",IF(AND($N76="Open",$AM76&gt;'Settings'!$B$11),"Aging Open PO",""))))))),"")</f>
        <v/>
      </c>
      <c r="AO76" s="25" t="n"/>
      <c r="AP76" s="24">
        <f>IFERROR(IF(AND($AN76&lt;&gt;"",$N76&lt;&gt;"Closed",$N76&lt;&gt;"Canceled",OR('Dashboard'!$B$4="All",$B76='Dashboard'!$B$4),OR('Dashboard'!$D$4="All",$C76='Dashboard'!$D$4)),COUNTIFS($AN$6:$AN76,"&lt;&gt;",$N$6:$N76,"&lt;&gt;Closed",$N$6:$N76,"&lt;&gt;Canceled",$B$6:$B76,IF('Dashboard'!$B$4="All","&lt;&gt;",'Dashboard'!$B$4),$C$6:$C76,IF('Dashboard'!$D$4="All","&lt;&gt;",'Dashboard'!$D$4)),""),"")</f>
        <v/>
      </c>
    </row>
    <row r="77">
      <c r="A77" s="23" t="n"/>
      <c r="B77" s="23" t="n"/>
      <c r="C77" s="23" t="n"/>
      <c r="D77" s="23" t="n"/>
      <c r="E77" s="23" t="n"/>
      <c r="F77" s="24">
        <f>IFERROR(IF($E77="","",VLOOKUP($E77,'Settings'!$G$16:$M$115,2,0)),"")</f>
        <v/>
      </c>
      <c r="G77" s="25" t="n"/>
      <c r="H77" s="51" t="n"/>
      <c r="I77" s="51" t="n"/>
      <c r="J77" s="23" t="n"/>
      <c r="K77" s="23" t="n"/>
      <c r="L77" s="51" t="n"/>
      <c r="M77" s="27">
        <f>IFERROR(IF($A77="","",IF($J77="Approved",MAX(0,$L77-$H77),"")),"")</f>
        <v/>
      </c>
      <c r="N77" s="23" t="n"/>
      <c r="O77" s="51" t="n"/>
      <c r="P77" s="23" t="n"/>
      <c r="Q77" s="25" t="n"/>
      <c r="R77" s="28" t="n"/>
      <c r="S77" s="52" t="n"/>
      <c r="T77" s="52" t="n"/>
      <c r="U77" s="23" t="n"/>
      <c r="V77" s="30" t="n"/>
      <c r="W77" s="52" t="n"/>
      <c r="X77" s="53">
        <f>IFERROR(IF($A77="","",MAX(0,$R77*$S77-$T77)),"")</f>
        <v/>
      </c>
      <c r="Y77" s="53">
        <f>IFERROR(IF($A77="","",IF($U77="Yes",$X77*$V77,0)),"")</f>
        <v/>
      </c>
      <c r="Z77" s="53">
        <f>IFERROR(IF($A77="","",$X77+$Y77+$W77),"")</f>
        <v/>
      </c>
      <c r="AA77" s="28" t="n"/>
      <c r="AB77" s="51" t="n"/>
      <c r="AC77" s="24">
        <f>IFERROR(IF($A77="","",IF($N77="Canceled","Canceled",IF($AA77=0,"Not Received",IF($AA77&lt;$R77,"Partially Received",IF($AA77=$R77,"Fully Received","Over Received"))))),"")</f>
        <v/>
      </c>
      <c r="AD77" s="25" t="n"/>
      <c r="AE77" s="23" t="n"/>
      <c r="AF77" s="51" t="n"/>
      <c r="AG77" s="52" t="n"/>
      <c r="AH77" s="53">
        <f>IFERROR(IF($A77="","",IF($AG77="","",$AG77-$Z77)),"")</f>
        <v/>
      </c>
      <c r="AI77" s="32">
        <f>IFERROR(IF($A77="","",IF(OR($AG77="",$Z77=0),"",($AG77-$Z77)/$Z77)),"")</f>
        <v/>
      </c>
      <c r="AJ77" s="23" t="n"/>
      <c r="AK77" s="51" t="n"/>
      <c r="AL77" s="53">
        <f>IFERROR(IF($A77="","",IF(OR($N77="Canceled",$N77="Closed"),0,MAX($Z77-IF($AG77="",0,$AG77),0))),"")</f>
        <v/>
      </c>
      <c r="AM77" s="27">
        <f>IFERROR(IF($A77="","",IF(OR($N77="Closed",$N77="Canceled"),IF($O77="","",MAX(0,$O77-$H77)),MAX(0,TODAY()-$H77))),"")</f>
        <v/>
      </c>
      <c r="AN77" s="24">
        <f>IFERROR(IF($A77="","",IF($AA77&gt;$R77,"Over Received",IF(AND($J77="Approved",OR($K77="",$L77="")),"Approval Missing",IF(AND($J77="Pending",$AM77&gt;'Settings'!$B$7),"Approval Follow-Up",IF(AND($N77="Open",$I77&lt;&gt;"",$I77+'Settings'!$B$8&lt;TODAY(),$AA77&lt;$R77),"Delivery Overdue",IF(AND($AG77&lt;&gt;"",OR(ABS($AH77)&gt;'Settings'!$B$9,ABS($AI77)&gt;'Settings'!$B$10)),"Invoice Variance",IF(AND($N77="Open",$AM77&gt;'Settings'!$B$11),"Aging Open PO",""))))))),"")</f>
        <v/>
      </c>
      <c r="AO77" s="25" t="n"/>
      <c r="AP77" s="24">
        <f>IFERROR(IF(AND($AN77&lt;&gt;"",$N77&lt;&gt;"Closed",$N77&lt;&gt;"Canceled",OR('Dashboard'!$B$4="All",$B77='Dashboard'!$B$4),OR('Dashboard'!$D$4="All",$C77='Dashboard'!$D$4)),COUNTIFS($AN$6:$AN77,"&lt;&gt;",$N$6:$N77,"&lt;&gt;Closed",$N$6:$N77,"&lt;&gt;Canceled",$B$6:$B77,IF('Dashboard'!$B$4="All","&lt;&gt;",'Dashboard'!$B$4),$C$6:$C77,IF('Dashboard'!$D$4="All","&lt;&gt;",'Dashboard'!$D$4)),""),"")</f>
        <v/>
      </c>
    </row>
    <row r="78">
      <c r="A78" s="23" t="n"/>
      <c r="B78" s="23" t="n"/>
      <c r="C78" s="23" t="n"/>
      <c r="D78" s="23" t="n"/>
      <c r="E78" s="23" t="n"/>
      <c r="F78" s="24">
        <f>IFERROR(IF($E78="","",VLOOKUP($E78,'Settings'!$G$16:$M$115,2,0)),"")</f>
        <v/>
      </c>
      <c r="G78" s="25" t="n"/>
      <c r="H78" s="51" t="n"/>
      <c r="I78" s="51" t="n"/>
      <c r="J78" s="23" t="n"/>
      <c r="K78" s="23" t="n"/>
      <c r="L78" s="51" t="n"/>
      <c r="M78" s="27">
        <f>IFERROR(IF($A78="","",IF($J78="Approved",MAX(0,$L78-$H78),"")),"")</f>
        <v/>
      </c>
      <c r="N78" s="23" t="n"/>
      <c r="O78" s="51" t="n"/>
      <c r="P78" s="23" t="n"/>
      <c r="Q78" s="25" t="n"/>
      <c r="R78" s="28" t="n"/>
      <c r="S78" s="52" t="n"/>
      <c r="T78" s="52" t="n"/>
      <c r="U78" s="23" t="n"/>
      <c r="V78" s="30" t="n"/>
      <c r="W78" s="52" t="n"/>
      <c r="X78" s="53">
        <f>IFERROR(IF($A78="","",MAX(0,$R78*$S78-$T78)),"")</f>
        <v/>
      </c>
      <c r="Y78" s="53">
        <f>IFERROR(IF($A78="","",IF($U78="Yes",$X78*$V78,0)),"")</f>
        <v/>
      </c>
      <c r="Z78" s="53">
        <f>IFERROR(IF($A78="","",$X78+$Y78+$W78),"")</f>
        <v/>
      </c>
      <c r="AA78" s="28" t="n"/>
      <c r="AB78" s="51" t="n"/>
      <c r="AC78" s="24">
        <f>IFERROR(IF($A78="","",IF($N78="Canceled","Canceled",IF($AA78=0,"Not Received",IF($AA78&lt;$R78,"Partially Received",IF($AA78=$R78,"Fully Received","Over Received"))))),"")</f>
        <v/>
      </c>
      <c r="AD78" s="25" t="n"/>
      <c r="AE78" s="23" t="n"/>
      <c r="AF78" s="51" t="n"/>
      <c r="AG78" s="52" t="n"/>
      <c r="AH78" s="53">
        <f>IFERROR(IF($A78="","",IF($AG78="","",$AG78-$Z78)),"")</f>
        <v/>
      </c>
      <c r="AI78" s="32">
        <f>IFERROR(IF($A78="","",IF(OR($AG78="",$Z78=0),"",($AG78-$Z78)/$Z78)),"")</f>
        <v/>
      </c>
      <c r="AJ78" s="23" t="n"/>
      <c r="AK78" s="51" t="n"/>
      <c r="AL78" s="53">
        <f>IFERROR(IF($A78="","",IF(OR($N78="Canceled",$N78="Closed"),0,MAX($Z78-IF($AG78="",0,$AG78),0))),"")</f>
        <v/>
      </c>
      <c r="AM78" s="27">
        <f>IFERROR(IF($A78="","",IF(OR($N78="Closed",$N78="Canceled"),IF($O78="","",MAX(0,$O78-$H78)),MAX(0,TODAY()-$H78))),"")</f>
        <v/>
      </c>
      <c r="AN78" s="24">
        <f>IFERROR(IF($A78="","",IF($AA78&gt;$R78,"Over Received",IF(AND($J78="Approved",OR($K78="",$L78="")),"Approval Missing",IF(AND($J78="Pending",$AM78&gt;'Settings'!$B$7),"Approval Follow-Up",IF(AND($N78="Open",$I78&lt;&gt;"",$I78+'Settings'!$B$8&lt;TODAY(),$AA78&lt;$R78),"Delivery Overdue",IF(AND($AG78&lt;&gt;"",OR(ABS($AH78)&gt;'Settings'!$B$9,ABS($AI78)&gt;'Settings'!$B$10)),"Invoice Variance",IF(AND($N78="Open",$AM78&gt;'Settings'!$B$11),"Aging Open PO",""))))))),"")</f>
        <v/>
      </c>
      <c r="AO78" s="25" t="n"/>
      <c r="AP78" s="24">
        <f>IFERROR(IF(AND($AN78&lt;&gt;"",$N78&lt;&gt;"Closed",$N78&lt;&gt;"Canceled",OR('Dashboard'!$B$4="All",$B78='Dashboard'!$B$4),OR('Dashboard'!$D$4="All",$C78='Dashboard'!$D$4)),COUNTIFS($AN$6:$AN78,"&lt;&gt;",$N$6:$N78,"&lt;&gt;Closed",$N$6:$N78,"&lt;&gt;Canceled",$B$6:$B78,IF('Dashboard'!$B$4="All","&lt;&gt;",'Dashboard'!$B$4),$C$6:$C78,IF('Dashboard'!$D$4="All","&lt;&gt;",'Dashboard'!$D$4)),""),"")</f>
        <v/>
      </c>
    </row>
    <row r="79">
      <c r="A79" s="23" t="n"/>
      <c r="B79" s="23" t="n"/>
      <c r="C79" s="23" t="n"/>
      <c r="D79" s="23" t="n"/>
      <c r="E79" s="23" t="n"/>
      <c r="F79" s="24">
        <f>IFERROR(IF($E79="","",VLOOKUP($E79,'Settings'!$G$16:$M$115,2,0)),"")</f>
        <v/>
      </c>
      <c r="G79" s="25" t="n"/>
      <c r="H79" s="51" t="n"/>
      <c r="I79" s="51" t="n"/>
      <c r="J79" s="23" t="n"/>
      <c r="K79" s="23" t="n"/>
      <c r="L79" s="51" t="n"/>
      <c r="M79" s="27">
        <f>IFERROR(IF($A79="","",IF($J79="Approved",MAX(0,$L79-$H79),"")),"")</f>
        <v/>
      </c>
      <c r="N79" s="23" t="n"/>
      <c r="O79" s="51" t="n"/>
      <c r="P79" s="23" t="n"/>
      <c r="Q79" s="25" t="n"/>
      <c r="R79" s="28" t="n"/>
      <c r="S79" s="52" t="n"/>
      <c r="T79" s="52" t="n"/>
      <c r="U79" s="23" t="n"/>
      <c r="V79" s="30" t="n"/>
      <c r="W79" s="52" t="n"/>
      <c r="X79" s="53">
        <f>IFERROR(IF($A79="","",MAX(0,$R79*$S79-$T79)),"")</f>
        <v/>
      </c>
      <c r="Y79" s="53">
        <f>IFERROR(IF($A79="","",IF($U79="Yes",$X79*$V79,0)),"")</f>
        <v/>
      </c>
      <c r="Z79" s="53">
        <f>IFERROR(IF($A79="","",$X79+$Y79+$W79),"")</f>
        <v/>
      </c>
      <c r="AA79" s="28" t="n"/>
      <c r="AB79" s="51" t="n"/>
      <c r="AC79" s="24">
        <f>IFERROR(IF($A79="","",IF($N79="Canceled","Canceled",IF($AA79=0,"Not Received",IF($AA79&lt;$R79,"Partially Received",IF($AA79=$R79,"Fully Received","Over Received"))))),"")</f>
        <v/>
      </c>
      <c r="AD79" s="25" t="n"/>
      <c r="AE79" s="23" t="n"/>
      <c r="AF79" s="51" t="n"/>
      <c r="AG79" s="52" t="n"/>
      <c r="AH79" s="53">
        <f>IFERROR(IF($A79="","",IF($AG79="","",$AG79-$Z79)),"")</f>
        <v/>
      </c>
      <c r="AI79" s="32">
        <f>IFERROR(IF($A79="","",IF(OR($AG79="",$Z79=0),"",($AG79-$Z79)/$Z79)),"")</f>
        <v/>
      </c>
      <c r="AJ79" s="23" t="n"/>
      <c r="AK79" s="51" t="n"/>
      <c r="AL79" s="53">
        <f>IFERROR(IF($A79="","",IF(OR($N79="Canceled",$N79="Closed"),0,MAX($Z79-IF($AG79="",0,$AG79),0))),"")</f>
        <v/>
      </c>
      <c r="AM79" s="27">
        <f>IFERROR(IF($A79="","",IF(OR($N79="Closed",$N79="Canceled"),IF($O79="","",MAX(0,$O79-$H79)),MAX(0,TODAY()-$H79))),"")</f>
        <v/>
      </c>
      <c r="AN79" s="24">
        <f>IFERROR(IF($A79="","",IF($AA79&gt;$R79,"Over Received",IF(AND($J79="Approved",OR($K79="",$L79="")),"Approval Missing",IF(AND($J79="Pending",$AM79&gt;'Settings'!$B$7),"Approval Follow-Up",IF(AND($N79="Open",$I79&lt;&gt;"",$I79+'Settings'!$B$8&lt;TODAY(),$AA79&lt;$R79),"Delivery Overdue",IF(AND($AG79&lt;&gt;"",OR(ABS($AH79)&gt;'Settings'!$B$9,ABS($AI79)&gt;'Settings'!$B$10)),"Invoice Variance",IF(AND($N79="Open",$AM79&gt;'Settings'!$B$11),"Aging Open PO",""))))))),"")</f>
        <v/>
      </c>
      <c r="AO79" s="25" t="n"/>
      <c r="AP79" s="24">
        <f>IFERROR(IF(AND($AN79&lt;&gt;"",$N79&lt;&gt;"Closed",$N79&lt;&gt;"Canceled",OR('Dashboard'!$B$4="All",$B79='Dashboard'!$B$4),OR('Dashboard'!$D$4="All",$C79='Dashboard'!$D$4)),COUNTIFS($AN$6:$AN79,"&lt;&gt;",$N$6:$N79,"&lt;&gt;Closed",$N$6:$N79,"&lt;&gt;Canceled",$B$6:$B79,IF('Dashboard'!$B$4="All","&lt;&gt;",'Dashboard'!$B$4),$C$6:$C79,IF('Dashboard'!$D$4="All","&lt;&gt;",'Dashboard'!$D$4)),""),"")</f>
        <v/>
      </c>
    </row>
    <row r="80">
      <c r="A80" s="23" t="n"/>
      <c r="B80" s="23" t="n"/>
      <c r="C80" s="23" t="n"/>
      <c r="D80" s="23" t="n"/>
      <c r="E80" s="23" t="n"/>
      <c r="F80" s="24">
        <f>IFERROR(IF($E80="","",VLOOKUP($E80,'Settings'!$G$16:$M$115,2,0)),"")</f>
        <v/>
      </c>
      <c r="G80" s="25" t="n"/>
      <c r="H80" s="51" t="n"/>
      <c r="I80" s="51" t="n"/>
      <c r="J80" s="23" t="n"/>
      <c r="K80" s="23" t="n"/>
      <c r="L80" s="51" t="n"/>
      <c r="M80" s="27">
        <f>IFERROR(IF($A80="","",IF($J80="Approved",MAX(0,$L80-$H80),"")),"")</f>
        <v/>
      </c>
      <c r="N80" s="23" t="n"/>
      <c r="O80" s="51" t="n"/>
      <c r="P80" s="23" t="n"/>
      <c r="Q80" s="25" t="n"/>
      <c r="R80" s="28" t="n"/>
      <c r="S80" s="52" t="n"/>
      <c r="T80" s="52" t="n"/>
      <c r="U80" s="23" t="n"/>
      <c r="V80" s="30" t="n"/>
      <c r="W80" s="52" t="n"/>
      <c r="X80" s="53">
        <f>IFERROR(IF($A80="","",MAX(0,$R80*$S80-$T80)),"")</f>
        <v/>
      </c>
      <c r="Y80" s="53">
        <f>IFERROR(IF($A80="","",IF($U80="Yes",$X80*$V80,0)),"")</f>
        <v/>
      </c>
      <c r="Z80" s="53">
        <f>IFERROR(IF($A80="","",$X80+$Y80+$W80),"")</f>
        <v/>
      </c>
      <c r="AA80" s="28" t="n"/>
      <c r="AB80" s="51" t="n"/>
      <c r="AC80" s="24">
        <f>IFERROR(IF($A80="","",IF($N80="Canceled","Canceled",IF($AA80=0,"Not Received",IF($AA80&lt;$R80,"Partially Received",IF($AA80=$R80,"Fully Received","Over Received"))))),"")</f>
        <v/>
      </c>
      <c r="AD80" s="25" t="n"/>
      <c r="AE80" s="23" t="n"/>
      <c r="AF80" s="51" t="n"/>
      <c r="AG80" s="52" t="n"/>
      <c r="AH80" s="53">
        <f>IFERROR(IF($A80="","",IF($AG80="","",$AG80-$Z80)),"")</f>
        <v/>
      </c>
      <c r="AI80" s="32">
        <f>IFERROR(IF($A80="","",IF(OR($AG80="",$Z80=0),"",($AG80-$Z80)/$Z80)),"")</f>
        <v/>
      </c>
      <c r="AJ80" s="23" t="n"/>
      <c r="AK80" s="51" t="n"/>
      <c r="AL80" s="53">
        <f>IFERROR(IF($A80="","",IF(OR($N80="Canceled",$N80="Closed"),0,MAX($Z80-IF($AG80="",0,$AG80),0))),"")</f>
        <v/>
      </c>
      <c r="AM80" s="27">
        <f>IFERROR(IF($A80="","",IF(OR($N80="Closed",$N80="Canceled"),IF($O80="","",MAX(0,$O80-$H80)),MAX(0,TODAY()-$H80))),"")</f>
        <v/>
      </c>
      <c r="AN80" s="24">
        <f>IFERROR(IF($A80="","",IF($AA80&gt;$R80,"Over Received",IF(AND($J80="Approved",OR($K80="",$L80="")),"Approval Missing",IF(AND($J80="Pending",$AM80&gt;'Settings'!$B$7),"Approval Follow-Up",IF(AND($N80="Open",$I80&lt;&gt;"",$I80+'Settings'!$B$8&lt;TODAY(),$AA80&lt;$R80),"Delivery Overdue",IF(AND($AG80&lt;&gt;"",OR(ABS($AH80)&gt;'Settings'!$B$9,ABS($AI80)&gt;'Settings'!$B$10)),"Invoice Variance",IF(AND($N80="Open",$AM80&gt;'Settings'!$B$11),"Aging Open PO",""))))))),"")</f>
        <v/>
      </c>
      <c r="AO80" s="25" t="n"/>
      <c r="AP80" s="24">
        <f>IFERROR(IF(AND($AN80&lt;&gt;"",$N80&lt;&gt;"Closed",$N80&lt;&gt;"Canceled",OR('Dashboard'!$B$4="All",$B80='Dashboard'!$B$4),OR('Dashboard'!$D$4="All",$C80='Dashboard'!$D$4)),COUNTIFS($AN$6:$AN80,"&lt;&gt;",$N$6:$N80,"&lt;&gt;Closed",$N$6:$N80,"&lt;&gt;Canceled",$B$6:$B80,IF('Dashboard'!$B$4="All","&lt;&gt;",'Dashboard'!$B$4),$C$6:$C80,IF('Dashboard'!$D$4="All","&lt;&gt;",'Dashboard'!$D$4)),""),"")</f>
        <v/>
      </c>
    </row>
    <row r="81">
      <c r="A81" s="23" t="n"/>
      <c r="B81" s="23" t="n"/>
      <c r="C81" s="23" t="n"/>
      <c r="D81" s="23" t="n"/>
      <c r="E81" s="23" t="n"/>
      <c r="F81" s="24">
        <f>IFERROR(IF($E81="","",VLOOKUP($E81,'Settings'!$G$16:$M$115,2,0)),"")</f>
        <v/>
      </c>
      <c r="G81" s="25" t="n"/>
      <c r="H81" s="51" t="n"/>
      <c r="I81" s="51" t="n"/>
      <c r="J81" s="23" t="n"/>
      <c r="K81" s="23" t="n"/>
      <c r="L81" s="51" t="n"/>
      <c r="M81" s="27">
        <f>IFERROR(IF($A81="","",IF($J81="Approved",MAX(0,$L81-$H81),"")),"")</f>
        <v/>
      </c>
      <c r="N81" s="23" t="n"/>
      <c r="O81" s="51" t="n"/>
      <c r="P81" s="23" t="n"/>
      <c r="Q81" s="25" t="n"/>
      <c r="R81" s="28" t="n"/>
      <c r="S81" s="52" t="n"/>
      <c r="T81" s="52" t="n"/>
      <c r="U81" s="23" t="n"/>
      <c r="V81" s="30" t="n"/>
      <c r="W81" s="52" t="n"/>
      <c r="X81" s="53">
        <f>IFERROR(IF($A81="","",MAX(0,$R81*$S81-$T81)),"")</f>
        <v/>
      </c>
      <c r="Y81" s="53">
        <f>IFERROR(IF($A81="","",IF($U81="Yes",$X81*$V81,0)),"")</f>
        <v/>
      </c>
      <c r="Z81" s="53">
        <f>IFERROR(IF($A81="","",$X81+$Y81+$W81),"")</f>
        <v/>
      </c>
      <c r="AA81" s="28" t="n"/>
      <c r="AB81" s="51" t="n"/>
      <c r="AC81" s="24">
        <f>IFERROR(IF($A81="","",IF($N81="Canceled","Canceled",IF($AA81=0,"Not Received",IF($AA81&lt;$R81,"Partially Received",IF($AA81=$R81,"Fully Received","Over Received"))))),"")</f>
        <v/>
      </c>
      <c r="AD81" s="25" t="n"/>
      <c r="AE81" s="23" t="n"/>
      <c r="AF81" s="51" t="n"/>
      <c r="AG81" s="52" t="n"/>
      <c r="AH81" s="53">
        <f>IFERROR(IF($A81="","",IF($AG81="","",$AG81-$Z81)),"")</f>
        <v/>
      </c>
      <c r="AI81" s="32">
        <f>IFERROR(IF($A81="","",IF(OR($AG81="",$Z81=0),"",($AG81-$Z81)/$Z81)),"")</f>
        <v/>
      </c>
      <c r="AJ81" s="23" t="n"/>
      <c r="AK81" s="51" t="n"/>
      <c r="AL81" s="53">
        <f>IFERROR(IF($A81="","",IF(OR($N81="Canceled",$N81="Closed"),0,MAX($Z81-IF($AG81="",0,$AG81),0))),"")</f>
        <v/>
      </c>
      <c r="AM81" s="27">
        <f>IFERROR(IF($A81="","",IF(OR($N81="Closed",$N81="Canceled"),IF($O81="","",MAX(0,$O81-$H81)),MAX(0,TODAY()-$H81))),"")</f>
        <v/>
      </c>
      <c r="AN81" s="24">
        <f>IFERROR(IF($A81="","",IF($AA81&gt;$R81,"Over Received",IF(AND($J81="Approved",OR($K81="",$L81="")),"Approval Missing",IF(AND($J81="Pending",$AM81&gt;'Settings'!$B$7),"Approval Follow-Up",IF(AND($N81="Open",$I81&lt;&gt;"",$I81+'Settings'!$B$8&lt;TODAY(),$AA81&lt;$R81),"Delivery Overdue",IF(AND($AG81&lt;&gt;"",OR(ABS($AH81)&gt;'Settings'!$B$9,ABS($AI81)&gt;'Settings'!$B$10)),"Invoice Variance",IF(AND($N81="Open",$AM81&gt;'Settings'!$B$11),"Aging Open PO",""))))))),"")</f>
        <v/>
      </c>
      <c r="AO81" s="25" t="n"/>
      <c r="AP81" s="24">
        <f>IFERROR(IF(AND($AN81&lt;&gt;"",$N81&lt;&gt;"Closed",$N81&lt;&gt;"Canceled",OR('Dashboard'!$B$4="All",$B81='Dashboard'!$B$4),OR('Dashboard'!$D$4="All",$C81='Dashboard'!$D$4)),COUNTIFS($AN$6:$AN81,"&lt;&gt;",$N$6:$N81,"&lt;&gt;Closed",$N$6:$N81,"&lt;&gt;Canceled",$B$6:$B81,IF('Dashboard'!$B$4="All","&lt;&gt;",'Dashboard'!$B$4),$C$6:$C81,IF('Dashboard'!$D$4="All","&lt;&gt;",'Dashboard'!$D$4)),""),"")</f>
        <v/>
      </c>
    </row>
    <row r="82">
      <c r="A82" s="23" t="n"/>
      <c r="B82" s="23" t="n"/>
      <c r="C82" s="23" t="n"/>
      <c r="D82" s="23" t="n"/>
      <c r="E82" s="23" t="n"/>
      <c r="F82" s="24">
        <f>IFERROR(IF($E82="","",VLOOKUP($E82,'Settings'!$G$16:$M$115,2,0)),"")</f>
        <v/>
      </c>
      <c r="G82" s="25" t="n"/>
      <c r="H82" s="51" t="n"/>
      <c r="I82" s="51" t="n"/>
      <c r="J82" s="23" t="n"/>
      <c r="K82" s="23" t="n"/>
      <c r="L82" s="51" t="n"/>
      <c r="M82" s="27">
        <f>IFERROR(IF($A82="","",IF($J82="Approved",MAX(0,$L82-$H82),"")),"")</f>
        <v/>
      </c>
      <c r="N82" s="23" t="n"/>
      <c r="O82" s="51" t="n"/>
      <c r="P82" s="23" t="n"/>
      <c r="Q82" s="25" t="n"/>
      <c r="R82" s="28" t="n"/>
      <c r="S82" s="52" t="n"/>
      <c r="T82" s="52" t="n"/>
      <c r="U82" s="23" t="n"/>
      <c r="V82" s="30" t="n"/>
      <c r="W82" s="52" t="n"/>
      <c r="X82" s="53">
        <f>IFERROR(IF($A82="","",MAX(0,$R82*$S82-$T82)),"")</f>
        <v/>
      </c>
      <c r="Y82" s="53">
        <f>IFERROR(IF($A82="","",IF($U82="Yes",$X82*$V82,0)),"")</f>
        <v/>
      </c>
      <c r="Z82" s="53">
        <f>IFERROR(IF($A82="","",$X82+$Y82+$W82),"")</f>
        <v/>
      </c>
      <c r="AA82" s="28" t="n"/>
      <c r="AB82" s="51" t="n"/>
      <c r="AC82" s="24">
        <f>IFERROR(IF($A82="","",IF($N82="Canceled","Canceled",IF($AA82=0,"Not Received",IF($AA82&lt;$R82,"Partially Received",IF($AA82=$R82,"Fully Received","Over Received"))))),"")</f>
        <v/>
      </c>
      <c r="AD82" s="25" t="n"/>
      <c r="AE82" s="23" t="n"/>
      <c r="AF82" s="51" t="n"/>
      <c r="AG82" s="52" t="n"/>
      <c r="AH82" s="53">
        <f>IFERROR(IF($A82="","",IF($AG82="","",$AG82-$Z82)),"")</f>
        <v/>
      </c>
      <c r="AI82" s="32">
        <f>IFERROR(IF($A82="","",IF(OR($AG82="",$Z82=0),"",($AG82-$Z82)/$Z82)),"")</f>
        <v/>
      </c>
      <c r="AJ82" s="23" t="n"/>
      <c r="AK82" s="51" t="n"/>
      <c r="AL82" s="53">
        <f>IFERROR(IF($A82="","",IF(OR($N82="Canceled",$N82="Closed"),0,MAX($Z82-IF($AG82="",0,$AG82),0))),"")</f>
        <v/>
      </c>
      <c r="AM82" s="27">
        <f>IFERROR(IF($A82="","",IF(OR($N82="Closed",$N82="Canceled"),IF($O82="","",MAX(0,$O82-$H82)),MAX(0,TODAY()-$H82))),"")</f>
        <v/>
      </c>
      <c r="AN82" s="24">
        <f>IFERROR(IF($A82="","",IF($AA82&gt;$R82,"Over Received",IF(AND($J82="Approved",OR($K82="",$L82="")),"Approval Missing",IF(AND($J82="Pending",$AM82&gt;'Settings'!$B$7),"Approval Follow-Up",IF(AND($N82="Open",$I82&lt;&gt;"",$I82+'Settings'!$B$8&lt;TODAY(),$AA82&lt;$R82),"Delivery Overdue",IF(AND($AG82&lt;&gt;"",OR(ABS($AH82)&gt;'Settings'!$B$9,ABS($AI82)&gt;'Settings'!$B$10)),"Invoice Variance",IF(AND($N82="Open",$AM82&gt;'Settings'!$B$11),"Aging Open PO",""))))))),"")</f>
        <v/>
      </c>
      <c r="AO82" s="25" t="n"/>
      <c r="AP82" s="24">
        <f>IFERROR(IF(AND($AN82&lt;&gt;"",$N82&lt;&gt;"Closed",$N82&lt;&gt;"Canceled",OR('Dashboard'!$B$4="All",$B82='Dashboard'!$B$4),OR('Dashboard'!$D$4="All",$C82='Dashboard'!$D$4)),COUNTIFS($AN$6:$AN82,"&lt;&gt;",$N$6:$N82,"&lt;&gt;Closed",$N$6:$N82,"&lt;&gt;Canceled",$B$6:$B82,IF('Dashboard'!$B$4="All","&lt;&gt;",'Dashboard'!$B$4),$C$6:$C82,IF('Dashboard'!$D$4="All","&lt;&gt;",'Dashboard'!$D$4)),""),"")</f>
        <v/>
      </c>
    </row>
    <row r="83">
      <c r="A83" s="23" t="n"/>
      <c r="B83" s="23" t="n"/>
      <c r="C83" s="23" t="n"/>
      <c r="D83" s="23" t="n"/>
      <c r="E83" s="23" t="n"/>
      <c r="F83" s="24">
        <f>IFERROR(IF($E83="","",VLOOKUP($E83,'Settings'!$G$16:$M$115,2,0)),"")</f>
        <v/>
      </c>
      <c r="G83" s="25" t="n"/>
      <c r="H83" s="51" t="n"/>
      <c r="I83" s="51" t="n"/>
      <c r="J83" s="23" t="n"/>
      <c r="K83" s="23" t="n"/>
      <c r="L83" s="51" t="n"/>
      <c r="M83" s="27">
        <f>IFERROR(IF($A83="","",IF($J83="Approved",MAX(0,$L83-$H83),"")),"")</f>
        <v/>
      </c>
      <c r="N83" s="23" t="n"/>
      <c r="O83" s="51" t="n"/>
      <c r="P83" s="23" t="n"/>
      <c r="Q83" s="25" t="n"/>
      <c r="R83" s="28" t="n"/>
      <c r="S83" s="52" t="n"/>
      <c r="T83" s="52" t="n"/>
      <c r="U83" s="23" t="n"/>
      <c r="V83" s="30" t="n"/>
      <c r="W83" s="52" t="n"/>
      <c r="X83" s="53">
        <f>IFERROR(IF($A83="","",MAX(0,$R83*$S83-$T83)),"")</f>
        <v/>
      </c>
      <c r="Y83" s="53">
        <f>IFERROR(IF($A83="","",IF($U83="Yes",$X83*$V83,0)),"")</f>
        <v/>
      </c>
      <c r="Z83" s="53">
        <f>IFERROR(IF($A83="","",$X83+$Y83+$W83),"")</f>
        <v/>
      </c>
      <c r="AA83" s="28" t="n"/>
      <c r="AB83" s="51" t="n"/>
      <c r="AC83" s="24">
        <f>IFERROR(IF($A83="","",IF($N83="Canceled","Canceled",IF($AA83=0,"Not Received",IF($AA83&lt;$R83,"Partially Received",IF($AA83=$R83,"Fully Received","Over Received"))))),"")</f>
        <v/>
      </c>
      <c r="AD83" s="25" t="n"/>
      <c r="AE83" s="23" t="n"/>
      <c r="AF83" s="51" t="n"/>
      <c r="AG83" s="52" t="n"/>
      <c r="AH83" s="53">
        <f>IFERROR(IF($A83="","",IF($AG83="","",$AG83-$Z83)),"")</f>
        <v/>
      </c>
      <c r="AI83" s="32">
        <f>IFERROR(IF($A83="","",IF(OR($AG83="",$Z83=0),"",($AG83-$Z83)/$Z83)),"")</f>
        <v/>
      </c>
      <c r="AJ83" s="23" t="n"/>
      <c r="AK83" s="51" t="n"/>
      <c r="AL83" s="53">
        <f>IFERROR(IF($A83="","",IF(OR($N83="Canceled",$N83="Closed"),0,MAX($Z83-IF($AG83="",0,$AG83),0))),"")</f>
        <v/>
      </c>
      <c r="AM83" s="27">
        <f>IFERROR(IF($A83="","",IF(OR($N83="Closed",$N83="Canceled"),IF($O83="","",MAX(0,$O83-$H83)),MAX(0,TODAY()-$H83))),"")</f>
        <v/>
      </c>
      <c r="AN83" s="24">
        <f>IFERROR(IF($A83="","",IF($AA83&gt;$R83,"Over Received",IF(AND($J83="Approved",OR($K83="",$L83="")),"Approval Missing",IF(AND($J83="Pending",$AM83&gt;'Settings'!$B$7),"Approval Follow-Up",IF(AND($N83="Open",$I83&lt;&gt;"",$I83+'Settings'!$B$8&lt;TODAY(),$AA83&lt;$R83),"Delivery Overdue",IF(AND($AG83&lt;&gt;"",OR(ABS($AH83)&gt;'Settings'!$B$9,ABS($AI83)&gt;'Settings'!$B$10)),"Invoice Variance",IF(AND($N83="Open",$AM83&gt;'Settings'!$B$11),"Aging Open PO",""))))))),"")</f>
        <v/>
      </c>
      <c r="AO83" s="25" t="n"/>
      <c r="AP83" s="24">
        <f>IFERROR(IF(AND($AN83&lt;&gt;"",$N83&lt;&gt;"Closed",$N83&lt;&gt;"Canceled",OR('Dashboard'!$B$4="All",$B83='Dashboard'!$B$4),OR('Dashboard'!$D$4="All",$C83='Dashboard'!$D$4)),COUNTIFS($AN$6:$AN83,"&lt;&gt;",$N$6:$N83,"&lt;&gt;Closed",$N$6:$N83,"&lt;&gt;Canceled",$B$6:$B83,IF('Dashboard'!$B$4="All","&lt;&gt;",'Dashboard'!$B$4),$C$6:$C83,IF('Dashboard'!$D$4="All","&lt;&gt;",'Dashboard'!$D$4)),""),"")</f>
        <v/>
      </c>
    </row>
    <row r="84">
      <c r="A84" s="23" t="n"/>
      <c r="B84" s="23" t="n"/>
      <c r="C84" s="23" t="n"/>
      <c r="D84" s="23" t="n"/>
      <c r="E84" s="23" t="n"/>
      <c r="F84" s="24">
        <f>IFERROR(IF($E84="","",VLOOKUP($E84,'Settings'!$G$16:$M$115,2,0)),"")</f>
        <v/>
      </c>
      <c r="G84" s="25" t="n"/>
      <c r="H84" s="51" t="n"/>
      <c r="I84" s="51" t="n"/>
      <c r="J84" s="23" t="n"/>
      <c r="K84" s="23" t="n"/>
      <c r="L84" s="51" t="n"/>
      <c r="M84" s="27">
        <f>IFERROR(IF($A84="","",IF($J84="Approved",MAX(0,$L84-$H84),"")),"")</f>
        <v/>
      </c>
      <c r="N84" s="23" t="n"/>
      <c r="O84" s="51" t="n"/>
      <c r="P84" s="23" t="n"/>
      <c r="Q84" s="25" t="n"/>
      <c r="R84" s="28" t="n"/>
      <c r="S84" s="52" t="n"/>
      <c r="T84" s="52" t="n"/>
      <c r="U84" s="23" t="n"/>
      <c r="V84" s="30" t="n"/>
      <c r="W84" s="52" t="n"/>
      <c r="X84" s="53">
        <f>IFERROR(IF($A84="","",MAX(0,$R84*$S84-$T84)),"")</f>
        <v/>
      </c>
      <c r="Y84" s="53">
        <f>IFERROR(IF($A84="","",IF($U84="Yes",$X84*$V84,0)),"")</f>
        <v/>
      </c>
      <c r="Z84" s="53">
        <f>IFERROR(IF($A84="","",$X84+$Y84+$W84),"")</f>
        <v/>
      </c>
      <c r="AA84" s="28" t="n"/>
      <c r="AB84" s="51" t="n"/>
      <c r="AC84" s="24">
        <f>IFERROR(IF($A84="","",IF($N84="Canceled","Canceled",IF($AA84=0,"Not Received",IF($AA84&lt;$R84,"Partially Received",IF($AA84=$R84,"Fully Received","Over Received"))))),"")</f>
        <v/>
      </c>
      <c r="AD84" s="25" t="n"/>
      <c r="AE84" s="23" t="n"/>
      <c r="AF84" s="51" t="n"/>
      <c r="AG84" s="52" t="n"/>
      <c r="AH84" s="53">
        <f>IFERROR(IF($A84="","",IF($AG84="","",$AG84-$Z84)),"")</f>
        <v/>
      </c>
      <c r="AI84" s="32">
        <f>IFERROR(IF($A84="","",IF(OR($AG84="",$Z84=0),"",($AG84-$Z84)/$Z84)),"")</f>
        <v/>
      </c>
      <c r="AJ84" s="23" t="n"/>
      <c r="AK84" s="51" t="n"/>
      <c r="AL84" s="53">
        <f>IFERROR(IF($A84="","",IF(OR($N84="Canceled",$N84="Closed"),0,MAX($Z84-IF($AG84="",0,$AG84),0))),"")</f>
        <v/>
      </c>
      <c r="AM84" s="27">
        <f>IFERROR(IF($A84="","",IF(OR($N84="Closed",$N84="Canceled"),IF($O84="","",MAX(0,$O84-$H84)),MAX(0,TODAY()-$H84))),"")</f>
        <v/>
      </c>
      <c r="AN84" s="24">
        <f>IFERROR(IF($A84="","",IF($AA84&gt;$R84,"Over Received",IF(AND($J84="Approved",OR($K84="",$L84="")),"Approval Missing",IF(AND($J84="Pending",$AM84&gt;'Settings'!$B$7),"Approval Follow-Up",IF(AND($N84="Open",$I84&lt;&gt;"",$I84+'Settings'!$B$8&lt;TODAY(),$AA84&lt;$R84),"Delivery Overdue",IF(AND($AG84&lt;&gt;"",OR(ABS($AH84)&gt;'Settings'!$B$9,ABS($AI84)&gt;'Settings'!$B$10)),"Invoice Variance",IF(AND($N84="Open",$AM84&gt;'Settings'!$B$11),"Aging Open PO",""))))))),"")</f>
        <v/>
      </c>
      <c r="AO84" s="25" t="n"/>
      <c r="AP84" s="24">
        <f>IFERROR(IF(AND($AN84&lt;&gt;"",$N84&lt;&gt;"Closed",$N84&lt;&gt;"Canceled",OR('Dashboard'!$B$4="All",$B84='Dashboard'!$B$4),OR('Dashboard'!$D$4="All",$C84='Dashboard'!$D$4)),COUNTIFS($AN$6:$AN84,"&lt;&gt;",$N$6:$N84,"&lt;&gt;Closed",$N$6:$N84,"&lt;&gt;Canceled",$B$6:$B84,IF('Dashboard'!$B$4="All","&lt;&gt;",'Dashboard'!$B$4),$C$6:$C84,IF('Dashboard'!$D$4="All","&lt;&gt;",'Dashboard'!$D$4)),""),"")</f>
        <v/>
      </c>
    </row>
    <row r="85">
      <c r="A85" s="23" t="n"/>
      <c r="B85" s="23" t="n"/>
      <c r="C85" s="23" t="n"/>
      <c r="D85" s="23" t="n"/>
      <c r="E85" s="23" t="n"/>
      <c r="F85" s="24">
        <f>IFERROR(IF($E85="","",VLOOKUP($E85,'Settings'!$G$16:$M$115,2,0)),"")</f>
        <v/>
      </c>
      <c r="G85" s="25" t="n"/>
      <c r="H85" s="51" t="n"/>
      <c r="I85" s="51" t="n"/>
      <c r="J85" s="23" t="n"/>
      <c r="K85" s="23" t="n"/>
      <c r="L85" s="51" t="n"/>
      <c r="M85" s="27">
        <f>IFERROR(IF($A85="","",IF($J85="Approved",MAX(0,$L85-$H85),"")),"")</f>
        <v/>
      </c>
      <c r="N85" s="23" t="n"/>
      <c r="O85" s="51" t="n"/>
      <c r="P85" s="23" t="n"/>
      <c r="Q85" s="25" t="n"/>
      <c r="R85" s="28" t="n"/>
      <c r="S85" s="52" t="n"/>
      <c r="T85" s="52" t="n"/>
      <c r="U85" s="23" t="n"/>
      <c r="V85" s="30" t="n"/>
      <c r="W85" s="52" t="n"/>
      <c r="X85" s="53">
        <f>IFERROR(IF($A85="","",MAX(0,$R85*$S85-$T85)),"")</f>
        <v/>
      </c>
      <c r="Y85" s="53">
        <f>IFERROR(IF($A85="","",IF($U85="Yes",$X85*$V85,0)),"")</f>
        <v/>
      </c>
      <c r="Z85" s="53">
        <f>IFERROR(IF($A85="","",$X85+$Y85+$W85),"")</f>
        <v/>
      </c>
      <c r="AA85" s="28" t="n"/>
      <c r="AB85" s="51" t="n"/>
      <c r="AC85" s="24">
        <f>IFERROR(IF($A85="","",IF($N85="Canceled","Canceled",IF($AA85=0,"Not Received",IF($AA85&lt;$R85,"Partially Received",IF($AA85=$R85,"Fully Received","Over Received"))))),"")</f>
        <v/>
      </c>
      <c r="AD85" s="25" t="n"/>
      <c r="AE85" s="23" t="n"/>
      <c r="AF85" s="51" t="n"/>
      <c r="AG85" s="52" t="n"/>
      <c r="AH85" s="53">
        <f>IFERROR(IF($A85="","",IF($AG85="","",$AG85-$Z85)),"")</f>
        <v/>
      </c>
      <c r="AI85" s="32">
        <f>IFERROR(IF($A85="","",IF(OR($AG85="",$Z85=0),"",($AG85-$Z85)/$Z85)),"")</f>
        <v/>
      </c>
      <c r="AJ85" s="23" t="n"/>
      <c r="AK85" s="51" t="n"/>
      <c r="AL85" s="53">
        <f>IFERROR(IF($A85="","",IF(OR($N85="Canceled",$N85="Closed"),0,MAX($Z85-IF($AG85="",0,$AG85),0))),"")</f>
        <v/>
      </c>
      <c r="AM85" s="27">
        <f>IFERROR(IF($A85="","",IF(OR($N85="Closed",$N85="Canceled"),IF($O85="","",MAX(0,$O85-$H85)),MAX(0,TODAY()-$H85))),"")</f>
        <v/>
      </c>
      <c r="AN85" s="24">
        <f>IFERROR(IF($A85="","",IF($AA85&gt;$R85,"Over Received",IF(AND($J85="Approved",OR($K85="",$L85="")),"Approval Missing",IF(AND($J85="Pending",$AM85&gt;'Settings'!$B$7),"Approval Follow-Up",IF(AND($N85="Open",$I85&lt;&gt;"",$I85+'Settings'!$B$8&lt;TODAY(),$AA85&lt;$R85),"Delivery Overdue",IF(AND($AG85&lt;&gt;"",OR(ABS($AH85)&gt;'Settings'!$B$9,ABS($AI85)&gt;'Settings'!$B$10)),"Invoice Variance",IF(AND($N85="Open",$AM85&gt;'Settings'!$B$11),"Aging Open PO",""))))))),"")</f>
        <v/>
      </c>
      <c r="AO85" s="25" t="n"/>
      <c r="AP85" s="24">
        <f>IFERROR(IF(AND($AN85&lt;&gt;"",$N85&lt;&gt;"Closed",$N85&lt;&gt;"Canceled",OR('Dashboard'!$B$4="All",$B85='Dashboard'!$B$4),OR('Dashboard'!$D$4="All",$C85='Dashboard'!$D$4)),COUNTIFS($AN$6:$AN85,"&lt;&gt;",$N$6:$N85,"&lt;&gt;Closed",$N$6:$N85,"&lt;&gt;Canceled",$B$6:$B85,IF('Dashboard'!$B$4="All","&lt;&gt;",'Dashboard'!$B$4),$C$6:$C85,IF('Dashboard'!$D$4="All","&lt;&gt;",'Dashboard'!$D$4)),""),"")</f>
        <v/>
      </c>
    </row>
    <row r="86">
      <c r="A86" s="23" t="n"/>
      <c r="B86" s="23" t="n"/>
      <c r="C86" s="23" t="n"/>
      <c r="D86" s="23" t="n"/>
      <c r="E86" s="23" t="n"/>
      <c r="F86" s="24">
        <f>IFERROR(IF($E86="","",VLOOKUP($E86,'Settings'!$G$16:$M$115,2,0)),"")</f>
        <v/>
      </c>
      <c r="G86" s="25" t="n"/>
      <c r="H86" s="51" t="n"/>
      <c r="I86" s="51" t="n"/>
      <c r="J86" s="23" t="n"/>
      <c r="K86" s="23" t="n"/>
      <c r="L86" s="51" t="n"/>
      <c r="M86" s="27">
        <f>IFERROR(IF($A86="","",IF($J86="Approved",MAX(0,$L86-$H86),"")),"")</f>
        <v/>
      </c>
      <c r="N86" s="23" t="n"/>
      <c r="O86" s="51" t="n"/>
      <c r="P86" s="23" t="n"/>
      <c r="Q86" s="25" t="n"/>
      <c r="R86" s="28" t="n"/>
      <c r="S86" s="52" t="n"/>
      <c r="T86" s="52" t="n"/>
      <c r="U86" s="23" t="n"/>
      <c r="V86" s="30" t="n"/>
      <c r="W86" s="52" t="n"/>
      <c r="X86" s="53">
        <f>IFERROR(IF($A86="","",MAX(0,$R86*$S86-$T86)),"")</f>
        <v/>
      </c>
      <c r="Y86" s="53">
        <f>IFERROR(IF($A86="","",IF($U86="Yes",$X86*$V86,0)),"")</f>
        <v/>
      </c>
      <c r="Z86" s="53">
        <f>IFERROR(IF($A86="","",$X86+$Y86+$W86),"")</f>
        <v/>
      </c>
      <c r="AA86" s="28" t="n"/>
      <c r="AB86" s="51" t="n"/>
      <c r="AC86" s="24">
        <f>IFERROR(IF($A86="","",IF($N86="Canceled","Canceled",IF($AA86=0,"Not Received",IF($AA86&lt;$R86,"Partially Received",IF($AA86=$R86,"Fully Received","Over Received"))))),"")</f>
        <v/>
      </c>
      <c r="AD86" s="25" t="n"/>
      <c r="AE86" s="23" t="n"/>
      <c r="AF86" s="51" t="n"/>
      <c r="AG86" s="52" t="n"/>
      <c r="AH86" s="53">
        <f>IFERROR(IF($A86="","",IF($AG86="","",$AG86-$Z86)),"")</f>
        <v/>
      </c>
      <c r="AI86" s="32">
        <f>IFERROR(IF($A86="","",IF(OR($AG86="",$Z86=0),"",($AG86-$Z86)/$Z86)),"")</f>
        <v/>
      </c>
      <c r="AJ86" s="23" t="n"/>
      <c r="AK86" s="51" t="n"/>
      <c r="AL86" s="53">
        <f>IFERROR(IF($A86="","",IF(OR($N86="Canceled",$N86="Closed"),0,MAX($Z86-IF($AG86="",0,$AG86),0))),"")</f>
        <v/>
      </c>
      <c r="AM86" s="27">
        <f>IFERROR(IF($A86="","",IF(OR($N86="Closed",$N86="Canceled"),IF($O86="","",MAX(0,$O86-$H86)),MAX(0,TODAY()-$H86))),"")</f>
        <v/>
      </c>
      <c r="AN86" s="24">
        <f>IFERROR(IF($A86="","",IF($AA86&gt;$R86,"Over Received",IF(AND($J86="Approved",OR($K86="",$L86="")),"Approval Missing",IF(AND($J86="Pending",$AM86&gt;'Settings'!$B$7),"Approval Follow-Up",IF(AND($N86="Open",$I86&lt;&gt;"",$I86+'Settings'!$B$8&lt;TODAY(),$AA86&lt;$R86),"Delivery Overdue",IF(AND($AG86&lt;&gt;"",OR(ABS($AH86)&gt;'Settings'!$B$9,ABS($AI86)&gt;'Settings'!$B$10)),"Invoice Variance",IF(AND($N86="Open",$AM86&gt;'Settings'!$B$11),"Aging Open PO",""))))))),"")</f>
        <v/>
      </c>
      <c r="AO86" s="25" t="n"/>
      <c r="AP86" s="24">
        <f>IFERROR(IF(AND($AN86&lt;&gt;"",$N86&lt;&gt;"Closed",$N86&lt;&gt;"Canceled",OR('Dashboard'!$B$4="All",$B86='Dashboard'!$B$4),OR('Dashboard'!$D$4="All",$C86='Dashboard'!$D$4)),COUNTIFS($AN$6:$AN86,"&lt;&gt;",$N$6:$N86,"&lt;&gt;Closed",$N$6:$N86,"&lt;&gt;Canceled",$B$6:$B86,IF('Dashboard'!$B$4="All","&lt;&gt;",'Dashboard'!$B$4),$C$6:$C86,IF('Dashboard'!$D$4="All","&lt;&gt;",'Dashboard'!$D$4)),""),"")</f>
        <v/>
      </c>
    </row>
    <row r="87">
      <c r="A87" s="23" t="n"/>
      <c r="B87" s="23" t="n"/>
      <c r="C87" s="23" t="n"/>
      <c r="D87" s="23" t="n"/>
      <c r="E87" s="23" t="n"/>
      <c r="F87" s="24">
        <f>IFERROR(IF($E87="","",VLOOKUP($E87,'Settings'!$G$16:$M$115,2,0)),"")</f>
        <v/>
      </c>
      <c r="G87" s="25" t="n"/>
      <c r="H87" s="51" t="n"/>
      <c r="I87" s="51" t="n"/>
      <c r="J87" s="23" t="n"/>
      <c r="K87" s="23" t="n"/>
      <c r="L87" s="51" t="n"/>
      <c r="M87" s="27">
        <f>IFERROR(IF($A87="","",IF($J87="Approved",MAX(0,$L87-$H87),"")),"")</f>
        <v/>
      </c>
      <c r="N87" s="23" t="n"/>
      <c r="O87" s="51" t="n"/>
      <c r="P87" s="23" t="n"/>
      <c r="Q87" s="25" t="n"/>
      <c r="R87" s="28" t="n"/>
      <c r="S87" s="52" t="n"/>
      <c r="T87" s="52" t="n"/>
      <c r="U87" s="23" t="n"/>
      <c r="V87" s="30" t="n"/>
      <c r="W87" s="52" t="n"/>
      <c r="X87" s="53">
        <f>IFERROR(IF($A87="","",MAX(0,$R87*$S87-$T87)),"")</f>
        <v/>
      </c>
      <c r="Y87" s="53">
        <f>IFERROR(IF($A87="","",IF($U87="Yes",$X87*$V87,0)),"")</f>
        <v/>
      </c>
      <c r="Z87" s="53">
        <f>IFERROR(IF($A87="","",$X87+$Y87+$W87),"")</f>
        <v/>
      </c>
      <c r="AA87" s="28" t="n"/>
      <c r="AB87" s="51" t="n"/>
      <c r="AC87" s="24">
        <f>IFERROR(IF($A87="","",IF($N87="Canceled","Canceled",IF($AA87=0,"Not Received",IF($AA87&lt;$R87,"Partially Received",IF($AA87=$R87,"Fully Received","Over Received"))))),"")</f>
        <v/>
      </c>
      <c r="AD87" s="25" t="n"/>
      <c r="AE87" s="23" t="n"/>
      <c r="AF87" s="51" t="n"/>
      <c r="AG87" s="52" t="n"/>
      <c r="AH87" s="53">
        <f>IFERROR(IF($A87="","",IF($AG87="","",$AG87-$Z87)),"")</f>
        <v/>
      </c>
      <c r="AI87" s="32">
        <f>IFERROR(IF($A87="","",IF(OR($AG87="",$Z87=0),"",($AG87-$Z87)/$Z87)),"")</f>
        <v/>
      </c>
      <c r="AJ87" s="23" t="n"/>
      <c r="AK87" s="51" t="n"/>
      <c r="AL87" s="53">
        <f>IFERROR(IF($A87="","",IF(OR($N87="Canceled",$N87="Closed"),0,MAX($Z87-IF($AG87="",0,$AG87),0))),"")</f>
        <v/>
      </c>
      <c r="AM87" s="27">
        <f>IFERROR(IF($A87="","",IF(OR($N87="Closed",$N87="Canceled"),IF($O87="","",MAX(0,$O87-$H87)),MAX(0,TODAY()-$H87))),"")</f>
        <v/>
      </c>
      <c r="AN87" s="24">
        <f>IFERROR(IF($A87="","",IF($AA87&gt;$R87,"Over Received",IF(AND($J87="Approved",OR($K87="",$L87="")),"Approval Missing",IF(AND($J87="Pending",$AM87&gt;'Settings'!$B$7),"Approval Follow-Up",IF(AND($N87="Open",$I87&lt;&gt;"",$I87+'Settings'!$B$8&lt;TODAY(),$AA87&lt;$R87),"Delivery Overdue",IF(AND($AG87&lt;&gt;"",OR(ABS($AH87)&gt;'Settings'!$B$9,ABS($AI87)&gt;'Settings'!$B$10)),"Invoice Variance",IF(AND($N87="Open",$AM87&gt;'Settings'!$B$11),"Aging Open PO",""))))))),"")</f>
        <v/>
      </c>
      <c r="AO87" s="25" t="n"/>
      <c r="AP87" s="24">
        <f>IFERROR(IF(AND($AN87&lt;&gt;"",$N87&lt;&gt;"Closed",$N87&lt;&gt;"Canceled",OR('Dashboard'!$B$4="All",$B87='Dashboard'!$B$4),OR('Dashboard'!$D$4="All",$C87='Dashboard'!$D$4)),COUNTIFS($AN$6:$AN87,"&lt;&gt;",$N$6:$N87,"&lt;&gt;Closed",$N$6:$N87,"&lt;&gt;Canceled",$B$6:$B87,IF('Dashboard'!$B$4="All","&lt;&gt;",'Dashboard'!$B$4),$C$6:$C87,IF('Dashboard'!$D$4="All","&lt;&gt;",'Dashboard'!$D$4)),""),"")</f>
        <v/>
      </c>
    </row>
    <row r="88">
      <c r="A88" s="23" t="n"/>
      <c r="B88" s="23" t="n"/>
      <c r="C88" s="23" t="n"/>
      <c r="D88" s="23" t="n"/>
      <c r="E88" s="23" t="n"/>
      <c r="F88" s="24">
        <f>IFERROR(IF($E88="","",VLOOKUP($E88,'Settings'!$G$16:$M$115,2,0)),"")</f>
        <v/>
      </c>
      <c r="G88" s="25" t="n"/>
      <c r="H88" s="51" t="n"/>
      <c r="I88" s="51" t="n"/>
      <c r="J88" s="23" t="n"/>
      <c r="K88" s="23" t="n"/>
      <c r="L88" s="51" t="n"/>
      <c r="M88" s="27">
        <f>IFERROR(IF($A88="","",IF($J88="Approved",MAX(0,$L88-$H88),"")),"")</f>
        <v/>
      </c>
      <c r="N88" s="23" t="n"/>
      <c r="O88" s="51" t="n"/>
      <c r="P88" s="23" t="n"/>
      <c r="Q88" s="25" t="n"/>
      <c r="R88" s="28" t="n"/>
      <c r="S88" s="52" t="n"/>
      <c r="T88" s="52" t="n"/>
      <c r="U88" s="23" t="n"/>
      <c r="V88" s="30" t="n"/>
      <c r="W88" s="52" t="n"/>
      <c r="X88" s="53">
        <f>IFERROR(IF($A88="","",MAX(0,$R88*$S88-$T88)),"")</f>
        <v/>
      </c>
      <c r="Y88" s="53">
        <f>IFERROR(IF($A88="","",IF($U88="Yes",$X88*$V88,0)),"")</f>
        <v/>
      </c>
      <c r="Z88" s="53">
        <f>IFERROR(IF($A88="","",$X88+$Y88+$W88),"")</f>
        <v/>
      </c>
      <c r="AA88" s="28" t="n"/>
      <c r="AB88" s="51" t="n"/>
      <c r="AC88" s="24">
        <f>IFERROR(IF($A88="","",IF($N88="Canceled","Canceled",IF($AA88=0,"Not Received",IF($AA88&lt;$R88,"Partially Received",IF($AA88=$R88,"Fully Received","Over Received"))))),"")</f>
        <v/>
      </c>
      <c r="AD88" s="25" t="n"/>
      <c r="AE88" s="23" t="n"/>
      <c r="AF88" s="51" t="n"/>
      <c r="AG88" s="52" t="n"/>
      <c r="AH88" s="53">
        <f>IFERROR(IF($A88="","",IF($AG88="","",$AG88-$Z88)),"")</f>
        <v/>
      </c>
      <c r="AI88" s="32">
        <f>IFERROR(IF($A88="","",IF(OR($AG88="",$Z88=0),"",($AG88-$Z88)/$Z88)),"")</f>
        <v/>
      </c>
      <c r="AJ88" s="23" t="n"/>
      <c r="AK88" s="51" t="n"/>
      <c r="AL88" s="53">
        <f>IFERROR(IF($A88="","",IF(OR($N88="Canceled",$N88="Closed"),0,MAX($Z88-IF($AG88="",0,$AG88),0))),"")</f>
        <v/>
      </c>
      <c r="AM88" s="27">
        <f>IFERROR(IF($A88="","",IF(OR($N88="Closed",$N88="Canceled"),IF($O88="","",MAX(0,$O88-$H88)),MAX(0,TODAY()-$H88))),"")</f>
        <v/>
      </c>
      <c r="AN88" s="24">
        <f>IFERROR(IF($A88="","",IF($AA88&gt;$R88,"Over Received",IF(AND($J88="Approved",OR($K88="",$L88="")),"Approval Missing",IF(AND($J88="Pending",$AM88&gt;'Settings'!$B$7),"Approval Follow-Up",IF(AND($N88="Open",$I88&lt;&gt;"",$I88+'Settings'!$B$8&lt;TODAY(),$AA88&lt;$R88),"Delivery Overdue",IF(AND($AG88&lt;&gt;"",OR(ABS($AH88)&gt;'Settings'!$B$9,ABS($AI88)&gt;'Settings'!$B$10)),"Invoice Variance",IF(AND($N88="Open",$AM88&gt;'Settings'!$B$11),"Aging Open PO",""))))))),"")</f>
        <v/>
      </c>
      <c r="AO88" s="25" t="n"/>
      <c r="AP88" s="24">
        <f>IFERROR(IF(AND($AN88&lt;&gt;"",$N88&lt;&gt;"Closed",$N88&lt;&gt;"Canceled",OR('Dashboard'!$B$4="All",$B88='Dashboard'!$B$4),OR('Dashboard'!$D$4="All",$C88='Dashboard'!$D$4)),COUNTIFS($AN$6:$AN88,"&lt;&gt;",$N$6:$N88,"&lt;&gt;Closed",$N$6:$N88,"&lt;&gt;Canceled",$B$6:$B88,IF('Dashboard'!$B$4="All","&lt;&gt;",'Dashboard'!$B$4),$C$6:$C88,IF('Dashboard'!$D$4="All","&lt;&gt;",'Dashboard'!$D$4)),""),"")</f>
        <v/>
      </c>
    </row>
    <row r="89">
      <c r="A89" s="23" t="n"/>
      <c r="B89" s="23" t="n"/>
      <c r="C89" s="23" t="n"/>
      <c r="D89" s="23" t="n"/>
      <c r="E89" s="23" t="n"/>
      <c r="F89" s="24">
        <f>IFERROR(IF($E89="","",VLOOKUP($E89,'Settings'!$G$16:$M$115,2,0)),"")</f>
        <v/>
      </c>
      <c r="G89" s="25" t="n"/>
      <c r="H89" s="51" t="n"/>
      <c r="I89" s="51" t="n"/>
      <c r="J89" s="23" t="n"/>
      <c r="K89" s="23" t="n"/>
      <c r="L89" s="51" t="n"/>
      <c r="M89" s="27">
        <f>IFERROR(IF($A89="","",IF($J89="Approved",MAX(0,$L89-$H89),"")),"")</f>
        <v/>
      </c>
      <c r="N89" s="23" t="n"/>
      <c r="O89" s="51" t="n"/>
      <c r="P89" s="23" t="n"/>
      <c r="Q89" s="25" t="n"/>
      <c r="R89" s="28" t="n"/>
      <c r="S89" s="52" t="n"/>
      <c r="T89" s="52" t="n"/>
      <c r="U89" s="23" t="n"/>
      <c r="V89" s="30" t="n"/>
      <c r="W89" s="52" t="n"/>
      <c r="X89" s="53">
        <f>IFERROR(IF($A89="","",MAX(0,$R89*$S89-$T89)),"")</f>
        <v/>
      </c>
      <c r="Y89" s="53">
        <f>IFERROR(IF($A89="","",IF($U89="Yes",$X89*$V89,0)),"")</f>
        <v/>
      </c>
      <c r="Z89" s="53">
        <f>IFERROR(IF($A89="","",$X89+$Y89+$W89),"")</f>
        <v/>
      </c>
      <c r="AA89" s="28" t="n"/>
      <c r="AB89" s="51" t="n"/>
      <c r="AC89" s="24">
        <f>IFERROR(IF($A89="","",IF($N89="Canceled","Canceled",IF($AA89=0,"Not Received",IF($AA89&lt;$R89,"Partially Received",IF($AA89=$R89,"Fully Received","Over Received"))))),"")</f>
        <v/>
      </c>
      <c r="AD89" s="25" t="n"/>
      <c r="AE89" s="23" t="n"/>
      <c r="AF89" s="51" t="n"/>
      <c r="AG89" s="52" t="n"/>
      <c r="AH89" s="53">
        <f>IFERROR(IF($A89="","",IF($AG89="","",$AG89-$Z89)),"")</f>
        <v/>
      </c>
      <c r="AI89" s="32">
        <f>IFERROR(IF($A89="","",IF(OR($AG89="",$Z89=0),"",($AG89-$Z89)/$Z89)),"")</f>
        <v/>
      </c>
      <c r="AJ89" s="23" t="n"/>
      <c r="AK89" s="51" t="n"/>
      <c r="AL89" s="53">
        <f>IFERROR(IF($A89="","",IF(OR($N89="Canceled",$N89="Closed"),0,MAX($Z89-IF($AG89="",0,$AG89),0))),"")</f>
        <v/>
      </c>
      <c r="AM89" s="27">
        <f>IFERROR(IF($A89="","",IF(OR($N89="Closed",$N89="Canceled"),IF($O89="","",MAX(0,$O89-$H89)),MAX(0,TODAY()-$H89))),"")</f>
        <v/>
      </c>
      <c r="AN89" s="24">
        <f>IFERROR(IF($A89="","",IF($AA89&gt;$R89,"Over Received",IF(AND($J89="Approved",OR($K89="",$L89="")),"Approval Missing",IF(AND($J89="Pending",$AM89&gt;'Settings'!$B$7),"Approval Follow-Up",IF(AND($N89="Open",$I89&lt;&gt;"",$I89+'Settings'!$B$8&lt;TODAY(),$AA89&lt;$R89),"Delivery Overdue",IF(AND($AG89&lt;&gt;"",OR(ABS($AH89)&gt;'Settings'!$B$9,ABS($AI89)&gt;'Settings'!$B$10)),"Invoice Variance",IF(AND($N89="Open",$AM89&gt;'Settings'!$B$11),"Aging Open PO",""))))))),"")</f>
        <v/>
      </c>
      <c r="AO89" s="25" t="n"/>
      <c r="AP89" s="24">
        <f>IFERROR(IF(AND($AN89&lt;&gt;"",$N89&lt;&gt;"Closed",$N89&lt;&gt;"Canceled",OR('Dashboard'!$B$4="All",$B89='Dashboard'!$B$4),OR('Dashboard'!$D$4="All",$C89='Dashboard'!$D$4)),COUNTIFS($AN$6:$AN89,"&lt;&gt;",$N$6:$N89,"&lt;&gt;Closed",$N$6:$N89,"&lt;&gt;Canceled",$B$6:$B89,IF('Dashboard'!$B$4="All","&lt;&gt;",'Dashboard'!$B$4),$C$6:$C89,IF('Dashboard'!$D$4="All","&lt;&gt;",'Dashboard'!$D$4)),""),"")</f>
        <v/>
      </c>
    </row>
    <row r="90">
      <c r="A90" s="23" t="n"/>
      <c r="B90" s="23" t="n"/>
      <c r="C90" s="23" t="n"/>
      <c r="D90" s="23" t="n"/>
      <c r="E90" s="23" t="n"/>
      <c r="F90" s="24">
        <f>IFERROR(IF($E90="","",VLOOKUP($E90,'Settings'!$G$16:$M$115,2,0)),"")</f>
        <v/>
      </c>
      <c r="G90" s="25" t="n"/>
      <c r="H90" s="51" t="n"/>
      <c r="I90" s="51" t="n"/>
      <c r="J90" s="23" t="n"/>
      <c r="K90" s="23" t="n"/>
      <c r="L90" s="51" t="n"/>
      <c r="M90" s="27">
        <f>IFERROR(IF($A90="","",IF($J90="Approved",MAX(0,$L90-$H90),"")),"")</f>
        <v/>
      </c>
      <c r="N90" s="23" t="n"/>
      <c r="O90" s="51" t="n"/>
      <c r="P90" s="23" t="n"/>
      <c r="Q90" s="25" t="n"/>
      <c r="R90" s="28" t="n"/>
      <c r="S90" s="52" t="n"/>
      <c r="T90" s="52" t="n"/>
      <c r="U90" s="23" t="n"/>
      <c r="V90" s="30" t="n"/>
      <c r="W90" s="52" t="n"/>
      <c r="X90" s="53">
        <f>IFERROR(IF($A90="","",MAX(0,$R90*$S90-$T90)),"")</f>
        <v/>
      </c>
      <c r="Y90" s="53">
        <f>IFERROR(IF($A90="","",IF($U90="Yes",$X90*$V90,0)),"")</f>
        <v/>
      </c>
      <c r="Z90" s="53">
        <f>IFERROR(IF($A90="","",$X90+$Y90+$W90),"")</f>
        <v/>
      </c>
      <c r="AA90" s="28" t="n"/>
      <c r="AB90" s="51" t="n"/>
      <c r="AC90" s="24">
        <f>IFERROR(IF($A90="","",IF($N90="Canceled","Canceled",IF($AA90=0,"Not Received",IF($AA90&lt;$R90,"Partially Received",IF($AA90=$R90,"Fully Received","Over Received"))))),"")</f>
        <v/>
      </c>
      <c r="AD90" s="25" t="n"/>
      <c r="AE90" s="23" t="n"/>
      <c r="AF90" s="51" t="n"/>
      <c r="AG90" s="52" t="n"/>
      <c r="AH90" s="53">
        <f>IFERROR(IF($A90="","",IF($AG90="","",$AG90-$Z90)),"")</f>
        <v/>
      </c>
      <c r="AI90" s="32">
        <f>IFERROR(IF($A90="","",IF(OR($AG90="",$Z90=0),"",($AG90-$Z90)/$Z90)),"")</f>
        <v/>
      </c>
      <c r="AJ90" s="23" t="n"/>
      <c r="AK90" s="51" t="n"/>
      <c r="AL90" s="53">
        <f>IFERROR(IF($A90="","",IF(OR($N90="Canceled",$N90="Closed"),0,MAX($Z90-IF($AG90="",0,$AG90),0))),"")</f>
        <v/>
      </c>
      <c r="AM90" s="27">
        <f>IFERROR(IF($A90="","",IF(OR($N90="Closed",$N90="Canceled"),IF($O90="","",MAX(0,$O90-$H90)),MAX(0,TODAY()-$H90))),"")</f>
        <v/>
      </c>
      <c r="AN90" s="24">
        <f>IFERROR(IF($A90="","",IF($AA90&gt;$R90,"Over Received",IF(AND($J90="Approved",OR($K90="",$L90="")),"Approval Missing",IF(AND($J90="Pending",$AM90&gt;'Settings'!$B$7),"Approval Follow-Up",IF(AND($N90="Open",$I90&lt;&gt;"",$I90+'Settings'!$B$8&lt;TODAY(),$AA90&lt;$R90),"Delivery Overdue",IF(AND($AG90&lt;&gt;"",OR(ABS($AH90)&gt;'Settings'!$B$9,ABS($AI90)&gt;'Settings'!$B$10)),"Invoice Variance",IF(AND($N90="Open",$AM90&gt;'Settings'!$B$11),"Aging Open PO",""))))))),"")</f>
        <v/>
      </c>
      <c r="AO90" s="25" t="n"/>
      <c r="AP90" s="24">
        <f>IFERROR(IF(AND($AN90&lt;&gt;"",$N90&lt;&gt;"Closed",$N90&lt;&gt;"Canceled",OR('Dashboard'!$B$4="All",$B90='Dashboard'!$B$4),OR('Dashboard'!$D$4="All",$C90='Dashboard'!$D$4)),COUNTIFS($AN$6:$AN90,"&lt;&gt;",$N$6:$N90,"&lt;&gt;Closed",$N$6:$N90,"&lt;&gt;Canceled",$B$6:$B90,IF('Dashboard'!$B$4="All","&lt;&gt;",'Dashboard'!$B$4),$C$6:$C90,IF('Dashboard'!$D$4="All","&lt;&gt;",'Dashboard'!$D$4)),""),"")</f>
        <v/>
      </c>
    </row>
    <row r="91">
      <c r="A91" s="23" t="n"/>
      <c r="B91" s="23" t="n"/>
      <c r="C91" s="23" t="n"/>
      <c r="D91" s="23" t="n"/>
      <c r="E91" s="23" t="n"/>
      <c r="F91" s="24">
        <f>IFERROR(IF($E91="","",VLOOKUP($E91,'Settings'!$G$16:$M$115,2,0)),"")</f>
        <v/>
      </c>
      <c r="G91" s="25" t="n"/>
      <c r="H91" s="51" t="n"/>
      <c r="I91" s="51" t="n"/>
      <c r="J91" s="23" t="n"/>
      <c r="K91" s="23" t="n"/>
      <c r="L91" s="51" t="n"/>
      <c r="M91" s="27">
        <f>IFERROR(IF($A91="","",IF($J91="Approved",MAX(0,$L91-$H91),"")),"")</f>
        <v/>
      </c>
      <c r="N91" s="23" t="n"/>
      <c r="O91" s="51" t="n"/>
      <c r="P91" s="23" t="n"/>
      <c r="Q91" s="25" t="n"/>
      <c r="R91" s="28" t="n"/>
      <c r="S91" s="52" t="n"/>
      <c r="T91" s="52" t="n"/>
      <c r="U91" s="23" t="n"/>
      <c r="V91" s="30" t="n"/>
      <c r="W91" s="52" t="n"/>
      <c r="X91" s="53">
        <f>IFERROR(IF($A91="","",MAX(0,$R91*$S91-$T91)),"")</f>
        <v/>
      </c>
      <c r="Y91" s="53">
        <f>IFERROR(IF($A91="","",IF($U91="Yes",$X91*$V91,0)),"")</f>
        <v/>
      </c>
      <c r="Z91" s="53">
        <f>IFERROR(IF($A91="","",$X91+$Y91+$W91),"")</f>
        <v/>
      </c>
      <c r="AA91" s="28" t="n"/>
      <c r="AB91" s="51" t="n"/>
      <c r="AC91" s="24">
        <f>IFERROR(IF($A91="","",IF($N91="Canceled","Canceled",IF($AA91=0,"Not Received",IF($AA91&lt;$R91,"Partially Received",IF($AA91=$R91,"Fully Received","Over Received"))))),"")</f>
        <v/>
      </c>
      <c r="AD91" s="25" t="n"/>
      <c r="AE91" s="23" t="n"/>
      <c r="AF91" s="51" t="n"/>
      <c r="AG91" s="52" t="n"/>
      <c r="AH91" s="53">
        <f>IFERROR(IF($A91="","",IF($AG91="","",$AG91-$Z91)),"")</f>
        <v/>
      </c>
      <c r="AI91" s="32">
        <f>IFERROR(IF($A91="","",IF(OR($AG91="",$Z91=0),"",($AG91-$Z91)/$Z91)),"")</f>
        <v/>
      </c>
      <c r="AJ91" s="23" t="n"/>
      <c r="AK91" s="51" t="n"/>
      <c r="AL91" s="53">
        <f>IFERROR(IF($A91="","",IF(OR($N91="Canceled",$N91="Closed"),0,MAX($Z91-IF($AG91="",0,$AG91),0))),"")</f>
        <v/>
      </c>
      <c r="AM91" s="27">
        <f>IFERROR(IF($A91="","",IF(OR($N91="Closed",$N91="Canceled"),IF($O91="","",MAX(0,$O91-$H91)),MAX(0,TODAY()-$H91))),"")</f>
        <v/>
      </c>
      <c r="AN91" s="24">
        <f>IFERROR(IF($A91="","",IF($AA91&gt;$R91,"Over Received",IF(AND($J91="Approved",OR($K91="",$L91="")),"Approval Missing",IF(AND($J91="Pending",$AM91&gt;'Settings'!$B$7),"Approval Follow-Up",IF(AND($N91="Open",$I91&lt;&gt;"",$I91+'Settings'!$B$8&lt;TODAY(),$AA91&lt;$R91),"Delivery Overdue",IF(AND($AG91&lt;&gt;"",OR(ABS($AH91)&gt;'Settings'!$B$9,ABS($AI91)&gt;'Settings'!$B$10)),"Invoice Variance",IF(AND($N91="Open",$AM91&gt;'Settings'!$B$11),"Aging Open PO",""))))))),"")</f>
        <v/>
      </c>
      <c r="AO91" s="25" t="n"/>
      <c r="AP91" s="24">
        <f>IFERROR(IF(AND($AN91&lt;&gt;"",$N91&lt;&gt;"Closed",$N91&lt;&gt;"Canceled",OR('Dashboard'!$B$4="All",$B91='Dashboard'!$B$4),OR('Dashboard'!$D$4="All",$C91='Dashboard'!$D$4)),COUNTIFS($AN$6:$AN91,"&lt;&gt;",$N$6:$N91,"&lt;&gt;Closed",$N$6:$N91,"&lt;&gt;Canceled",$B$6:$B91,IF('Dashboard'!$B$4="All","&lt;&gt;",'Dashboard'!$B$4),$C$6:$C91,IF('Dashboard'!$D$4="All","&lt;&gt;",'Dashboard'!$D$4)),""),"")</f>
        <v/>
      </c>
    </row>
    <row r="92">
      <c r="A92" s="23" t="n"/>
      <c r="B92" s="23" t="n"/>
      <c r="C92" s="23" t="n"/>
      <c r="D92" s="23" t="n"/>
      <c r="E92" s="23" t="n"/>
      <c r="F92" s="24">
        <f>IFERROR(IF($E92="","",VLOOKUP($E92,'Settings'!$G$16:$M$115,2,0)),"")</f>
        <v/>
      </c>
      <c r="G92" s="25" t="n"/>
      <c r="H92" s="51" t="n"/>
      <c r="I92" s="51" t="n"/>
      <c r="J92" s="23" t="n"/>
      <c r="K92" s="23" t="n"/>
      <c r="L92" s="51" t="n"/>
      <c r="M92" s="27">
        <f>IFERROR(IF($A92="","",IF($J92="Approved",MAX(0,$L92-$H92),"")),"")</f>
        <v/>
      </c>
      <c r="N92" s="23" t="n"/>
      <c r="O92" s="51" t="n"/>
      <c r="P92" s="23" t="n"/>
      <c r="Q92" s="25" t="n"/>
      <c r="R92" s="28" t="n"/>
      <c r="S92" s="52" t="n"/>
      <c r="T92" s="52" t="n"/>
      <c r="U92" s="23" t="n"/>
      <c r="V92" s="30" t="n"/>
      <c r="W92" s="52" t="n"/>
      <c r="X92" s="53">
        <f>IFERROR(IF($A92="","",MAX(0,$R92*$S92-$T92)),"")</f>
        <v/>
      </c>
      <c r="Y92" s="53">
        <f>IFERROR(IF($A92="","",IF($U92="Yes",$X92*$V92,0)),"")</f>
        <v/>
      </c>
      <c r="Z92" s="53">
        <f>IFERROR(IF($A92="","",$X92+$Y92+$W92),"")</f>
        <v/>
      </c>
      <c r="AA92" s="28" t="n"/>
      <c r="AB92" s="51" t="n"/>
      <c r="AC92" s="24">
        <f>IFERROR(IF($A92="","",IF($N92="Canceled","Canceled",IF($AA92=0,"Not Received",IF($AA92&lt;$R92,"Partially Received",IF($AA92=$R92,"Fully Received","Over Received"))))),"")</f>
        <v/>
      </c>
      <c r="AD92" s="25" t="n"/>
      <c r="AE92" s="23" t="n"/>
      <c r="AF92" s="51" t="n"/>
      <c r="AG92" s="52" t="n"/>
      <c r="AH92" s="53">
        <f>IFERROR(IF($A92="","",IF($AG92="","",$AG92-$Z92)),"")</f>
        <v/>
      </c>
      <c r="AI92" s="32">
        <f>IFERROR(IF($A92="","",IF(OR($AG92="",$Z92=0),"",($AG92-$Z92)/$Z92)),"")</f>
        <v/>
      </c>
      <c r="AJ92" s="23" t="n"/>
      <c r="AK92" s="51" t="n"/>
      <c r="AL92" s="53">
        <f>IFERROR(IF($A92="","",IF(OR($N92="Canceled",$N92="Closed"),0,MAX($Z92-IF($AG92="",0,$AG92),0))),"")</f>
        <v/>
      </c>
      <c r="AM92" s="27">
        <f>IFERROR(IF($A92="","",IF(OR($N92="Closed",$N92="Canceled"),IF($O92="","",MAX(0,$O92-$H92)),MAX(0,TODAY()-$H92))),"")</f>
        <v/>
      </c>
      <c r="AN92" s="24">
        <f>IFERROR(IF($A92="","",IF($AA92&gt;$R92,"Over Received",IF(AND($J92="Approved",OR($K92="",$L92="")),"Approval Missing",IF(AND($J92="Pending",$AM92&gt;'Settings'!$B$7),"Approval Follow-Up",IF(AND($N92="Open",$I92&lt;&gt;"",$I92+'Settings'!$B$8&lt;TODAY(),$AA92&lt;$R92),"Delivery Overdue",IF(AND($AG92&lt;&gt;"",OR(ABS($AH92)&gt;'Settings'!$B$9,ABS($AI92)&gt;'Settings'!$B$10)),"Invoice Variance",IF(AND($N92="Open",$AM92&gt;'Settings'!$B$11),"Aging Open PO",""))))))),"")</f>
        <v/>
      </c>
      <c r="AO92" s="25" t="n"/>
      <c r="AP92" s="24">
        <f>IFERROR(IF(AND($AN92&lt;&gt;"",$N92&lt;&gt;"Closed",$N92&lt;&gt;"Canceled",OR('Dashboard'!$B$4="All",$B92='Dashboard'!$B$4),OR('Dashboard'!$D$4="All",$C92='Dashboard'!$D$4)),COUNTIFS($AN$6:$AN92,"&lt;&gt;",$N$6:$N92,"&lt;&gt;Closed",$N$6:$N92,"&lt;&gt;Canceled",$B$6:$B92,IF('Dashboard'!$B$4="All","&lt;&gt;",'Dashboard'!$B$4),$C$6:$C92,IF('Dashboard'!$D$4="All","&lt;&gt;",'Dashboard'!$D$4)),""),"")</f>
        <v/>
      </c>
    </row>
    <row r="93">
      <c r="A93" s="23" t="n"/>
      <c r="B93" s="23" t="n"/>
      <c r="C93" s="23" t="n"/>
      <c r="D93" s="23" t="n"/>
      <c r="E93" s="23" t="n"/>
      <c r="F93" s="24">
        <f>IFERROR(IF($E93="","",VLOOKUP($E93,'Settings'!$G$16:$M$115,2,0)),"")</f>
        <v/>
      </c>
      <c r="G93" s="25" t="n"/>
      <c r="H93" s="51" t="n"/>
      <c r="I93" s="51" t="n"/>
      <c r="J93" s="23" t="n"/>
      <c r="K93" s="23" t="n"/>
      <c r="L93" s="51" t="n"/>
      <c r="M93" s="27">
        <f>IFERROR(IF($A93="","",IF($J93="Approved",MAX(0,$L93-$H93),"")),"")</f>
        <v/>
      </c>
      <c r="N93" s="23" t="n"/>
      <c r="O93" s="51" t="n"/>
      <c r="P93" s="23" t="n"/>
      <c r="Q93" s="25" t="n"/>
      <c r="R93" s="28" t="n"/>
      <c r="S93" s="52" t="n"/>
      <c r="T93" s="52" t="n"/>
      <c r="U93" s="23" t="n"/>
      <c r="V93" s="30" t="n"/>
      <c r="W93" s="52" t="n"/>
      <c r="X93" s="53">
        <f>IFERROR(IF($A93="","",MAX(0,$R93*$S93-$T93)),"")</f>
        <v/>
      </c>
      <c r="Y93" s="53">
        <f>IFERROR(IF($A93="","",IF($U93="Yes",$X93*$V93,0)),"")</f>
        <v/>
      </c>
      <c r="Z93" s="53">
        <f>IFERROR(IF($A93="","",$X93+$Y93+$W93),"")</f>
        <v/>
      </c>
      <c r="AA93" s="28" t="n"/>
      <c r="AB93" s="51" t="n"/>
      <c r="AC93" s="24">
        <f>IFERROR(IF($A93="","",IF($N93="Canceled","Canceled",IF($AA93=0,"Not Received",IF($AA93&lt;$R93,"Partially Received",IF($AA93=$R93,"Fully Received","Over Received"))))),"")</f>
        <v/>
      </c>
      <c r="AD93" s="25" t="n"/>
      <c r="AE93" s="23" t="n"/>
      <c r="AF93" s="51" t="n"/>
      <c r="AG93" s="52" t="n"/>
      <c r="AH93" s="53">
        <f>IFERROR(IF($A93="","",IF($AG93="","",$AG93-$Z93)),"")</f>
        <v/>
      </c>
      <c r="AI93" s="32">
        <f>IFERROR(IF($A93="","",IF(OR($AG93="",$Z93=0),"",($AG93-$Z93)/$Z93)),"")</f>
        <v/>
      </c>
      <c r="AJ93" s="23" t="n"/>
      <c r="AK93" s="51" t="n"/>
      <c r="AL93" s="53">
        <f>IFERROR(IF($A93="","",IF(OR($N93="Canceled",$N93="Closed"),0,MAX($Z93-IF($AG93="",0,$AG93),0))),"")</f>
        <v/>
      </c>
      <c r="AM93" s="27">
        <f>IFERROR(IF($A93="","",IF(OR($N93="Closed",$N93="Canceled"),IF($O93="","",MAX(0,$O93-$H93)),MAX(0,TODAY()-$H93))),"")</f>
        <v/>
      </c>
      <c r="AN93" s="24">
        <f>IFERROR(IF($A93="","",IF($AA93&gt;$R93,"Over Received",IF(AND($J93="Approved",OR($K93="",$L93="")),"Approval Missing",IF(AND($J93="Pending",$AM93&gt;'Settings'!$B$7),"Approval Follow-Up",IF(AND($N93="Open",$I93&lt;&gt;"",$I93+'Settings'!$B$8&lt;TODAY(),$AA93&lt;$R93),"Delivery Overdue",IF(AND($AG93&lt;&gt;"",OR(ABS($AH93)&gt;'Settings'!$B$9,ABS($AI93)&gt;'Settings'!$B$10)),"Invoice Variance",IF(AND($N93="Open",$AM93&gt;'Settings'!$B$11),"Aging Open PO",""))))))),"")</f>
        <v/>
      </c>
      <c r="AO93" s="25" t="n"/>
      <c r="AP93" s="24">
        <f>IFERROR(IF(AND($AN93&lt;&gt;"",$N93&lt;&gt;"Closed",$N93&lt;&gt;"Canceled",OR('Dashboard'!$B$4="All",$B93='Dashboard'!$B$4),OR('Dashboard'!$D$4="All",$C93='Dashboard'!$D$4)),COUNTIFS($AN$6:$AN93,"&lt;&gt;",$N$6:$N93,"&lt;&gt;Closed",$N$6:$N93,"&lt;&gt;Canceled",$B$6:$B93,IF('Dashboard'!$B$4="All","&lt;&gt;",'Dashboard'!$B$4),$C$6:$C93,IF('Dashboard'!$D$4="All","&lt;&gt;",'Dashboard'!$D$4)),""),"")</f>
        <v/>
      </c>
    </row>
    <row r="94">
      <c r="A94" s="23" t="n"/>
      <c r="B94" s="23" t="n"/>
      <c r="C94" s="23" t="n"/>
      <c r="D94" s="23" t="n"/>
      <c r="E94" s="23" t="n"/>
      <c r="F94" s="24">
        <f>IFERROR(IF($E94="","",VLOOKUP($E94,'Settings'!$G$16:$M$115,2,0)),"")</f>
        <v/>
      </c>
      <c r="G94" s="25" t="n"/>
      <c r="H94" s="51" t="n"/>
      <c r="I94" s="51" t="n"/>
      <c r="J94" s="23" t="n"/>
      <c r="K94" s="23" t="n"/>
      <c r="L94" s="51" t="n"/>
      <c r="M94" s="27">
        <f>IFERROR(IF($A94="","",IF($J94="Approved",MAX(0,$L94-$H94),"")),"")</f>
        <v/>
      </c>
      <c r="N94" s="23" t="n"/>
      <c r="O94" s="51" t="n"/>
      <c r="P94" s="23" t="n"/>
      <c r="Q94" s="25" t="n"/>
      <c r="R94" s="28" t="n"/>
      <c r="S94" s="52" t="n"/>
      <c r="T94" s="52" t="n"/>
      <c r="U94" s="23" t="n"/>
      <c r="V94" s="30" t="n"/>
      <c r="W94" s="52" t="n"/>
      <c r="X94" s="53">
        <f>IFERROR(IF($A94="","",MAX(0,$R94*$S94-$T94)),"")</f>
        <v/>
      </c>
      <c r="Y94" s="53">
        <f>IFERROR(IF($A94="","",IF($U94="Yes",$X94*$V94,0)),"")</f>
        <v/>
      </c>
      <c r="Z94" s="53">
        <f>IFERROR(IF($A94="","",$X94+$Y94+$W94),"")</f>
        <v/>
      </c>
      <c r="AA94" s="28" t="n"/>
      <c r="AB94" s="51" t="n"/>
      <c r="AC94" s="24">
        <f>IFERROR(IF($A94="","",IF($N94="Canceled","Canceled",IF($AA94=0,"Not Received",IF($AA94&lt;$R94,"Partially Received",IF($AA94=$R94,"Fully Received","Over Received"))))),"")</f>
        <v/>
      </c>
      <c r="AD94" s="25" t="n"/>
      <c r="AE94" s="23" t="n"/>
      <c r="AF94" s="51" t="n"/>
      <c r="AG94" s="52" t="n"/>
      <c r="AH94" s="53">
        <f>IFERROR(IF($A94="","",IF($AG94="","",$AG94-$Z94)),"")</f>
        <v/>
      </c>
      <c r="AI94" s="32">
        <f>IFERROR(IF($A94="","",IF(OR($AG94="",$Z94=0),"",($AG94-$Z94)/$Z94)),"")</f>
        <v/>
      </c>
      <c r="AJ94" s="23" t="n"/>
      <c r="AK94" s="51" t="n"/>
      <c r="AL94" s="53">
        <f>IFERROR(IF($A94="","",IF(OR($N94="Canceled",$N94="Closed"),0,MAX($Z94-IF($AG94="",0,$AG94),0))),"")</f>
        <v/>
      </c>
      <c r="AM94" s="27">
        <f>IFERROR(IF($A94="","",IF(OR($N94="Closed",$N94="Canceled"),IF($O94="","",MAX(0,$O94-$H94)),MAX(0,TODAY()-$H94))),"")</f>
        <v/>
      </c>
      <c r="AN94" s="24">
        <f>IFERROR(IF($A94="","",IF($AA94&gt;$R94,"Over Received",IF(AND($J94="Approved",OR($K94="",$L94="")),"Approval Missing",IF(AND($J94="Pending",$AM94&gt;'Settings'!$B$7),"Approval Follow-Up",IF(AND($N94="Open",$I94&lt;&gt;"",$I94+'Settings'!$B$8&lt;TODAY(),$AA94&lt;$R94),"Delivery Overdue",IF(AND($AG94&lt;&gt;"",OR(ABS($AH94)&gt;'Settings'!$B$9,ABS($AI94)&gt;'Settings'!$B$10)),"Invoice Variance",IF(AND($N94="Open",$AM94&gt;'Settings'!$B$11),"Aging Open PO",""))))))),"")</f>
        <v/>
      </c>
      <c r="AO94" s="25" t="n"/>
      <c r="AP94" s="24">
        <f>IFERROR(IF(AND($AN94&lt;&gt;"",$N94&lt;&gt;"Closed",$N94&lt;&gt;"Canceled",OR('Dashboard'!$B$4="All",$B94='Dashboard'!$B$4),OR('Dashboard'!$D$4="All",$C94='Dashboard'!$D$4)),COUNTIFS($AN$6:$AN94,"&lt;&gt;",$N$6:$N94,"&lt;&gt;Closed",$N$6:$N94,"&lt;&gt;Canceled",$B$6:$B94,IF('Dashboard'!$B$4="All","&lt;&gt;",'Dashboard'!$B$4),$C$6:$C94,IF('Dashboard'!$D$4="All","&lt;&gt;",'Dashboard'!$D$4)),""),"")</f>
        <v/>
      </c>
    </row>
    <row r="95">
      <c r="A95" s="23" t="n"/>
      <c r="B95" s="23" t="n"/>
      <c r="C95" s="23" t="n"/>
      <c r="D95" s="23" t="n"/>
      <c r="E95" s="23" t="n"/>
      <c r="F95" s="24">
        <f>IFERROR(IF($E95="","",VLOOKUP($E95,'Settings'!$G$16:$M$115,2,0)),"")</f>
        <v/>
      </c>
      <c r="G95" s="25" t="n"/>
      <c r="H95" s="51" t="n"/>
      <c r="I95" s="51" t="n"/>
      <c r="J95" s="23" t="n"/>
      <c r="K95" s="23" t="n"/>
      <c r="L95" s="51" t="n"/>
      <c r="M95" s="27">
        <f>IFERROR(IF($A95="","",IF($J95="Approved",MAX(0,$L95-$H95),"")),"")</f>
        <v/>
      </c>
      <c r="N95" s="23" t="n"/>
      <c r="O95" s="51" t="n"/>
      <c r="P95" s="23" t="n"/>
      <c r="Q95" s="25" t="n"/>
      <c r="R95" s="28" t="n"/>
      <c r="S95" s="52" t="n"/>
      <c r="T95" s="52" t="n"/>
      <c r="U95" s="23" t="n"/>
      <c r="V95" s="30" t="n"/>
      <c r="W95" s="52" t="n"/>
      <c r="X95" s="53">
        <f>IFERROR(IF($A95="","",MAX(0,$R95*$S95-$T95)),"")</f>
        <v/>
      </c>
      <c r="Y95" s="53">
        <f>IFERROR(IF($A95="","",IF($U95="Yes",$X95*$V95,0)),"")</f>
        <v/>
      </c>
      <c r="Z95" s="53">
        <f>IFERROR(IF($A95="","",$X95+$Y95+$W95),"")</f>
        <v/>
      </c>
      <c r="AA95" s="28" t="n"/>
      <c r="AB95" s="51" t="n"/>
      <c r="AC95" s="24">
        <f>IFERROR(IF($A95="","",IF($N95="Canceled","Canceled",IF($AA95=0,"Not Received",IF($AA95&lt;$R95,"Partially Received",IF($AA95=$R95,"Fully Received","Over Received"))))),"")</f>
        <v/>
      </c>
      <c r="AD95" s="25" t="n"/>
      <c r="AE95" s="23" t="n"/>
      <c r="AF95" s="51" t="n"/>
      <c r="AG95" s="52" t="n"/>
      <c r="AH95" s="53">
        <f>IFERROR(IF($A95="","",IF($AG95="","",$AG95-$Z95)),"")</f>
        <v/>
      </c>
      <c r="AI95" s="32">
        <f>IFERROR(IF($A95="","",IF(OR($AG95="",$Z95=0),"",($AG95-$Z95)/$Z95)),"")</f>
        <v/>
      </c>
      <c r="AJ95" s="23" t="n"/>
      <c r="AK95" s="51" t="n"/>
      <c r="AL95" s="53">
        <f>IFERROR(IF($A95="","",IF(OR($N95="Canceled",$N95="Closed"),0,MAX($Z95-IF($AG95="",0,$AG95),0))),"")</f>
        <v/>
      </c>
      <c r="AM95" s="27">
        <f>IFERROR(IF($A95="","",IF(OR($N95="Closed",$N95="Canceled"),IF($O95="","",MAX(0,$O95-$H95)),MAX(0,TODAY()-$H95))),"")</f>
        <v/>
      </c>
      <c r="AN95" s="24">
        <f>IFERROR(IF($A95="","",IF($AA95&gt;$R95,"Over Received",IF(AND($J95="Approved",OR($K95="",$L95="")),"Approval Missing",IF(AND($J95="Pending",$AM95&gt;'Settings'!$B$7),"Approval Follow-Up",IF(AND($N95="Open",$I95&lt;&gt;"",$I95+'Settings'!$B$8&lt;TODAY(),$AA95&lt;$R95),"Delivery Overdue",IF(AND($AG95&lt;&gt;"",OR(ABS($AH95)&gt;'Settings'!$B$9,ABS($AI95)&gt;'Settings'!$B$10)),"Invoice Variance",IF(AND($N95="Open",$AM95&gt;'Settings'!$B$11),"Aging Open PO",""))))))),"")</f>
        <v/>
      </c>
      <c r="AO95" s="25" t="n"/>
      <c r="AP95" s="24">
        <f>IFERROR(IF(AND($AN95&lt;&gt;"",$N95&lt;&gt;"Closed",$N95&lt;&gt;"Canceled",OR('Dashboard'!$B$4="All",$B95='Dashboard'!$B$4),OR('Dashboard'!$D$4="All",$C95='Dashboard'!$D$4)),COUNTIFS($AN$6:$AN95,"&lt;&gt;",$N$6:$N95,"&lt;&gt;Closed",$N$6:$N95,"&lt;&gt;Canceled",$B$6:$B95,IF('Dashboard'!$B$4="All","&lt;&gt;",'Dashboard'!$B$4),$C$6:$C95,IF('Dashboard'!$D$4="All","&lt;&gt;",'Dashboard'!$D$4)),""),"")</f>
        <v/>
      </c>
    </row>
    <row r="96">
      <c r="A96" s="23" t="n"/>
      <c r="B96" s="23" t="n"/>
      <c r="C96" s="23" t="n"/>
      <c r="D96" s="23" t="n"/>
      <c r="E96" s="23" t="n"/>
      <c r="F96" s="24">
        <f>IFERROR(IF($E96="","",VLOOKUP($E96,'Settings'!$G$16:$M$115,2,0)),"")</f>
        <v/>
      </c>
      <c r="G96" s="25" t="n"/>
      <c r="H96" s="51" t="n"/>
      <c r="I96" s="51" t="n"/>
      <c r="J96" s="23" t="n"/>
      <c r="K96" s="23" t="n"/>
      <c r="L96" s="51" t="n"/>
      <c r="M96" s="27">
        <f>IFERROR(IF($A96="","",IF($J96="Approved",MAX(0,$L96-$H96),"")),"")</f>
        <v/>
      </c>
      <c r="N96" s="23" t="n"/>
      <c r="O96" s="51" t="n"/>
      <c r="P96" s="23" t="n"/>
      <c r="Q96" s="25" t="n"/>
      <c r="R96" s="28" t="n"/>
      <c r="S96" s="52" t="n"/>
      <c r="T96" s="52" t="n"/>
      <c r="U96" s="23" t="n"/>
      <c r="V96" s="30" t="n"/>
      <c r="W96" s="52" t="n"/>
      <c r="X96" s="53">
        <f>IFERROR(IF($A96="","",MAX(0,$R96*$S96-$T96)),"")</f>
        <v/>
      </c>
      <c r="Y96" s="53">
        <f>IFERROR(IF($A96="","",IF($U96="Yes",$X96*$V96,0)),"")</f>
        <v/>
      </c>
      <c r="Z96" s="53">
        <f>IFERROR(IF($A96="","",$X96+$Y96+$W96),"")</f>
        <v/>
      </c>
      <c r="AA96" s="28" t="n"/>
      <c r="AB96" s="51" t="n"/>
      <c r="AC96" s="24">
        <f>IFERROR(IF($A96="","",IF($N96="Canceled","Canceled",IF($AA96=0,"Not Received",IF($AA96&lt;$R96,"Partially Received",IF($AA96=$R96,"Fully Received","Over Received"))))),"")</f>
        <v/>
      </c>
      <c r="AD96" s="25" t="n"/>
      <c r="AE96" s="23" t="n"/>
      <c r="AF96" s="51" t="n"/>
      <c r="AG96" s="52" t="n"/>
      <c r="AH96" s="53">
        <f>IFERROR(IF($A96="","",IF($AG96="","",$AG96-$Z96)),"")</f>
        <v/>
      </c>
      <c r="AI96" s="32">
        <f>IFERROR(IF($A96="","",IF(OR($AG96="",$Z96=0),"",($AG96-$Z96)/$Z96)),"")</f>
        <v/>
      </c>
      <c r="AJ96" s="23" t="n"/>
      <c r="AK96" s="51" t="n"/>
      <c r="AL96" s="53">
        <f>IFERROR(IF($A96="","",IF(OR($N96="Canceled",$N96="Closed"),0,MAX($Z96-IF($AG96="",0,$AG96),0))),"")</f>
        <v/>
      </c>
      <c r="AM96" s="27">
        <f>IFERROR(IF($A96="","",IF(OR($N96="Closed",$N96="Canceled"),IF($O96="","",MAX(0,$O96-$H96)),MAX(0,TODAY()-$H96))),"")</f>
        <v/>
      </c>
      <c r="AN96" s="24">
        <f>IFERROR(IF($A96="","",IF($AA96&gt;$R96,"Over Received",IF(AND($J96="Approved",OR($K96="",$L96="")),"Approval Missing",IF(AND($J96="Pending",$AM96&gt;'Settings'!$B$7),"Approval Follow-Up",IF(AND($N96="Open",$I96&lt;&gt;"",$I96+'Settings'!$B$8&lt;TODAY(),$AA96&lt;$R96),"Delivery Overdue",IF(AND($AG96&lt;&gt;"",OR(ABS($AH96)&gt;'Settings'!$B$9,ABS($AI96)&gt;'Settings'!$B$10)),"Invoice Variance",IF(AND($N96="Open",$AM96&gt;'Settings'!$B$11),"Aging Open PO",""))))))),"")</f>
        <v/>
      </c>
      <c r="AO96" s="25" t="n"/>
      <c r="AP96" s="24">
        <f>IFERROR(IF(AND($AN96&lt;&gt;"",$N96&lt;&gt;"Closed",$N96&lt;&gt;"Canceled",OR('Dashboard'!$B$4="All",$B96='Dashboard'!$B$4),OR('Dashboard'!$D$4="All",$C96='Dashboard'!$D$4)),COUNTIFS($AN$6:$AN96,"&lt;&gt;",$N$6:$N96,"&lt;&gt;Closed",$N$6:$N96,"&lt;&gt;Canceled",$B$6:$B96,IF('Dashboard'!$B$4="All","&lt;&gt;",'Dashboard'!$B$4),$C$6:$C96,IF('Dashboard'!$D$4="All","&lt;&gt;",'Dashboard'!$D$4)),""),"")</f>
        <v/>
      </c>
    </row>
    <row r="97">
      <c r="A97" s="23" t="n"/>
      <c r="B97" s="23" t="n"/>
      <c r="C97" s="23" t="n"/>
      <c r="D97" s="23" t="n"/>
      <c r="E97" s="23" t="n"/>
      <c r="F97" s="24">
        <f>IFERROR(IF($E97="","",VLOOKUP($E97,'Settings'!$G$16:$M$115,2,0)),"")</f>
        <v/>
      </c>
      <c r="G97" s="25" t="n"/>
      <c r="H97" s="51" t="n"/>
      <c r="I97" s="51" t="n"/>
      <c r="J97" s="23" t="n"/>
      <c r="K97" s="23" t="n"/>
      <c r="L97" s="51" t="n"/>
      <c r="M97" s="27">
        <f>IFERROR(IF($A97="","",IF($J97="Approved",MAX(0,$L97-$H97),"")),"")</f>
        <v/>
      </c>
      <c r="N97" s="23" t="n"/>
      <c r="O97" s="51" t="n"/>
      <c r="P97" s="23" t="n"/>
      <c r="Q97" s="25" t="n"/>
      <c r="R97" s="28" t="n"/>
      <c r="S97" s="52" t="n"/>
      <c r="T97" s="52" t="n"/>
      <c r="U97" s="23" t="n"/>
      <c r="V97" s="30" t="n"/>
      <c r="W97" s="52" t="n"/>
      <c r="X97" s="53">
        <f>IFERROR(IF($A97="","",MAX(0,$R97*$S97-$T97)),"")</f>
        <v/>
      </c>
      <c r="Y97" s="53">
        <f>IFERROR(IF($A97="","",IF($U97="Yes",$X97*$V97,0)),"")</f>
        <v/>
      </c>
      <c r="Z97" s="53">
        <f>IFERROR(IF($A97="","",$X97+$Y97+$W97),"")</f>
        <v/>
      </c>
      <c r="AA97" s="28" t="n"/>
      <c r="AB97" s="51" t="n"/>
      <c r="AC97" s="24">
        <f>IFERROR(IF($A97="","",IF($N97="Canceled","Canceled",IF($AA97=0,"Not Received",IF($AA97&lt;$R97,"Partially Received",IF($AA97=$R97,"Fully Received","Over Received"))))),"")</f>
        <v/>
      </c>
      <c r="AD97" s="25" t="n"/>
      <c r="AE97" s="23" t="n"/>
      <c r="AF97" s="51" t="n"/>
      <c r="AG97" s="52" t="n"/>
      <c r="AH97" s="53">
        <f>IFERROR(IF($A97="","",IF($AG97="","",$AG97-$Z97)),"")</f>
        <v/>
      </c>
      <c r="AI97" s="32">
        <f>IFERROR(IF($A97="","",IF(OR($AG97="",$Z97=0),"",($AG97-$Z97)/$Z97)),"")</f>
        <v/>
      </c>
      <c r="AJ97" s="23" t="n"/>
      <c r="AK97" s="51" t="n"/>
      <c r="AL97" s="53">
        <f>IFERROR(IF($A97="","",IF(OR($N97="Canceled",$N97="Closed"),0,MAX($Z97-IF($AG97="",0,$AG97),0))),"")</f>
        <v/>
      </c>
      <c r="AM97" s="27">
        <f>IFERROR(IF($A97="","",IF(OR($N97="Closed",$N97="Canceled"),IF($O97="","",MAX(0,$O97-$H97)),MAX(0,TODAY()-$H97))),"")</f>
        <v/>
      </c>
      <c r="AN97" s="24">
        <f>IFERROR(IF($A97="","",IF($AA97&gt;$R97,"Over Received",IF(AND($J97="Approved",OR($K97="",$L97="")),"Approval Missing",IF(AND($J97="Pending",$AM97&gt;'Settings'!$B$7),"Approval Follow-Up",IF(AND($N97="Open",$I97&lt;&gt;"",$I97+'Settings'!$B$8&lt;TODAY(),$AA97&lt;$R97),"Delivery Overdue",IF(AND($AG97&lt;&gt;"",OR(ABS($AH97)&gt;'Settings'!$B$9,ABS($AI97)&gt;'Settings'!$B$10)),"Invoice Variance",IF(AND($N97="Open",$AM97&gt;'Settings'!$B$11),"Aging Open PO",""))))))),"")</f>
        <v/>
      </c>
      <c r="AO97" s="25" t="n"/>
      <c r="AP97" s="24">
        <f>IFERROR(IF(AND($AN97&lt;&gt;"",$N97&lt;&gt;"Closed",$N97&lt;&gt;"Canceled",OR('Dashboard'!$B$4="All",$B97='Dashboard'!$B$4),OR('Dashboard'!$D$4="All",$C97='Dashboard'!$D$4)),COUNTIFS($AN$6:$AN97,"&lt;&gt;",$N$6:$N97,"&lt;&gt;Closed",$N$6:$N97,"&lt;&gt;Canceled",$B$6:$B97,IF('Dashboard'!$B$4="All","&lt;&gt;",'Dashboard'!$B$4),$C$6:$C97,IF('Dashboard'!$D$4="All","&lt;&gt;",'Dashboard'!$D$4)),""),"")</f>
        <v/>
      </c>
    </row>
    <row r="98">
      <c r="A98" s="23" t="n"/>
      <c r="B98" s="23" t="n"/>
      <c r="C98" s="23" t="n"/>
      <c r="D98" s="23" t="n"/>
      <c r="E98" s="23" t="n"/>
      <c r="F98" s="24">
        <f>IFERROR(IF($E98="","",VLOOKUP($E98,'Settings'!$G$16:$M$115,2,0)),"")</f>
        <v/>
      </c>
      <c r="G98" s="25" t="n"/>
      <c r="H98" s="51" t="n"/>
      <c r="I98" s="51" t="n"/>
      <c r="J98" s="23" t="n"/>
      <c r="K98" s="23" t="n"/>
      <c r="L98" s="51" t="n"/>
      <c r="M98" s="27">
        <f>IFERROR(IF($A98="","",IF($J98="Approved",MAX(0,$L98-$H98),"")),"")</f>
        <v/>
      </c>
      <c r="N98" s="23" t="n"/>
      <c r="O98" s="51" t="n"/>
      <c r="P98" s="23" t="n"/>
      <c r="Q98" s="25" t="n"/>
      <c r="R98" s="28" t="n"/>
      <c r="S98" s="52" t="n"/>
      <c r="T98" s="52" t="n"/>
      <c r="U98" s="23" t="n"/>
      <c r="V98" s="30" t="n"/>
      <c r="W98" s="52" t="n"/>
      <c r="X98" s="53">
        <f>IFERROR(IF($A98="","",MAX(0,$R98*$S98-$T98)),"")</f>
        <v/>
      </c>
      <c r="Y98" s="53">
        <f>IFERROR(IF($A98="","",IF($U98="Yes",$X98*$V98,0)),"")</f>
        <v/>
      </c>
      <c r="Z98" s="53">
        <f>IFERROR(IF($A98="","",$X98+$Y98+$W98),"")</f>
        <v/>
      </c>
      <c r="AA98" s="28" t="n"/>
      <c r="AB98" s="51" t="n"/>
      <c r="AC98" s="24">
        <f>IFERROR(IF($A98="","",IF($N98="Canceled","Canceled",IF($AA98=0,"Not Received",IF($AA98&lt;$R98,"Partially Received",IF($AA98=$R98,"Fully Received","Over Received"))))),"")</f>
        <v/>
      </c>
      <c r="AD98" s="25" t="n"/>
      <c r="AE98" s="23" t="n"/>
      <c r="AF98" s="51" t="n"/>
      <c r="AG98" s="52" t="n"/>
      <c r="AH98" s="53">
        <f>IFERROR(IF($A98="","",IF($AG98="","",$AG98-$Z98)),"")</f>
        <v/>
      </c>
      <c r="AI98" s="32">
        <f>IFERROR(IF($A98="","",IF(OR($AG98="",$Z98=0),"",($AG98-$Z98)/$Z98)),"")</f>
        <v/>
      </c>
      <c r="AJ98" s="23" t="n"/>
      <c r="AK98" s="51" t="n"/>
      <c r="AL98" s="53">
        <f>IFERROR(IF($A98="","",IF(OR($N98="Canceled",$N98="Closed"),0,MAX($Z98-IF($AG98="",0,$AG98),0))),"")</f>
        <v/>
      </c>
      <c r="AM98" s="27">
        <f>IFERROR(IF($A98="","",IF(OR($N98="Closed",$N98="Canceled"),IF($O98="","",MAX(0,$O98-$H98)),MAX(0,TODAY()-$H98))),"")</f>
        <v/>
      </c>
      <c r="AN98" s="24">
        <f>IFERROR(IF($A98="","",IF($AA98&gt;$R98,"Over Received",IF(AND($J98="Approved",OR($K98="",$L98="")),"Approval Missing",IF(AND($J98="Pending",$AM98&gt;'Settings'!$B$7),"Approval Follow-Up",IF(AND($N98="Open",$I98&lt;&gt;"",$I98+'Settings'!$B$8&lt;TODAY(),$AA98&lt;$R98),"Delivery Overdue",IF(AND($AG98&lt;&gt;"",OR(ABS($AH98)&gt;'Settings'!$B$9,ABS($AI98)&gt;'Settings'!$B$10)),"Invoice Variance",IF(AND($N98="Open",$AM98&gt;'Settings'!$B$11),"Aging Open PO",""))))))),"")</f>
        <v/>
      </c>
      <c r="AO98" s="25" t="n"/>
      <c r="AP98" s="24">
        <f>IFERROR(IF(AND($AN98&lt;&gt;"",$N98&lt;&gt;"Closed",$N98&lt;&gt;"Canceled",OR('Dashboard'!$B$4="All",$B98='Dashboard'!$B$4),OR('Dashboard'!$D$4="All",$C98='Dashboard'!$D$4)),COUNTIFS($AN$6:$AN98,"&lt;&gt;",$N$6:$N98,"&lt;&gt;Closed",$N$6:$N98,"&lt;&gt;Canceled",$B$6:$B98,IF('Dashboard'!$B$4="All","&lt;&gt;",'Dashboard'!$B$4),$C$6:$C98,IF('Dashboard'!$D$4="All","&lt;&gt;",'Dashboard'!$D$4)),""),"")</f>
        <v/>
      </c>
    </row>
    <row r="99">
      <c r="A99" s="23" t="n"/>
      <c r="B99" s="23" t="n"/>
      <c r="C99" s="23" t="n"/>
      <c r="D99" s="23" t="n"/>
      <c r="E99" s="23" t="n"/>
      <c r="F99" s="24">
        <f>IFERROR(IF($E99="","",VLOOKUP($E99,'Settings'!$G$16:$M$115,2,0)),"")</f>
        <v/>
      </c>
      <c r="G99" s="25" t="n"/>
      <c r="H99" s="51" t="n"/>
      <c r="I99" s="51" t="n"/>
      <c r="J99" s="23" t="n"/>
      <c r="K99" s="23" t="n"/>
      <c r="L99" s="51" t="n"/>
      <c r="M99" s="27">
        <f>IFERROR(IF($A99="","",IF($J99="Approved",MAX(0,$L99-$H99),"")),"")</f>
        <v/>
      </c>
      <c r="N99" s="23" t="n"/>
      <c r="O99" s="51" t="n"/>
      <c r="P99" s="23" t="n"/>
      <c r="Q99" s="25" t="n"/>
      <c r="R99" s="28" t="n"/>
      <c r="S99" s="52" t="n"/>
      <c r="T99" s="52" t="n"/>
      <c r="U99" s="23" t="n"/>
      <c r="V99" s="30" t="n"/>
      <c r="W99" s="52" t="n"/>
      <c r="X99" s="53">
        <f>IFERROR(IF($A99="","",MAX(0,$R99*$S99-$T99)),"")</f>
        <v/>
      </c>
      <c r="Y99" s="53">
        <f>IFERROR(IF($A99="","",IF($U99="Yes",$X99*$V99,0)),"")</f>
        <v/>
      </c>
      <c r="Z99" s="53">
        <f>IFERROR(IF($A99="","",$X99+$Y99+$W99),"")</f>
        <v/>
      </c>
      <c r="AA99" s="28" t="n"/>
      <c r="AB99" s="51" t="n"/>
      <c r="AC99" s="24">
        <f>IFERROR(IF($A99="","",IF($N99="Canceled","Canceled",IF($AA99=0,"Not Received",IF($AA99&lt;$R99,"Partially Received",IF($AA99=$R99,"Fully Received","Over Received"))))),"")</f>
        <v/>
      </c>
      <c r="AD99" s="25" t="n"/>
      <c r="AE99" s="23" t="n"/>
      <c r="AF99" s="51" t="n"/>
      <c r="AG99" s="52" t="n"/>
      <c r="AH99" s="53">
        <f>IFERROR(IF($A99="","",IF($AG99="","",$AG99-$Z99)),"")</f>
        <v/>
      </c>
      <c r="AI99" s="32">
        <f>IFERROR(IF($A99="","",IF(OR($AG99="",$Z99=0),"",($AG99-$Z99)/$Z99)),"")</f>
        <v/>
      </c>
      <c r="AJ99" s="23" t="n"/>
      <c r="AK99" s="51" t="n"/>
      <c r="AL99" s="53">
        <f>IFERROR(IF($A99="","",IF(OR($N99="Canceled",$N99="Closed"),0,MAX($Z99-IF($AG99="",0,$AG99),0))),"")</f>
        <v/>
      </c>
      <c r="AM99" s="27">
        <f>IFERROR(IF($A99="","",IF(OR($N99="Closed",$N99="Canceled"),IF($O99="","",MAX(0,$O99-$H99)),MAX(0,TODAY()-$H99))),"")</f>
        <v/>
      </c>
      <c r="AN99" s="24">
        <f>IFERROR(IF($A99="","",IF($AA99&gt;$R99,"Over Received",IF(AND($J99="Approved",OR($K99="",$L99="")),"Approval Missing",IF(AND($J99="Pending",$AM99&gt;'Settings'!$B$7),"Approval Follow-Up",IF(AND($N99="Open",$I99&lt;&gt;"",$I99+'Settings'!$B$8&lt;TODAY(),$AA99&lt;$R99),"Delivery Overdue",IF(AND($AG99&lt;&gt;"",OR(ABS($AH99)&gt;'Settings'!$B$9,ABS($AI99)&gt;'Settings'!$B$10)),"Invoice Variance",IF(AND($N99="Open",$AM99&gt;'Settings'!$B$11),"Aging Open PO",""))))))),"")</f>
        <v/>
      </c>
      <c r="AO99" s="25" t="n"/>
      <c r="AP99" s="24">
        <f>IFERROR(IF(AND($AN99&lt;&gt;"",$N99&lt;&gt;"Closed",$N99&lt;&gt;"Canceled",OR('Dashboard'!$B$4="All",$B99='Dashboard'!$B$4),OR('Dashboard'!$D$4="All",$C99='Dashboard'!$D$4)),COUNTIFS($AN$6:$AN99,"&lt;&gt;",$N$6:$N99,"&lt;&gt;Closed",$N$6:$N99,"&lt;&gt;Canceled",$B$6:$B99,IF('Dashboard'!$B$4="All","&lt;&gt;",'Dashboard'!$B$4),$C$6:$C99,IF('Dashboard'!$D$4="All","&lt;&gt;",'Dashboard'!$D$4)),""),"")</f>
        <v/>
      </c>
    </row>
    <row r="100">
      <c r="A100" s="23" t="n"/>
      <c r="B100" s="23" t="n"/>
      <c r="C100" s="23" t="n"/>
      <c r="D100" s="23" t="n"/>
      <c r="E100" s="23" t="n"/>
      <c r="F100" s="24">
        <f>IFERROR(IF($E100="","",VLOOKUP($E100,'Settings'!$G$16:$M$115,2,0)),"")</f>
        <v/>
      </c>
      <c r="G100" s="25" t="n"/>
      <c r="H100" s="51" t="n"/>
      <c r="I100" s="51" t="n"/>
      <c r="J100" s="23" t="n"/>
      <c r="K100" s="23" t="n"/>
      <c r="L100" s="51" t="n"/>
      <c r="M100" s="27">
        <f>IFERROR(IF($A100="","",IF($J100="Approved",MAX(0,$L100-$H100),"")),"")</f>
        <v/>
      </c>
      <c r="N100" s="23" t="n"/>
      <c r="O100" s="51" t="n"/>
      <c r="P100" s="23" t="n"/>
      <c r="Q100" s="25" t="n"/>
      <c r="R100" s="28" t="n"/>
      <c r="S100" s="52" t="n"/>
      <c r="T100" s="52" t="n"/>
      <c r="U100" s="23" t="n"/>
      <c r="V100" s="30" t="n"/>
      <c r="W100" s="52" t="n"/>
      <c r="X100" s="53">
        <f>IFERROR(IF($A100="","",MAX(0,$R100*$S100-$T100)),"")</f>
        <v/>
      </c>
      <c r="Y100" s="53">
        <f>IFERROR(IF($A100="","",IF($U100="Yes",$X100*$V100,0)),"")</f>
        <v/>
      </c>
      <c r="Z100" s="53">
        <f>IFERROR(IF($A100="","",$X100+$Y100+$W100),"")</f>
        <v/>
      </c>
      <c r="AA100" s="28" t="n"/>
      <c r="AB100" s="51" t="n"/>
      <c r="AC100" s="24">
        <f>IFERROR(IF($A100="","",IF($N100="Canceled","Canceled",IF($AA100=0,"Not Received",IF($AA100&lt;$R100,"Partially Received",IF($AA100=$R100,"Fully Received","Over Received"))))),"")</f>
        <v/>
      </c>
      <c r="AD100" s="25" t="n"/>
      <c r="AE100" s="23" t="n"/>
      <c r="AF100" s="51" t="n"/>
      <c r="AG100" s="52" t="n"/>
      <c r="AH100" s="53">
        <f>IFERROR(IF($A100="","",IF($AG100="","",$AG100-$Z100)),"")</f>
        <v/>
      </c>
      <c r="AI100" s="32">
        <f>IFERROR(IF($A100="","",IF(OR($AG100="",$Z100=0),"",($AG100-$Z100)/$Z100)),"")</f>
        <v/>
      </c>
      <c r="AJ100" s="23" t="n"/>
      <c r="AK100" s="51" t="n"/>
      <c r="AL100" s="53">
        <f>IFERROR(IF($A100="","",IF(OR($N100="Canceled",$N100="Closed"),0,MAX($Z100-IF($AG100="",0,$AG100),0))),"")</f>
        <v/>
      </c>
      <c r="AM100" s="27">
        <f>IFERROR(IF($A100="","",IF(OR($N100="Closed",$N100="Canceled"),IF($O100="","",MAX(0,$O100-$H100)),MAX(0,TODAY()-$H100))),"")</f>
        <v/>
      </c>
      <c r="AN100" s="24">
        <f>IFERROR(IF($A100="","",IF($AA100&gt;$R100,"Over Received",IF(AND($J100="Approved",OR($K100="",$L100="")),"Approval Missing",IF(AND($J100="Pending",$AM100&gt;'Settings'!$B$7),"Approval Follow-Up",IF(AND($N100="Open",$I100&lt;&gt;"",$I100+'Settings'!$B$8&lt;TODAY(),$AA100&lt;$R100),"Delivery Overdue",IF(AND($AG100&lt;&gt;"",OR(ABS($AH100)&gt;'Settings'!$B$9,ABS($AI100)&gt;'Settings'!$B$10)),"Invoice Variance",IF(AND($N100="Open",$AM100&gt;'Settings'!$B$11),"Aging Open PO",""))))))),"")</f>
        <v/>
      </c>
      <c r="AO100" s="25" t="n"/>
      <c r="AP100" s="24">
        <f>IFERROR(IF(AND($AN100&lt;&gt;"",$N100&lt;&gt;"Closed",$N100&lt;&gt;"Canceled",OR('Dashboard'!$B$4="All",$B100='Dashboard'!$B$4),OR('Dashboard'!$D$4="All",$C100='Dashboard'!$D$4)),COUNTIFS($AN$6:$AN100,"&lt;&gt;",$N$6:$N100,"&lt;&gt;Closed",$N$6:$N100,"&lt;&gt;Canceled",$B$6:$B100,IF('Dashboard'!$B$4="All","&lt;&gt;",'Dashboard'!$B$4),$C$6:$C100,IF('Dashboard'!$D$4="All","&lt;&gt;",'Dashboard'!$D$4)),""),"")</f>
        <v/>
      </c>
    </row>
    <row r="101">
      <c r="A101" s="23" t="n"/>
      <c r="B101" s="23" t="n"/>
      <c r="C101" s="23" t="n"/>
      <c r="D101" s="23" t="n"/>
      <c r="E101" s="23" t="n"/>
      <c r="F101" s="24">
        <f>IFERROR(IF($E101="","",VLOOKUP($E101,'Settings'!$G$16:$M$115,2,0)),"")</f>
        <v/>
      </c>
      <c r="G101" s="25" t="n"/>
      <c r="H101" s="51" t="n"/>
      <c r="I101" s="51" t="n"/>
      <c r="J101" s="23" t="n"/>
      <c r="K101" s="23" t="n"/>
      <c r="L101" s="51" t="n"/>
      <c r="M101" s="27">
        <f>IFERROR(IF($A101="","",IF($J101="Approved",MAX(0,$L101-$H101),"")),"")</f>
        <v/>
      </c>
      <c r="N101" s="23" t="n"/>
      <c r="O101" s="51" t="n"/>
      <c r="P101" s="23" t="n"/>
      <c r="Q101" s="25" t="n"/>
      <c r="R101" s="28" t="n"/>
      <c r="S101" s="52" t="n"/>
      <c r="T101" s="52" t="n"/>
      <c r="U101" s="23" t="n"/>
      <c r="V101" s="30" t="n"/>
      <c r="W101" s="52" t="n"/>
      <c r="X101" s="53">
        <f>IFERROR(IF($A101="","",MAX(0,$R101*$S101-$T101)),"")</f>
        <v/>
      </c>
      <c r="Y101" s="53">
        <f>IFERROR(IF($A101="","",IF($U101="Yes",$X101*$V101,0)),"")</f>
        <v/>
      </c>
      <c r="Z101" s="53">
        <f>IFERROR(IF($A101="","",$X101+$Y101+$W101),"")</f>
        <v/>
      </c>
      <c r="AA101" s="28" t="n"/>
      <c r="AB101" s="51" t="n"/>
      <c r="AC101" s="24">
        <f>IFERROR(IF($A101="","",IF($N101="Canceled","Canceled",IF($AA101=0,"Not Received",IF($AA101&lt;$R101,"Partially Received",IF($AA101=$R101,"Fully Received","Over Received"))))),"")</f>
        <v/>
      </c>
      <c r="AD101" s="25" t="n"/>
      <c r="AE101" s="23" t="n"/>
      <c r="AF101" s="51" t="n"/>
      <c r="AG101" s="52" t="n"/>
      <c r="AH101" s="53">
        <f>IFERROR(IF($A101="","",IF($AG101="","",$AG101-$Z101)),"")</f>
        <v/>
      </c>
      <c r="AI101" s="32">
        <f>IFERROR(IF($A101="","",IF(OR($AG101="",$Z101=0),"",($AG101-$Z101)/$Z101)),"")</f>
        <v/>
      </c>
      <c r="AJ101" s="23" t="n"/>
      <c r="AK101" s="51" t="n"/>
      <c r="AL101" s="53">
        <f>IFERROR(IF($A101="","",IF(OR($N101="Canceled",$N101="Closed"),0,MAX($Z101-IF($AG101="",0,$AG101),0))),"")</f>
        <v/>
      </c>
      <c r="AM101" s="27">
        <f>IFERROR(IF($A101="","",IF(OR($N101="Closed",$N101="Canceled"),IF($O101="","",MAX(0,$O101-$H101)),MAX(0,TODAY()-$H101))),"")</f>
        <v/>
      </c>
      <c r="AN101" s="24">
        <f>IFERROR(IF($A101="","",IF($AA101&gt;$R101,"Over Received",IF(AND($J101="Approved",OR($K101="",$L101="")),"Approval Missing",IF(AND($J101="Pending",$AM101&gt;'Settings'!$B$7),"Approval Follow-Up",IF(AND($N101="Open",$I101&lt;&gt;"",$I101+'Settings'!$B$8&lt;TODAY(),$AA101&lt;$R101),"Delivery Overdue",IF(AND($AG101&lt;&gt;"",OR(ABS($AH101)&gt;'Settings'!$B$9,ABS($AI101)&gt;'Settings'!$B$10)),"Invoice Variance",IF(AND($N101="Open",$AM101&gt;'Settings'!$B$11),"Aging Open PO",""))))))),"")</f>
        <v/>
      </c>
      <c r="AO101" s="25" t="n"/>
      <c r="AP101" s="24">
        <f>IFERROR(IF(AND($AN101&lt;&gt;"",$N101&lt;&gt;"Closed",$N101&lt;&gt;"Canceled",OR('Dashboard'!$B$4="All",$B101='Dashboard'!$B$4),OR('Dashboard'!$D$4="All",$C101='Dashboard'!$D$4)),COUNTIFS($AN$6:$AN101,"&lt;&gt;",$N$6:$N101,"&lt;&gt;Closed",$N$6:$N101,"&lt;&gt;Canceled",$B$6:$B101,IF('Dashboard'!$B$4="All","&lt;&gt;",'Dashboard'!$B$4),$C$6:$C101,IF('Dashboard'!$D$4="All","&lt;&gt;",'Dashboard'!$D$4)),""),"")</f>
        <v/>
      </c>
    </row>
    <row r="102">
      <c r="A102" s="23" t="n"/>
      <c r="B102" s="23" t="n"/>
      <c r="C102" s="23" t="n"/>
      <c r="D102" s="23" t="n"/>
      <c r="E102" s="23" t="n"/>
      <c r="F102" s="24">
        <f>IFERROR(IF($E102="","",VLOOKUP($E102,'Settings'!$G$16:$M$115,2,0)),"")</f>
        <v/>
      </c>
      <c r="G102" s="25" t="n"/>
      <c r="H102" s="51" t="n"/>
      <c r="I102" s="51" t="n"/>
      <c r="J102" s="23" t="n"/>
      <c r="K102" s="23" t="n"/>
      <c r="L102" s="51" t="n"/>
      <c r="M102" s="27">
        <f>IFERROR(IF($A102="","",IF($J102="Approved",MAX(0,$L102-$H102),"")),"")</f>
        <v/>
      </c>
      <c r="N102" s="23" t="n"/>
      <c r="O102" s="51" t="n"/>
      <c r="P102" s="23" t="n"/>
      <c r="Q102" s="25" t="n"/>
      <c r="R102" s="28" t="n"/>
      <c r="S102" s="52" t="n"/>
      <c r="T102" s="52" t="n"/>
      <c r="U102" s="23" t="n"/>
      <c r="V102" s="30" t="n"/>
      <c r="W102" s="52" t="n"/>
      <c r="X102" s="53">
        <f>IFERROR(IF($A102="","",MAX(0,$R102*$S102-$T102)),"")</f>
        <v/>
      </c>
      <c r="Y102" s="53">
        <f>IFERROR(IF($A102="","",IF($U102="Yes",$X102*$V102,0)),"")</f>
        <v/>
      </c>
      <c r="Z102" s="53">
        <f>IFERROR(IF($A102="","",$X102+$Y102+$W102),"")</f>
        <v/>
      </c>
      <c r="AA102" s="28" t="n"/>
      <c r="AB102" s="51" t="n"/>
      <c r="AC102" s="24">
        <f>IFERROR(IF($A102="","",IF($N102="Canceled","Canceled",IF($AA102=0,"Not Received",IF($AA102&lt;$R102,"Partially Received",IF($AA102=$R102,"Fully Received","Over Received"))))),"")</f>
        <v/>
      </c>
      <c r="AD102" s="25" t="n"/>
      <c r="AE102" s="23" t="n"/>
      <c r="AF102" s="51" t="n"/>
      <c r="AG102" s="52" t="n"/>
      <c r="AH102" s="53">
        <f>IFERROR(IF($A102="","",IF($AG102="","",$AG102-$Z102)),"")</f>
        <v/>
      </c>
      <c r="AI102" s="32">
        <f>IFERROR(IF($A102="","",IF(OR($AG102="",$Z102=0),"",($AG102-$Z102)/$Z102)),"")</f>
        <v/>
      </c>
      <c r="AJ102" s="23" t="n"/>
      <c r="AK102" s="51" t="n"/>
      <c r="AL102" s="53">
        <f>IFERROR(IF($A102="","",IF(OR($N102="Canceled",$N102="Closed"),0,MAX($Z102-IF($AG102="",0,$AG102),0))),"")</f>
        <v/>
      </c>
      <c r="AM102" s="27">
        <f>IFERROR(IF($A102="","",IF(OR($N102="Closed",$N102="Canceled"),IF($O102="","",MAX(0,$O102-$H102)),MAX(0,TODAY()-$H102))),"")</f>
        <v/>
      </c>
      <c r="AN102" s="24">
        <f>IFERROR(IF($A102="","",IF($AA102&gt;$R102,"Over Received",IF(AND($J102="Approved",OR($K102="",$L102="")),"Approval Missing",IF(AND($J102="Pending",$AM102&gt;'Settings'!$B$7),"Approval Follow-Up",IF(AND($N102="Open",$I102&lt;&gt;"",$I102+'Settings'!$B$8&lt;TODAY(),$AA102&lt;$R102),"Delivery Overdue",IF(AND($AG102&lt;&gt;"",OR(ABS($AH102)&gt;'Settings'!$B$9,ABS($AI102)&gt;'Settings'!$B$10)),"Invoice Variance",IF(AND($N102="Open",$AM102&gt;'Settings'!$B$11),"Aging Open PO",""))))))),"")</f>
        <v/>
      </c>
      <c r="AO102" s="25" t="n"/>
      <c r="AP102" s="24">
        <f>IFERROR(IF(AND($AN102&lt;&gt;"",$N102&lt;&gt;"Closed",$N102&lt;&gt;"Canceled",OR('Dashboard'!$B$4="All",$B102='Dashboard'!$B$4),OR('Dashboard'!$D$4="All",$C102='Dashboard'!$D$4)),COUNTIFS($AN$6:$AN102,"&lt;&gt;",$N$6:$N102,"&lt;&gt;Closed",$N$6:$N102,"&lt;&gt;Canceled",$B$6:$B102,IF('Dashboard'!$B$4="All","&lt;&gt;",'Dashboard'!$B$4),$C$6:$C102,IF('Dashboard'!$D$4="All","&lt;&gt;",'Dashboard'!$D$4)),""),"")</f>
        <v/>
      </c>
    </row>
    <row r="103">
      <c r="A103" s="23" t="n"/>
      <c r="B103" s="23" t="n"/>
      <c r="C103" s="23" t="n"/>
      <c r="D103" s="23" t="n"/>
      <c r="E103" s="23" t="n"/>
      <c r="F103" s="24">
        <f>IFERROR(IF($E103="","",VLOOKUP($E103,'Settings'!$G$16:$M$115,2,0)),"")</f>
        <v/>
      </c>
      <c r="G103" s="25" t="n"/>
      <c r="H103" s="51" t="n"/>
      <c r="I103" s="51" t="n"/>
      <c r="J103" s="23" t="n"/>
      <c r="K103" s="23" t="n"/>
      <c r="L103" s="51" t="n"/>
      <c r="M103" s="27">
        <f>IFERROR(IF($A103="","",IF($J103="Approved",MAX(0,$L103-$H103),"")),"")</f>
        <v/>
      </c>
      <c r="N103" s="23" t="n"/>
      <c r="O103" s="51" t="n"/>
      <c r="P103" s="23" t="n"/>
      <c r="Q103" s="25" t="n"/>
      <c r="R103" s="28" t="n"/>
      <c r="S103" s="52" t="n"/>
      <c r="T103" s="52" t="n"/>
      <c r="U103" s="23" t="n"/>
      <c r="V103" s="30" t="n"/>
      <c r="W103" s="52" t="n"/>
      <c r="X103" s="53">
        <f>IFERROR(IF($A103="","",MAX(0,$R103*$S103-$T103)),"")</f>
        <v/>
      </c>
      <c r="Y103" s="53">
        <f>IFERROR(IF($A103="","",IF($U103="Yes",$X103*$V103,0)),"")</f>
        <v/>
      </c>
      <c r="Z103" s="53">
        <f>IFERROR(IF($A103="","",$X103+$Y103+$W103),"")</f>
        <v/>
      </c>
      <c r="AA103" s="28" t="n"/>
      <c r="AB103" s="51" t="n"/>
      <c r="AC103" s="24">
        <f>IFERROR(IF($A103="","",IF($N103="Canceled","Canceled",IF($AA103=0,"Not Received",IF($AA103&lt;$R103,"Partially Received",IF($AA103=$R103,"Fully Received","Over Received"))))),"")</f>
        <v/>
      </c>
      <c r="AD103" s="25" t="n"/>
      <c r="AE103" s="23" t="n"/>
      <c r="AF103" s="51" t="n"/>
      <c r="AG103" s="52" t="n"/>
      <c r="AH103" s="53">
        <f>IFERROR(IF($A103="","",IF($AG103="","",$AG103-$Z103)),"")</f>
        <v/>
      </c>
      <c r="AI103" s="32">
        <f>IFERROR(IF($A103="","",IF(OR($AG103="",$Z103=0),"",($AG103-$Z103)/$Z103)),"")</f>
        <v/>
      </c>
      <c r="AJ103" s="23" t="n"/>
      <c r="AK103" s="51" t="n"/>
      <c r="AL103" s="53">
        <f>IFERROR(IF($A103="","",IF(OR($N103="Canceled",$N103="Closed"),0,MAX($Z103-IF($AG103="",0,$AG103),0))),"")</f>
        <v/>
      </c>
      <c r="AM103" s="27">
        <f>IFERROR(IF($A103="","",IF(OR($N103="Closed",$N103="Canceled"),IF($O103="","",MAX(0,$O103-$H103)),MAX(0,TODAY()-$H103))),"")</f>
        <v/>
      </c>
      <c r="AN103" s="24">
        <f>IFERROR(IF($A103="","",IF($AA103&gt;$R103,"Over Received",IF(AND($J103="Approved",OR($K103="",$L103="")),"Approval Missing",IF(AND($J103="Pending",$AM103&gt;'Settings'!$B$7),"Approval Follow-Up",IF(AND($N103="Open",$I103&lt;&gt;"",$I103+'Settings'!$B$8&lt;TODAY(),$AA103&lt;$R103),"Delivery Overdue",IF(AND($AG103&lt;&gt;"",OR(ABS($AH103)&gt;'Settings'!$B$9,ABS($AI103)&gt;'Settings'!$B$10)),"Invoice Variance",IF(AND($N103="Open",$AM103&gt;'Settings'!$B$11),"Aging Open PO",""))))))),"")</f>
        <v/>
      </c>
      <c r="AO103" s="25" t="n"/>
      <c r="AP103" s="24">
        <f>IFERROR(IF(AND($AN103&lt;&gt;"",$N103&lt;&gt;"Closed",$N103&lt;&gt;"Canceled",OR('Dashboard'!$B$4="All",$B103='Dashboard'!$B$4),OR('Dashboard'!$D$4="All",$C103='Dashboard'!$D$4)),COUNTIFS($AN$6:$AN103,"&lt;&gt;",$N$6:$N103,"&lt;&gt;Closed",$N$6:$N103,"&lt;&gt;Canceled",$B$6:$B103,IF('Dashboard'!$B$4="All","&lt;&gt;",'Dashboard'!$B$4),$C$6:$C103,IF('Dashboard'!$D$4="All","&lt;&gt;",'Dashboard'!$D$4)),""),"")</f>
        <v/>
      </c>
    </row>
    <row r="104">
      <c r="A104" s="23" t="n"/>
      <c r="B104" s="23" t="n"/>
      <c r="C104" s="23" t="n"/>
      <c r="D104" s="23" t="n"/>
      <c r="E104" s="23" t="n"/>
      <c r="F104" s="24">
        <f>IFERROR(IF($E104="","",VLOOKUP($E104,'Settings'!$G$16:$M$115,2,0)),"")</f>
        <v/>
      </c>
      <c r="G104" s="25" t="n"/>
      <c r="H104" s="51" t="n"/>
      <c r="I104" s="51" t="n"/>
      <c r="J104" s="23" t="n"/>
      <c r="K104" s="23" t="n"/>
      <c r="L104" s="51" t="n"/>
      <c r="M104" s="27">
        <f>IFERROR(IF($A104="","",IF($J104="Approved",MAX(0,$L104-$H104),"")),"")</f>
        <v/>
      </c>
      <c r="N104" s="23" t="n"/>
      <c r="O104" s="51" t="n"/>
      <c r="P104" s="23" t="n"/>
      <c r="Q104" s="25" t="n"/>
      <c r="R104" s="28" t="n"/>
      <c r="S104" s="52" t="n"/>
      <c r="T104" s="52" t="n"/>
      <c r="U104" s="23" t="n"/>
      <c r="V104" s="30" t="n"/>
      <c r="W104" s="52" t="n"/>
      <c r="X104" s="53">
        <f>IFERROR(IF($A104="","",MAX(0,$R104*$S104-$T104)),"")</f>
        <v/>
      </c>
      <c r="Y104" s="53">
        <f>IFERROR(IF($A104="","",IF($U104="Yes",$X104*$V104,0)),"")</f>
        <v/>
      </c>
      <c r="Z104" s="53">
        <f>IFERROR(IF($A104="","",$X104+$Y104+$W104),"")</f>
        <v/>
      </c>
      <c r="AA104" s="28" t="n"/>
      <c r="AB104" s="51" t="n"/>
      <c r="AC104" s="24">
        <f>IFERROR(IF($A104="","",IF($N104="Canceled","Canceled",IF($AA104=0,"Not Received",IF($AA104&lt;$R104,"Partially Received",IF($AA104=$R104,"Fully Received","Over Received"))))),"")</f>
        <v/>
      </c>
      <c r="AD104" s="25" t="n"/>
      <c r="AE104" s="23" t="n"/>
      <c r="AF104" s="51" t="n"/>
      <c r="AG104" s="52" t="n"/>
      <c r="AH104" s="53">
        <f>IFERROR(IF($A104="","",IF($AG104="","",$AG104-$Z104)),"")</f>
        <v/>
      </c>
      <c r="AI104" s="32">
        <f>IFERROR(IF($A104="","",IF(OR($AG104="",$Z104=0),"",($AG104-$Z104)/$Z104)),"")</f>
        <v/>
      </c>
      <c r="AJ104" s="23" t="n"/>
      <c r="AK104" s="51" t="n"/>
      <c r="AL104" s="53">
        <f>IFERROR(IF($A104="","",IF(OR($N104="Canceled",$N104="Closed"),0,MAX($Z104-IF($AG104="",0,$AG104),0))),"")</f>
        <v/>
      </c>
      <c r="AM104" s="27">
        <f>IFERROR(IF($A104="","",IF(OR($N104="Closed",$N104="Canceled"),IF($O104="","",MAX(0,$O104-$H104)),MAX(0,TODAY()-$H104))),"")</f>
        <v/>
      </c>
      <c r="AN104" s="24">
        <f>IFERROR(IF($A104="","",IF($AA104&gt;$R104,"Over Received",IF(AND($J104="Approved",OR($K104="",$L104="")),"Approval Missing",IF(AND($J104="Pending",$AM104&gt;'Settings'!$B$7),"Approval Follow-Up",IF(AND($N104="Open",$I104&lt;&gt;"",$I104+'Settings'!$B$8&lt;TODAY(),$AA104&lt;$R104),"Delivery Overdue",IF(AND($AG104&lt;&gt;"",OR(ABS($AH104)&gt;'Settings'!$B$9,ABS($AI104)&gt;'Settings'!$B$10)),"Invoice Variance",IF(AND($N104="Open",$AM104&gt;'Settings'!$B$11),"Aging Open PO",""))))))),"")</f>
        <v/>
      </c>
      <c r="AO104" s="25" t="n"/>
      <c r="AP104" s="24">
        <f>IFERROR(IF(AND($AN104&lt;&gt;"",$N104&lt;&gt;"Closed",$N104&lt;&gt;"Canceled",OR('Dashboard'!$B$4="All",$B104='Dashboard'!$B$4),OR('Dashboard'!$D$4="All",$C104='Dashboard'!$D$4)),COUNTIFS($AN$6:$AN104,"&lt;&gt;",$N$6:$N104,"&lt;&gt;Closed",$N$6:$N104,"&lt;&gt;Canceled",$B$6:$B104,IF('Dashboard'!$B$4="All","&lt;&gt;",'Dashboard'!$B$4),$C$6:$C104,IF('Dashboard'!$D$4="All","&lt;&gt;",'Dashboard'!$D$4)),""),"")</f>
        <v/>
      </c>
    </row>
    <row r="105">
      <c r="A105" s="23" t="n"/>
      <c r="B105" s="23" t="n"/>
      <c r="C105" s="23" t="n"/>
      <c r="D105" s="23" t="n"/>
      <c r="E105" s="23" t="n"/>
      <c r="F105" s="24">
        <f>IFERROR(IF($E105="","",VLOOKUP($E105,'Settings'!$G$16:$M$115,2,0)),"")</f>
        <v/>
      </c>
      <c r="G105" s="25" t="n"/>
      <c r="H105" s="51" t="n"/>
      <c r="I105" s="51" t="n"/>
      <c r="J105" s="23" t="n"/>
      <c r="K105" s="23" t="n"/>
      <c r="L105" s="51" t="n"/>
      <c r="M105" s="27">
        <f>IFERROR(IF($A105="","",IF($J105="Approved",MAX(0,$L105-$H105),"")),"")</f>
        <v/>
      </c>
      <c r="N105" s="23" t="n"/>
      <c r="O105" s="51" t="n"/>
      <c r="P105" s="23" t="n"/>
      <c r="Q105" s="25" t="n"/>
      <c r="R105" s="28" t="n"/>
      <c r="S105" s="52" t="n"/>
      <c r="T105" s="52" t="n"/>
      <c r="U105" s="23" t="n"/>
      <c r="V105" s="30" t="n"/>
      <c r="W105" s="52" t="n"/>
      <c r="X105" s="53">
        <f>IFERROR(IF($A105="","",MAX(0,$R105*$S105-$T105)),"")</f>
        <v/>
      </c>
      <c r="Y105" s="53">
        <f>IFERROR(IF($A105="","",IF($U105="Yes",$X105*$V105,0)),"")</f>
        <v/>
      </c>
      <c r="Z105" s="53">
        <f>IFERROR(IF($A105="","",$X105+$Y105+$W105),"")</f>
        <v/>
      </c>
      <c r="AA105" s="28" t="n"/>
      <c r="AB105" s="51" t="n"/>
      <c r="AC105" s="24">
        <f>IFERROR(IF($A105="","",IF($N105="Canceled","Canceled",IF($AA105=0,"Not Received",IF($AA105&lt;$R105,"Partially Received",IF($AA105=$R105,"Fully Received","Over Received"))))),"")</f>
        <v/>
      </c>
      <c r="AD105" s="25" t="n"/>
      <c r="AE105" s="23" t="n"/>
      <c r="AF105" s="51" t="n"/>
      <c r="AG105" s="52" t="n"/>
      <c r="AH105" s="53">
        <f>IFERROR(IF($A105="","",IF($AG105="","",$AG105-$Z105)),"")</f>
        <v/>
      </c>
      <c r="AI105" s="32">
        <f>IFERROR(IF($A105="","",IF(OR($AG105="",$Z105=0),"",($AG105-$Z105)/$Z105)),"")</f>
        <v/>
      </c>
      <c r="AJ105" s="23" t="n"/>
      <c r="AK105" s="51" t="n"/>
      <c r="AL105" s="53">
        <f>IFERROR(IF($A105="","",IF(OR($N105="Canceled",$N105="Closed"),0,MAX($Z105-IF($AG105="",0,$AG105),0))),"")</f>
        <v/>
      </c>
      <c r="AM105" s="27">
        <f>IFERROR(IF($A105="","",IF(OR($N105="Closed",$N105="Canceled"),IF($O105="","",MAX(0,$O105-$H105)),MAX(0,TODAY()-$H105))),"")</f>
        <v/>
      </c>
      <c r="AN105" s="24">
        <f>IFERROR(IF($A105="","",IF($AA105&gt;$R105,"Over Received",IF(AND($J105="Approved",OR($K105="",$L105="")),"Approval Missing",IF(AND($J105="Pending",$AM105&gt;'Settings'!$B$7),"Approval Follow-Up",IF(AND($N105="Open",$I105&lt;&gt;"",$I105+'Settings'!$B$8&lt;TODAY(),$AA105&lt;$R105),"Delivery Overdue",IF(AND($AG105&lt;&gt;"",OR(ABS($AH105)&gt;'Settings'!$B$9,ABS($AI105)&gt;'Settings'!$B$10)),"Invoice Variance",IF(AND($N105="Open",$AM105&gt;'Settings'!$B$11),"Aging Open PO",""))))))),"")</f>
        <v/>
      </c>
      <c r="AO105" s="25" t="n"/>
      <c r="AP105" s="24">
        <f>IFERROR(IF(AND($AN105&lt;&gt;"",$N105&lt;&gt;"Closed",$N105&lt;&gt;"Canceled",OR('Dashboard'!$B$4="All",$B105='Dashboard'!$B$4),OR('Dashboard'!$D$4="All",$C105='Dashboard'!$D$4)),COUNTIFS($AN$6:$AN105,"&lt;&gt;",$N$6:$N105,"&lt;&gt;Closed",$N$6:$N105,"&lt;&gt;Canceled",$B$6:$B105,IF('Dashboard'!$B$4="All","&lt;&gt;",'Dashboard'!$B$4),$C$6:$C105,IF('Dashboard'!$D$4="All","&lt;&gt;",'Dashboard'!$D$4)),""),"")</f>
        <v/>
      </c>
    </row>
    <row r="106">
      <c r="A106" s="23" t="n"/>
      <c r="B106" s="23" t="n"/>
      <c r="C106" s="23" t="n"/>
      <c r="D106" s="23" t="n"/>
      <c r="E106" s="23" t="n"/>
      <c r="F106" s="24">
        <f>IFERROR(IF($E106="","",VLOOKUP($E106,'Settings'!$G$16:$M$115,2,0)),"")</f>
        <v/>
      </c>
      <c r="G106" s="25" t="n"/>
      <c r="H106" s="51" t="n"/>
      <c r="I106" s="51" t="n"/>
      <c r="J106" s="23" t="n"/>
      <c r="K106" s="23" t="n"/>
      <c r="L106" s="51" t="n"/>
      <c r="M106" s="27">
        <f>IFERROR(IF($A106="","",IF($J106="Approved",MAX(0,$L106-$H106),"")),"")</f>
        <v/>
      </c>
      <c r="N106" s="23" t="n"/>
      <c r="O106" s="51" t="n"/>
      <c r="P106" s="23" t="n"/>
      <c r="Q106" s="25" t="n"/>
      <c r="R106" s="28" t="n"/>
      <c r="S106" s="52" t="n"/>
      <c r="T106" s="52" t="n"/>
      <c r="U106" s="23" t="n"/>
      <c r="V106" s="30" t="n"/>
      <c r="W106" s="52" t="n"/>
      <c r="X106" s="53">
        <f>IFERROR(IF($A106="","",MAX(0,$R106*$S106-$T106)),"")</f>
        <v/>
      </c>
      <c r="Y106" s="53">
        <f>IFERROR(IF($A106="","",IF($U106="Yes",$X106*$V106,0)),"")</f>
        <v/>
      </c>
      <c r="Z106" s="53">
        <f>IFERROR(IF($A106="","",$X106+$Y106+$W106),"")</f>
        <v/>
      </c>
      <c r="AA106" s="28" t="n"/>
      <c r="AB106" s="51" t="n"/>
      <c r="AC106" s="24">
        <f>IFERROR(IF($A106="","",IF($N106="Canceled","Canceled",IF($AA106=0,"Not Received",IF($AA106&lt;$R106,"Partially Received",IF($AA106=$R106,"Fully Received","Over Received"))))),"")</f>
        <v/>
      </c>
      <c r="AD106" s="25" t="n"/>
      <c r="AE106" s="23" t="n"/>
      <c r="AF106" s="51" t="n"/>
      <c r="AG106" s="52" t="n"/>
      <c r="AH106" s="53">
        <f>IFERROR(IF($A106="","",IF($AG106="","",$AG106-$Z106)),"")</f>
        <v/>
      </c>
      <c r="AI106" s="32">
        <f>IFERROR(IF($A106="","",IF(OR($AG106="",$Z106=0),"",($AG106-$Z106)/$Z106)),"")</f>
        <v/>
      </c>
      <c r="AJ106" s="23" t="n"/>
      <c r="AK106" s="51" t="n"/>
      <c r="AL106" s="53">
        <f>IFERROR(IF($A106="","",IF(OR($N106="Canceled",$N106="Closed"),0,MAX($Z106-IF($AG106="",0,$AG106),0))),"")</f>
        <v/>
      </c>
      <c r="AM106" s="27">
        <f>IFERROR(IF($A106="","",IF(OR($N106="Closed",$N106="Canceled"),IF($O106="","",MAX(0,$O106-$H106)),MAX(0,TODAY()-$H106))),"")</f>
        <v/>
      </c>
      <c r="AN106" s="24">
        <f>IFERROR(IF($A106="","",IF($AA106&gt;$R106,"Over Received",IF(AND($J106="Approved",OR($K106="",$L106="")),"Approval Missing",IF(AND($J106="Pending",$AM106&gt;'Settings'!$B$7),"Approval Follow-Up",IF(AND($N106="Open",$I106&lt;&gt;"",$I106+'Settings'!$B$8&lt;TODAY(),$AA106&lt;$R106),"Delivery Overdue",IF(AND($AG106&lt;&gt;"",OR(ABS($AH106)&gt;'Settings'!$B$9,ABS($AI106)&gt;'Settings'!$B$10)),"Invoice Variance",IF(AND($N106="Open",$AM106&gt;'Settings'!$B$11),"Aging Open PO",""))))))),"")</f>
        <v/>
      </c>
      <c r="AO106" s="25" t="n"/>
      <c r="AP106" s="24">
        <f>IFERROR(IF(AND($AN106&lt;&gt;"",$N106&lt;&gt;"Closed",$N106&lt;&gt;"Canceled",OR('Dashboard'!$B$4="All",$B106='Dashboard'!$B$4),OR('Dashboard'!$D$4="All",$C106='Dashboard'!$D$4)),COUNTIFS($AN$6:$AN106,"&lt;&gt;",$N$6:$N106,"&lt;&gt;Closed",$N$6:$N106,"&lt;&gt;Canceled",$B$6:$B106,IF('Dashboard'!$B$4="All","&lt;&gt;",'Dashboard'!$B$4),$C$6:$C106,IF('Dashboard'!$D$4="All","&lt;&gt;",'Dashboard'!$D$4)),""),"")</f>
        <v/>
      </c>
    </row>
    <row r="107">
      <c r="A107" s="23" t="n"/>
      <c r="B107" s="23" t="n"/>
      <c r="C107" s="23" t="n"/>
      <c r="D107" s="23" t="n"/>
      <c r="E107" s="23" t="n"/>
      <c r="F107" s="24">
        <f>IFERROR(IF($E107="","",VLOOKUP($E107,'Settings'!$G$16:$M$115,2,0)),"")</f>
        <v/>
      </c>
      <c r="G107" s="25" t="n"/>
      <c r="H107" s="51" t="n"/>
      <c r="I107" s="51" t="n"/>
      <c r="J107" s="23" t="n"/>
      <c r="K107" s="23" t="n"/>
      <c r="L107" s="51" t="n"/>
      <c r="M107" s="27">
        <f>IFERROR(IF($A107="","",IF($J107="Approved",MAX(0,$L107-$H107),"")),"")</f>
        <v/>
      </c>
      <c r="N107" s="23" t="n"/>
      <c r="O107" s="51" t="n"/>
      <c r="P107" s="23" t="n"/>
      <c r="Q107" s="25" t="n"/>
      <c r="R107" s="28" t="n"/>
      <c r="S107" s="52" t="n"/>
      <c r="T107" s="52" t="n"/>
      <c r="U107" s="23" t="n"/>
      <c r="V107" s="30" t="n"/>
      <c r="W107" s="52" t="n"/>
      <c r="X107" s="53">
        <f>IFERROR(IF($A107="","",MAX(0,$R107*$S107-$T107)),"")</f>
        <v/>
      </c>
      <c r="Y107" s="53">
        <f>IFERROR(IF($A107="","",IF($U107="Yes",$X107*$V107,0)),"")</f>
        <v/>
      </c>
      <c r="Z107" s="53">
        <f>IFERROR(IF($A107="","",$X107+$Y107+$W107),"")</f>
        <v/>
      </c>
      <c r="AA107" s="28" t="n"/>
      <c r="AB107" s="51" t="n"/>
      <c r="AC107" s="24">
        <f>IFERROR(IF($A107="","",IF($N107="Canceled","Canceled",IF($AA107=0,"Not Received",IF($AA107&lt;$R107,"Partially Received",IF($AA107=$R107,"Fully Received","Over Received"))))),"")</f>
        <v/>
      </c>
      <c r="AD107" s="25" t="n"/>
      <c r="AE107" s="23" t="n"/>
      <c r="AF107" s="51" t="n"/>
      <c r="AG107" s="52" t="n"/>
      <c r="AH107" s="53">
        <f>IFERROR(IF($A107="","",IF($AG107="","",$AG107-$Z107)),"")</f>
        <v/>
      </c>
      <c r="AI107" s="32">
        <f>IFERROR(IF($A107="","",IF(OR($AG107="",$Z107=0),"",($AG107-$Z107)/$Z107)),"")</f>
        <v/>
      </c>
      <c r="AJ107" s="23" t="n"/>
      <c r="AK107" s="51" t="n"/>
      <c r="AL107" s="53">
        <f>IFERROR(IF($A107="","",IF(OR($N107="Canceled",$N107="Closed"),0,MAX($Z107-IF($AG107="",0,$AG107),0))),"")</f>
        <v/>
      </c>
      <c r="AM107" s="27">
        <f>IFERROR(IF($A107="","",IF(OR($N107="Closed",$N107="Canceled"),IF($O107="","",MAX(0,$O107-$H107)),MAX(0,TODAY()-$H107))),"")</f>
        <v/>
      </c>
      <c r="AN107" s="24">
        <f>IFERROR(IF($A107="","",IF($AA107&gt;$R107,"Over Received",IF(AND($J107="Approved",OR($K107="",$L107="")),"Approval Missing",IF(AND($J107="Pending",$AM107&gt;'Settings'!$B$7),"Approval Follow-Up",IF(AND($N107="Open",$I107&lt;&gt;"",$I107+'Settings'!$B$8&lt;TODAY(),$AA107&lt;$R107),"Delivery Overdue",IF(AND($AG107&lt;&gt;"",OR(ABS($AH107)&gt;'Settings'!$B$9,ABS($AI107)&gt;'Settings'!$B$10)),"Invoice Variance",IF(AND($N107="Open",$AM107&gt;'Settings'!$B$11),"Aging Open PO",""))))))),"")</f>
        <v/>
      </c>
      <c r="AO107" s="25" t="n"/>
      <c r="AP107" s="24">
        <f>IFERROR(IF(AND($AN107&lt;&gt;"",$N107&lt;&gt;"Closed",$N107&lt;&gt;"Canceled",OR('Dashboard'!$B$4="All",$B107='Dashboard'!$B$4),OR('Dashboard'!$D$4="All",$C107='Dashboard'!$D$4)),COUNTIFS($AN$6:$AN107,"&lt;&gt;",$N$6:$N107,"&lt;&gt;Closed",$N$6:$N107,"&lt;&gt;Canceled",$B$6:$B107,IF('Dashboard'!$B$4="All","&lt;&gt;",'Dashboard'!$B$4),$C$6:$C107,IF('Dashboard'!$D$4="All","&lt;&gt;",'Dashboard'!$D$4)),""),"")</f>
        <v/>
      </c>
    </row>
    <row r="108">
      <c r="A108" s="23" t="n"/>
      <c r="B108" s="23" t="n"/>
      <c r="C108" s="23" t="n"/>
      <c r="D108" s="23" t="n"/>
      <c r="E108" s="23" t="n"/>
      <c r="F108" s="24">
        <f>IFERROR(IF($E108="","",VLOOKUP($E108,'Settings'!$G$16:$M$115,2,0)),"")</f>
        <v/>
      </c>
      <c r="G108" s="25" t="n"/>
      <c r="H108" s="51" t="n"/>
      <c r="I108" s="51" t="n"/>
      <c r="J108" s="23" t="n"/>
      <c r="K108" s="23" t="n"/>
      <c r="L108" s="51" t="n"/>
      <c r="M108" s="27">
        <f>IFERROR(IF($A108="","",IF($J108="Approved",MAX(0,$L108-$H108),"")),"")</f>
        <v/>
      </c>
      <c r="N108" s="23" t="n"/>
      <c r="O108" s="51" t="n"/>
      <c r="P108" s="23" t="n"/>
      <c r="Q108" s="25" t="n"/>
      <c r="R108" s="28" t="n"/>
      <c r="S108" s="52" t="n"/>
      <c r="T108" s="52" t="n"/>
      <c r="U108" s="23" t="n"/>
      <c r="V108" s="30" t="n"/>
      <c r="W108" s="52" t="n"/>
      <c r="X108" s="53">
        <f>IFERROR(IF($A108="","",MAX(0,$R108*$S108-$T108)),"")</f>
        <v/>
      </c>
      <c r="Y108" s="53">
        <f>IFERROR(IF($A108="","",IF($U108="Yes",$X108*$V108,0)),"")</f>
        <v/>
      </c>
      <c r="Z108" s="53">
        <f>IFERROR(IF($A108="","",$X108+$Y108+$W108),"")</f>
        <v/>
      </c>
      <c r="AA108" s="28" t="n"/>
      <c r="AB108" s="51" t="n"/>
      <c r="AC108" s="24">
        <f>IFERROR(IF($A108="","",IF($N108="Canceled","Canceled",IF($AA108=0,"Not Received",IF($AA108&lt;$R108,"Partially Received",IF($AA108=$R108,"Fully Received","Over Received"))))),"")</f>
        <v/>
      </c>
      <c r="AD108" s="25" t="n"/>
      <c r="AE108" s="23" t="n"/>
      <c r="AF108" s="51" t="n"/>
      <c r="AG108" s="52" t="n"/>
      <c r="AH108" s="53">
        <f>IFERROR(IF($A108="","",IF($AG108="","",$AG108-$Z108)),"")</f>
        <v/>
      </c>
      <c r="AI108" s="32">
        <f>IFERROR(IF($A108="","",IF(OR($AG108="",$Z108=0),"",($AG108-$Z108)/$Z108)),"")</f>
        <v/>
      </c>
      <c r="AJ108" s="23" t="n"/>
      <c r="AK108" s="51" t="n"/>
      <c r="AL108" s="53">
        <f>IFERROR(IF($A108="","",IF(OR($N108="Canceled",$N108="Closed"),0,MAX($Z108-IF($AG108="",0,$AG108),0))),"")</f>
        <v/>
      </c>
      <c r="AM108" s="27">
        <f>IFERROR(IF($A108="","",IF(OR($N108="Closed",$N108="Canceled"),IF($O108="","",MAX(0,$O108-$H108)),MAX(0,TODAY()-$H108))),"")</f>
        <v/>
      </c>
      <c r="AN108" s="24">
        <f>IFERROR(IF($A108="","",IF($AA108&gt;$R108,"Over Received",IF(AND($J108="Approved",OR($K108="",$L108="")),"Approval Missing",IF(AND($J108="Pending",$AM108&gt;'Settings'!$B$7),"Approval Follow-Up",IF(AND($N108="Open",$I108&lt;&gt;"",$I108+'Settings'!$B$8&lt;TODAY(),$AA108&lt;$R108),"Delivery Overdue",IF(AND($AG108&lt;&gt;"",OR(ABS($AH108)&gt;'Settings'!$B$9,ABS($AI108)&gt;'Settings'!$B$10)),"Invoice Variance",IF(AND($N108="Open",$AM108&gt;'Settings'!$B$11),"Aging Open PO",""))))))),"")</f>
        <v/>
      </c>
      <c r="AO108" s="25" t="n"/>
      <c r="AP108" s="24">
        <f>IFERROR(IF(AND($AN108&lt;&gt;"",$N108&lt;&gt;"Closed",$N108&lt;&gt;"Canceled",OR('Dashboard'!$B$4="All",$B108='Dashboard'!$B$4),OR('Dashboard'!$D$4="All",$C108='Dashboard'!$D$4)),COUNTIFS($AN$6:$AN108,"&lt;&gt;",$N$6:$N108,"&lt;&gt;Closed",$N$6:$N108,"&lt;&gt;Canceled",$B$6:$B108,IF('Dashboard'!$B$4="All","&lt;&gt;",'Dashboard'!$B$4),$C$6:$C108,IF('Dashboard'!$D$4="All","&lt;&gt;",'Dashboard'!$D$4)),""),"")</f>
        <v/>
      </c>
    </row>
    <row r="109">
      <c r="A109" s="23" t="n"/>
      <c r="B109" s="23" t="n"/>
      <c r="C109" s="23" t="n"/>
      <c r="D109" s="23" t="n"/>
      <c r="E109" s="23" t="n"/>
      <c r="F109" s="24">
        <f>IFERROR(IF($E109="","",VLOOKUP($E109,'Settings'!$G$16:$M$115,2,0)),"")</f>
        <v/>
      </c>
      <c r="G109" s="25" t="n"/>
      <c r="H109" s="51" t="n"/>
      <c r="I109" s="51" t="n"/>
      <c r="J109" s="23" t="n"/>
      <c r="K109" s="23" t="n"/>
      <c r="L109" s="51" t="n"/>
      <c r="M109" s="27">
        <f>IFERROR(IF($A109="","",IF($J109="Approved",MAX(0,$L109-$H109),"")),"")</f>
        <v/>
      </c>
      <c r="N109" s="23" t="n"/>
      <c r="O109" s="51" t="n"/>
      <c r="P109" s="23" t="n"/>
      <c r="Q109" s="25" t="n"/>
      <c r="R109" s="28" t="n"/>
      <c r="S109" s="52" t="n"/>
      <c r="T109" s="52" t="n"/>
      <c r="U109" s="23" t="n"/>
      <c r="V109" s="30" t="n"/>
      <c r="W109" s="52" t="n"/>
      <c r="X109" s="53">
        <f>IFERROR(IF($A109="","",MAX(0,$R109*$S109-$T109)),"")</f>
        <v/>
      </c>
      <c r="Y109" s="53">
        <f>IFERROR(IF($A109="","",IF($U109="Yes",$X109*$V109,0)),"")</f>
        <v/>
      </c>
      <c r="Z109" s="53">
        <f>IFERROR(IF($A109="","",$X109+$Y109+$W109),"")</f>
        <v/>
      </c>
      <c r="AA109" s="28" t="n"/>
      <c r="AB109" s="51" t="n"/>
      <c r="AC109" s="24">
        <f>IFERROR(IF($A109="","",IF($N109="Canceled","Canceled",IF($AA109=0,"Not Received",IF($AA109&lt;$R109,"Partially Received",IF($AA109=$R109,"Fully Received","Over Received"))))),"")</f>
        <v/>
      </c>
      <c r="AD109" s="25" t="n"/>
      <c r="AE109" s="23" t="n"/>
      <c r="AF109" s="51" t="n"/>
      <c r="AG109" s="52" t="n"/>
      <c r="AH109" s="53">
        <f>IFERROR(IF($A109="","",IF($AG109="","",$AG109-$Z109)),"")</f>
        <v/>
      </c>
      <c r="AI109" s="32">
        <f>IFERROR(IF($A109="","",IF(OR($AG109="",$Z109=0),"",($AG109-$Z109)/$Z109)),"")</f>
        <v/>
      </c>
      <c r="AJ109" s="23" t="n"/>
      <c r="AK109" s="51" t="n"/>
      <c r="AL109" s="53">
        <f>IFERROR(IF($A109="","",IF(OR($N109="Canceled",$N109="Closed"),0,MAX($Z109-IF($AG109="",0,$AG109),0))),"")</f>
        <v/>
      </c>
      <c r="AM109" s="27">
        <f>IFERROR(IF($A109="","",IF(OR($N109="Closed",$N109="Canceled"),IF($O109="","",MAX(0,$O109-$H109)),MAX(0,TODAY()-$H109))),"")</f>
        <v/>
      </c>
      <c r="AN109" s="24">
        <f>IFERROR(IF($A109="","",IF($AA109&gt;$R109,"Over Received",IF(AND($J109="Approved",OR($K109="",$L109="")),"Approval Missing",IF(AND($J109="Pending",$AM109&gt;'Settings'!$B$7),"Approval Follow-Up",IF(AND($N109="Open",$I109&lt;&gt;"",$I109+'Settings'!$B$8&lt;TODAY(),$AA109&lt;$R109),"Delivery Overdue",IF(AND($AG109&lt;&gt;"",OR(ABS($AH109)&gt;'Settings'!$B$9,ABS($AI109)&gt;'Settings'!$B$10)),"Invoice Variance",IF(AND($N109="Open",$AM109&gt;'Settings'!$B$11),"Aging Open PO",""))))))),"")</f>
        <v/>
      </c>
      <c r="AO109" s="25" t="n"/>
      <c r="AP109" s="24">
        <f>IFERROR(IF(AND($AN109&lt;&gt;"",$N109&lt;&gt;"Closed",$N109&lt;&gt;"Canceled",OR('Dashboard'!$B$4="All",$B109='Dashboard'!$B$4),OR('Dashboard'!$D$4="All",$C109='Dashboard'!$D$4)),COUNTIFS($AN$6:$AN109,"&lt;&gt;",$N$6:$N109,"&lt;&gt;Closed",$N$6:$N109,"&lt;&gt;Canceled",$B$6:$B109,IF('Dashboard'!$B$4="All","&lt;&gt;",'Dashboard'!$B$4),$C$6:$C109,IF('Dashboard'!$D$4="All","&lt;&gt;",'Dashboard'!$D$4)),""),"")</f>
        <v/>
      </c>
    </row>
    <row r="110">
      <c r="A110" s="23" t="n"/>
      <c r="B110" s="23" t="n"/>
      <c r="C110" s="23" t="n"/>
      <c r="D110" s="23" t="n"/>
      <c r="E110" s="23" t="n"/>
      <c r="F110" s="24">
        <f>IFERROR(IF($E110="","",VLOOKUP($E110,'Settings'!$G$16:$M$115,2,0)),"")</f>
        <v/>
      </c>
      <c r="G110" s="25" t="n"/>
      <c r="H110" s="51" t="n"/>
      <c r="I110" s="51" t="n"/>
      <c r="J110" s="23" t="n"/>
      <c r="K110" s="23" t="n"/>
      <c r="L110" s="51" t="n"/>
      <c r="M110" s="27">
        <f>IFERROR(IF($A110="","",IF($J110="Approved",MAX(0,$L110-$H110),"")),"")</f>
        <v/>
      </c>
      <c r="N110" s="23" t="n"/>
      <c r="O110" s="51" t="n"/>
      <c r="P110" s="23" t="n"/>
      <c r="Q110" s="25" t="n"/>
      <c r="R110" s="28" t="n"/>
      <c r="S110" s="52" t="n"/>
      <c r="T110" s="52" t="n"/>
      <c r="U110" s="23" t="n"/>
      <c r="V110" s="30" t="n"/>
      <c r="W110" s="52" t="n"/>
      <c r="X110" s="53">
        <f>IFERROR(IF($A110="","",MAX(0,$R110*$S110-$T110)),"")</f>
        <v/>
      </c>
      <c r="Y110" s="53">
        <f>IFERROR(IF($A110="","",IF($U110="Yes",$X110*$V110,0)),"")</f>
        <v/>
      </c>
      <c r="Z110" s="53">
        <f>IFERROR(IF($A110="","",$X110+$Y110+$W110),"")</f>
        <v/>
      </c>
      <c r="AA110" s="28" t="n"/>
      <c r="AB110" s="51" t="n"/>
      <c r="AC110" s="24">
        <f>IFERROR(IF($A110="","",IF($N110="Canceled","Canceled",IF($AA110=0,"Not Received",IF($AA110&lt;$R110,"Partially Received",IF($AA110=$R110,"Fully Received","Over Received"))))),"")</f>
        <v/>
      </c>
      <c r="AD110" s="25" t="n"/>
      <c r="AE110" s="23" t="n"/>
      <c r="AF110" s="51" t="n"/>
      <c r="AG110" s="52" t="n"/>
      <c r="AH110" s="53">
        <f>IFERROR(IF($A110="","",IF($AG110="","",$AG110-$Z110)),"")</f>
        <v/>
      </c>
      <c r="AI110" s="32">
        <f>IFERROR(IF($A110="","",IF(OR($AG110="",$Z110=0),"",($AG110-$Z110)/$Z110)),"")</f>
        <v/>
      </c>
      <c r="AJ110" s="23" t="n"/>
      <c r="AK110" s="51" t="n"/>
      <c r="AL110" s="53">
        <f>IFERROR(IF($A110="","",IF(OR($N110="Canceled",$N110="Closed"),0,MAX($Z110-IF($AG110="",0,$AG110),0))),"")</f>
        <v/>
      </c>
      <c r="AM110" s="27">
        <f>IFERROR(IF($A110="","",IF(OR($N110="Closed",$N110="Canceled"),IF($O110="","",MAX(0,$O110-$H110)),MAX(0,TODAY()-$H110))),"")</f>
        <v/>
      </c>
      <c r="AN110" s="24">
        <f>IFERROR(IF($A110="","",IF($AA110&gt;$R110,"Over Received",IF(AND($J110="Approved",OR($K110="",$L110="")),"Approval Missing",IF(AND($J110="Pending",$AM110&gt;'Settings'!$B$7),"Approval Follow-Up",IF(AND($N110="Open",$I110&lt;&gt;"",$I110+'Settings'!$B$8&lt;TODAY(),$AA110&lt;$R110),"Delivery Overdue",IF(AND($AG110&lt;&gt;"",OR(ABS($AH110)&gt;'Settings'!$B$9,ABS($AI110)&gt;'Settings'!$B$10)),"Invoice Variance",IF(AND($N110="Open",$AM110&gt;'Settings'!$B$11),"Aging Open PO",""))))))),"")</f>
        <v/>
      </c>
      <c r="AO110" s="25" t="n"/>
      <c r="AP110" s="24">
        <f>IFERROR(IF(AND($AN110&lt;&gt;"",$N110&lt;&gt;"Closed",$N110&lt;&gt;"Canceled",OR('Dashboard'!$B$4="All",$B110='Dashboard'!$B$4),OR('Dashboard'!$D$4="All",$C110='Dashboard'!$D$4)),COUNTIFS($AN$6:$AN110,"&lt;&gt;",$N$6:$N110,"&lt;&gt;Closed",$N$6:$N110,"&lt;&gt;Canceled",$B$6:$B110,IF('Dashboard'!$B$4="All","&lt;&gt;",'Dashboard'!$B$4),$C$6:$C110,IF('Dashboard'!$D$4="All","&lt;&gt;",'Dashboard'!$D$4)),""),"")</f>
        <v/>
      </c>
    </row>
    <row r="111">
      <c r="A111" s="23" t="n"/>
      <c r="B111" s="23" t="n"/>
      <c r="C111" s="23" t="n"/>
      <c r="D111" s="23" t="n"/>
      <c r="E111" s="23" t="n"/>
      <c r="F111" s="24">
        <f>IFERROR(IF($E111="","",VLOOKUP($E111,'Settings'!$G$16:$M$115,2,0)),"")</f>
        <v/>
      </c>
      <c r="G111" s="25" t="n"/>
      <c r="H111" s="51" t="n"/>
      <c r="I111" s="51" t="n"/>
      <c r="J111" s="23" t="n"/>
      <c r="K111" s="23" t="n"/>
      <c r="L111" s="51" t="n"/>
      <c r="M111" s="27">
        <f>IFERROR(IF($A111="","",IF($J111="Approved",MAX(0,$L111-$H111),"")),"")</f>
        <v/>
      </c>
      <c r="N111" s="23" t="n"/>
      <c r="O111" s="51" t="n"/>
      <c r="P111" s="23" t="n"/>
      <c r="Q111" s="25" t="n"/>
      <c r="R111" s="28" t="n"/>
      <c r="S111" s="52" t="n"/>
      <c r="T111" s="52" t="n"/>
      <c r="U111" s="23" t="n"/>
      <c r="V111" s="30" t="n"/>
      <c r="W111" s="52" t="n"/>
      <c r="X111" s="53">
        <f>IFERROR(IF($A111="","",MAX(0,$R111*$S111-$T111)),"")</f>
        <v/>
      </c>
      <c r="Y111" s="53">
        <f>IFERROR(IF($A111="","",IF($U111="Yes",$X111*$V111,0)),"")</f>
        <v/>
      </c>
      <c r="Z111" s="53">
        <f>IFERROR(IF($A111="","",$X111+$Y111+$W111),"")</f>
        <v/>
      </c>
      <c r="AA111" s="28" t="n"/>
      <c r="AB111" s="51" t="n"/>
      <c r="AC111" s="24">
        <f>IFERROR(IF($A111="","",IF($N111="Canceled","Canceled",IF($AA111=0,"Not Received",IF($AA111&lt;$R111,"Partially Received",IF($AA111=$R111,"Fully Received","Over Received"))))),"")</f>
        <v/>
      </c>
      <c r="AD111" s="25" t="n"/>
      <c r="AE111" s="23" t="n"/>
      <c r="AF111" s="51" t="n"/>
      <c r="AG111" s="52" t="n"/>
      <c r="AH111" s="53">
        <f>IFERROR(IF($A111="","",IF($AG111="","",$AG111-$Z111)),"")</f>
        <v/>
      </c>
      <c r="AI111" s="32">
        <f>IFERROR(IF($A111="","",IF(OR($AG111="",$Z111=0),"",($AG111-$Z111)/$Z111)),"")</f>
        <v/>
      </c>
      <c r="AJ111" s="23" t="n"/>
      <c r="AK111" s="51" t="n"/>
      <c r="AL111" s="53">
        <f>IFERROR(IF($A111="","",IF(OR($N111="Canceled",$N111="Closed"),0,MAX($Z111-IF($AG111="",0,$AG111),0))),"")</f>
        <v/>
      </c>
      <c r="AM111" s="27">
        <f>IFERROR(IF($A111="","",IF(OR($N111="Closed",$N111="Canceled"),IF($O111="","",MAX(0,$O111-$H111)),MAX(0,TODAY()-$H111))),"")</f>
        <v/>
      </c>
      <c r="AN111" s="24">
        <f>IFERROR(IF($A111="","",IF($AA111&gt;$R111,"Over Received",IF(AND($J111="Approved",OR($K111="",$L111="")),"Approval Missing",IF(AND($J111="Pending",$AM111&gt;'Settings'!$B$7),"Approval Follow-Up",IF(AND($N111="Open",$I111&lt;&gt;"",$I111+'Settings'!$B$8&lt;TODAY(),$AA111&lt;$R111),"Delivery Overdue",IF(AND($AG111&lt;&gt;"",OR(ABS($AH111)&gt;'Settings'!$B$9,ABS($AI111)&gt;'Settings'!$B$10)),"Invoice Variance",IF(AND($N111="Open",$AM111&gt;'Settings'!$B$11),"Aging Open PO",""))))))),"")</f>
        <v/>
      </c>
      <c r="AO111" s="25" t="n"/>
      <c r="AP111" s="24">
        <f>IFERROR(IF(AND($AN111&lt;&gt;"",$N111&lt;&gt;"Closed",$N111&lt;&gt;"Canceled",OR('Dashboard'!$B$4="All",$B111='Dashboard'!$B$4),OR('Dashboard'!$D$4="All",$C111='Dashboard'!$D$4)),COUNTIFS($AN$6:$AN111,"&lt;&gt;",$N$6:$N111,"&lt;&gt;Closed",$N$6:$N111,"&lt;&gt;Canceled",$B$6:$B111,IF('Dashboard'!$B$4="All","&lt;&gt;",'Dashboard'!$B$4),$C$6:$C111,IF('Dashboard'!$D$4="All","&lt;&gt;",'Dashboard'!$D$4)),""),"")</f>
        <v/>
      </c>
    </row>
    <row r="112">
      <c r="A112" s="23" t="n"/>
      <c r="B112" s="23" t="n"/>
      <c r="C112" s="23" t="n"/>
      <c r="D112" s="23" t="n"/>
      <c r="E112" s="23" t="n"/>
      <c r="F112" s="24">
        <f>IFERROR(IF($E112="","",VLOOKUP($E112,'Settings'!$G$16:$M$115,2,0)),"")</f>
        <v/>
      </c>
      <c r="G112" s="25" t="n"/>
      <c r="H112" s="51" t="n"/>
      <c r="I112" s="51" t="n"/>
      <c r="J112" s="23" t="n"/>
      <c r="K112" s="23" t="n"/>
      <c r="L112" s="51" t="n"/>
      <c r="M112" s="27">
        <f>IFERROR(IF($A112="","",IF($J112="Approved",MAX(0,$L112-$H112),"")),"")</f>
        <v/>
      </c>
      <c r="N112" s="23" t="n"/>
      <c r="O112" s="51" t="n"/>
      <c r="P112" s="23" t="n"/>
      <c r="Q112" s="25" t="n"/>
      <c r="R112" s="28" t="n"/>
      <c r="S112" s="52" t="n"/>
      <c r="T112" s="52" t="n"/>
      <c r="U112" s="23" t="n"/>
      <c r="V112" s="30" t="n"/>
      <c r="W112" s="52" t="n"/>
      <c r="X112" s="53">
        <f>IFERROR(IF($A112="","",MAX(0,$R112*$S112-$T112)),"")</f>
        <v/>
      </c>
      <c r="Y112" s="53">
        <f>IFERROR(IF($A112="","",IF($U112="Yes",$X112*$V112,0)),"")</f>
        <v/>
      </c>
      <c r="Z112" s="53">
        <f>IFERROR(IF($A112="","",$X112+$Y112+$W112),"")</f>
        <v/>
      </c>
      <c r="AA112" s="28" t="n"/>
      <c r="AB112" s="51" t="n"/>
      <c r="AC112" s="24">
        <f>IFERROR(IF($A112="","",IF($N112="Canceled","Canceled",IF($AA112=0,"Not Received",IF($AA112&lt;$R112,"Partially Received",IF($AA112=$R112,"Fully Received","Over Received"))))),"")</f>
        <v/>
      </c>
      <c r="AD112" s="25" t="n"/>
      <c r="AE112" s="23" t="n"/>
      <c r="AF112" s="51" t="n"/>
      <c r="AG112" s="52" t="n"/>
      <c r="AH112" s="53">
        <f>IFERROR(IF($A112="","",IF($AG112="","",$AG112-$Z112)),"")</f>
        <v/>
      </c>
      <c r="AI112" s="32">
        <f>IFERROR(IF($A112="","",IF(OR($AG112="",$Z112=0),"",($AG112-$Z112)/$Z112)),"")</f>
        <v/>
      </c>
      <c r="AJ112" s="23" t="n"/>
      <c r="AK112" s="51" t="n"/>
      <c r="AL112" s="53">
        <f>IFERROR(IF($A112="","",IF(OR($N112="Canceled",$N112="Closed"),0,MAX($Z112-IF($AG112="",0,$AG112),0))),"")</f>
        <v/>
      </c>
      <c r="AM112" s="27">
        <f>IFERROR(IF($A112="","",IF(OR($N112="Closed",$N112="Canceled"),IF($O112="","",MAX(0,$O112-$H112)),MAX(0,TODAY()-$H112))),"")</f>
        <v/>
      </c>
      <c r="AN112" s="24">
        <f>IFERROR(IF($A112="","",IF($AA112&gt;$R112,"Over Received",IF(AND($J112="Approved",OR($K112="",$L112="")),"Approval Missing",IF(AND($J112="Pending",$AM112&gt;'Settings'!$B$7),"Approval Follow-Up",IF(AND($N112="Open",$I112&lt;&gt;"",$I112+'Settings'!$B$8&lt;TODAY(),$AA112&lt;$R112),"Delivery Overdue",IF(AND($AG112&lt;&gt;"",OR(ABS($AH112)&gt;'Settings'!$B$9,ABS($AI112)&gt;'Settings'!$B$10)),"Invoice Variance",IF(AND($N112="Open",$AM112&gt;'Settings'!$B$11),"Aging Open PO",""))))))),"")</f>
        <v/>
      </c>
      <c r="AO112" s="25" t="n"/>
      <c r="AP112" s="24">
        <f>IFERROR(IF(AND($AN112&lt;&gt;"",$N112&lt;&gt;"Closed",$N112&lt;&gt;"Canceled",OR('Dashboard'!$B$4="All",$B112='Dashboard'!$B$4),OR('Dashboard'!$D$4="All",$C112='Dashboard'!$D$4)),COUNTIFS($AN$6:$AN112,"&lt;&gt;",$N$6:$N112,"&lt;&gt;Closed",$N$6:$N112,"&lt;&gt;Canceled",$B$6:$B112,IF('Dashboard'!$B$4="All","&lt;&gt;",'Dashboard'!$B$4),$C$6:$C112,IF('Dashboard'!$D$4="All","&lt;&gt;",'Dashboard'!$D$4)),""),"")</f>
        <v/>
      </c>
    </row>
    <row r="113">
      <c r="A113" s="23" t="n"/>
      <c r="B113" s="23" t="n"/>
      <c r="C113" s="23" t="n"/>
      <c r="D113" s="23" t="n"/>
      <c r="E113" s="23" t="n"/>
      <c r="F113" s="24">
        <f>IFERROR(IF($E113="","",VLOOKUP($E113,'Settings'!$G$16:$M$115,2,0)),"")</f>
        <v/>
      </c>
      <c r="G113" s="25" t="n"/>
      <c r="H113" s="51" t="n"/>
      <c r="I113" s="51" t="n"/>
      <c r="J113" s="23" t="n"/>
      <c r="K113" s="23" t="n"/>
      <c r="L113" s="51" t="n"/>
      <c r="M113" s="27">
        <f>IFERROR(IF($A113="","",IF($J113="Approved",MAX(0,$L113-$H113),"")),"")</f>
        <v/>
      </c>
      <c r="N113" s="23" t="n"/>
      <c r="O113" s="51" t="n"/>
      <c r="P113" s="23" t="n"/>
      <c r="Q113" s="25" t="n"/>
      <c r="R113" s="28" t="n"/>
      <c r="S113" s="52" t="n"/>
      <c r="T113" s="52" t="n"/>
      <c r="U113" s="23" t="n"/>
      <c r="V113" s="30" t="n"/>
      <c r="W113" s="52" t="n"/>
      <c r="X113" s="53">
        <f>IFERROR(IF($A113="","",MAX(0,$R113*$S113-$T113)),"")</f>
        <v/>
      </c>
      <c r="Y113" s="53">
        <f>IFERROR(IF($A113="","",IF($U113="Yes",$X113*$V113,0)),"")</f>
        <v/>
      </c>
      <c r="Z113" s="53">
        <f>IFERROR(IF($A113="","",$X113+$Y113+$W113),"")</f>
        <v/>
      </c>
      <c r="AA113" s="28" t="n"/>
      <c r="AB113" s="51" t="n"/>
      <c r="AC113" s="24">
        <f>IFERROR(IF($A113="","",IF($N113="Canceled","Canceled",IF($AA113=0,"Not Received",IF($AA113&lt;$R113,"Partially Received",IF($AA113=$R113,"Fully Received","Over Received"))))),"")</f>
        <v/>
      </c>
      <c r="AD113" s="25" t="n"/>
      <c r="AE113" s="23" t="n"/>
      <c r="AF113" s="51" t="n"/>
      <c r="AG113" s="52" t="n"/>
      <c r="AH113" s="53">
        <f>IFERROR(IF($A113="","",IF($AG113="","",$AG113-$Z113)),"")</f>
        <v/>
      </c>
      <c r="AI113" s="32">
        <f>IFERROR(IF($A113="","",IF(OR($AG113="",$Z113=0),"",($AG113-$Z113)/$Z113)),"")</f>
        <v/>
      </c>
      <c r="AJ113" s="23" t="n"/>
      <c r="AK113" s="51" t="n"/>
      <c r="AL113" s="53">
        <f>IFERROR(IF($A113="","",IF(OR($N113="Canceled",$N113="Closed"),0,MAX($Z113-IF($AG113="",0,$AG113),0))),"")</f>
        <v/>
      </c>
      <c r="AM113" s="27">
        <f>IFERROR(IF($A113="","",IF(OR($N113="Closed",$N113="Canceled"),IF($O113="","",MAX(0,$O113-$H113)),MAX(0,TODAY()-$H113))),"")</f>
        <v/>
      </c>
      <c r="AN113" s="24">
        <f>IFERROR(IF($A113="","",IF($AA113&gt;$R113,"Over Received",IF(AND($J113="Approved",OR($K113="",$L113="")),"Approval Missing",IF(AND($J113="Pending",$AM113&gt;'Settings'!$B$7),"Approval Follow-Up",IF(AND($N113="Open",$I113&lt;&gt;"",$I113+'Settings'!$B$8&lt;TODAY(),$AA113&lt;$R113),"Delivery Overdue",IF(AND($AG113&lt;&gt;"",OR(ABS($AH113)&gt;'Settings'!$B$9,ABS($AI113)&gt;'Settings'!$B$10)),"Invoice Variance",IF(AND($N113="Open",$AM113&gt;'Settings'!$B$11),"Aging Open PO",""))))))),"")</f>
        <v/>
      </c>
      <c r="AO113" s="25" t="n"/>
      <c r="AP113" s="24">
        <f>IFERROR(IF(AND($AN113&lt;&gt;"",$N113&lt;&gt;"Closed",$N113&lt;&gt;"Canceled",OR('Dashboard'!$B$4="All",$B113='Dashboard'!$B$4),OR('Dashboard'!$D$4="All",$C113='Dashboard'!$D$4)),COUNTIFS($AN$6:$AN113,"&lt;&gt;",$N$6:$N113,"&lt;&gt;Closed",$N$6:$N113,"&lt;&gt;Canceled",$B$6:$B113,IF('Dashboard'!$B$4="All","&lt;&gt;",'Dashboard'!$B$4),$C$6:$C113,IF('Dashboard'!$D$4="All","&lt;&gt;",'Dashboard'!$D$4)),""),"")</f>
        <v/>
      </c>
    </row>
    <row r="114">
      <c r="A114" s="23" t="n"/>
      <c r="B114" s="23" t="n"/>
      <c r="C114" s="23" t="n"/>
      <c r="D114" s="23" t="n"/>
      <c r="E114" s="23" t="n"/>
      <c r="F114" s="24">
        <f>IFERROR(IF($E114="","",VLOOKUP($E114,'Settings'!$G$16:$M$115,2,0)),"")</f>
        <v/>
      </c>
      <c r="G114" s="25" t="n"/>
      <c r="H114" s="51" t="n"/>
      <c r="I114" s="51" t="n"/>
      <c r="J114" s="23" t="n"/>
      <c r="K114" s="23" t="n"/>
      <c r="L114" s="51" t="n"/>
      <c r="M114" s="27">
        <f>IFERROR(IF($A114="","",IF($J114="Approved",MAX(0,$L114-$H114),"")),"")</f>
        <v/>
      </c>
      <c r="N114" s="23" t="n"/>
      <c r="O114" s="51" t="n"/>
      <c r="P114" s="23" t="n"/>
      <c r="Q114" s="25" t="n"/>
      <c r="R114" s="28" t="n"/>
      <c r="S114" s="52" t="n"/>
      <c r="T114" s="52" t="n"/>
      <c r="U114" s="23" t="n"/>
      <c r="V114" s="30" t="n"/>
      <c r="W114" s="52" t="n"/>
      <c r="X114" s="53">
        <f>IFERROR(IF($A114="","",MAX(0,$R114*$S114-$T114)),"")</f>
        <v/>
      </c>
      <c r="Y114" s="53">
        <f>IFERROR(IF($A114="","",IF($U114="Yes",$X114*$V114,0)),"")</f>
        <v/>
      </c>
      <c r="Z114" s="53">
        <f>IFERROR(IF($A114="","",$X114+$Y114+$W114),"")</f>
        <v/>
      </c>
      <c r="AA114" s="28" t="n"/>
      <c r="AB114" s="51" t="n"/>
      <c r="AC114" s="24">
        <f>IFERROR(IF($A114="","",IF($N114="Canceled","Canceled",IF($AA114=0,"Not Received",IF($AA114&lt;$R114,"Partially Received",IF($AA114=$R114,"Fully Received","Over Received"))))),"")</f>
        <v/>
      </c>
      <c r="AD114" s="25" t="n"/>
      <c r="AE114" s="23" t="n"/>
      <c r="AF114" s="51" t="n"/>
      <c r="AG114" s="52" t="n"/>
      <c r="AH114" s="53">
        <f>IFERROR(IF($A114="","",IF($AG114="","",$AG114-$Z114)),"")</f>
        <v/>
      </c>
      <c r="AI114" s="32">
        <f>IFERROR(IF($A114="","",IF(OR($AG114="",$Z114=0),"",($AG114-$Z114)/$Z114)),"")</f>
        <v/>
      </c>
      <c r="AJ114" s="23" t="n"/>
      <c r="AK114" s="51" t="n"/>
      <c r="AL114" s="53">
        <f>IFERROR(IF($A114="","",IF(OR($N114="Canceled",$N114="Closed"),0,MAX($Z114-IF($AG114="",0,$AG114),0))),"")</f>
        <v/>
      </c>
      <c r="AM114" s="27">
        <f>IFERROR(IF($A114="","",IF(OR($N114="Closed",$N114="Canceled"),IF($O114="","",MAX(0,$O114-$H114)),MAX(0,TODAY()-$H114))),"")</f>
        <v/>
      </c>
      <c r="AN114" s="24">
        <f>IFERROR(IF($A114="","",IF($AA114&gt;$R114,"Over Received",IF(AND($J114="Approved",OR($K114="",$L114="")),"Approval Missing",IF(AND($J114="Pending",$AM114&gt;'Settings'!$B$7),"Approval Follow-Up",IF(AND($N114="Open",$I114&lt;&gt;"",$I114+'Settings'!$B$8&lt;TODAY(),$AA114&lt;$R114),"Delivery Overdue",IF(AND($AG114&lt;&gt;"",OR(ABS($AH114)&gt;'Settings'!$B$9,ABS($AI114)&gt;'Settings'!$B$10)),"Invoice Variance",IF(AND($N114="Open",$AM114&gt;'Settings'!$B$11),"Aging Open PO",""))))))),"")</f>
        <v/>
      </c>
      <c r="AO114" s="25" t="n"/>
      <c r="AP114" s="24">
        <f>IFERROR(IF(AND($AN114&lt;&gt;"",$N114&lt;&gt;"Closed",$N114&lt;&gt;"Canceled",OR('Dashboard'!$B$4="All",$B114='Dashboard'!$B$4),OR('Dashboard'!$D$4="All",$C114='Dashboard'!$D$4)),COUNTIFS($AN$6:$AN114,"&lt;&gt;",$N$6:$N114,"&lt;&gt;Closed",$N$6:$N114,"&lt;&gt;Canceled",$B$6:$B114,IF('Dashboard'!$B$4="All","&lt;&gt;",'Dashboard'!$B$4),$C$6:$C114,IF('Dashboard'!$D$4="All","&lt;&gt;",'Dashboard'!$D$4)),""),"")</f>
        <v/>
      </c>
    </row>
    <row r="115">
      <c r="A115" s="23" t="n"/>
      <c r="B115" s="23" t="n"/>
      <c r="C115" s="23" t="n"/>
      <c r="D115" s="23" t="n"/>
      <c r="E115" s="23" t="n"/>
      <c r="F115" s="24">
        <f>IFERROR(IF($E115="","",VLOOKUP($E115,'Settings'!$G$16:$M$115,2,0)),"")</f>
        <v/>
      </c>
      <c r="G115" s="25" t="n"/>
      <c r="H115" s="51" t="n"/>
      <c r="I115" s="51" t="n"/>
      <c r="J115" s="23" t="n"/>
      <c r="K115" s="23" t="n"/>
      <c r="L115" s="51" t="n"/>
      <c r="M115" s="27">
        <f>IFERROR(IF($A115="","",IF($J115="Approved",MAX(0,$L115-$H115),"")),"")</f>
        <v/>
      </c>
      <c r="N115" s="23" t="n"/>
      <c r="O115" s="51" t="n"/>
      <c r="P115" s="23" t="n"/>
      <c r="Q115" s="25" t="n"/>
      <c r="R115" s="28" t="n"/>
      <c r="S115" s="52" t="n"/>
      <c r="T115" s="52" t="n"/>
      <c r="U115" s="23" t="n"/>
      <c r="V115" s="30" t="n"/>
      <c r="W115" s="52" t="n"/>
      <c r="X115" s="53">
        <f>IFERROR(IF($A115="","",MAX(0,$R115*$S115-$T115)),"")</f>
        <v/>
      </c>
      <c r="Y115" s="53">
        <f>IFERROR(IF($A115="","",IF($U115="Yes",$X115*$V115,0)),"")</f>
        <v/>
      </c>
      <c r="Z115" s="53">
        <f>IFERROR(IF($A115="","",$X115+$Y115+$W115),"")</f>
        <v/>
      </c>
      <c r="AA115" s="28" t="n"/>
      <c r="AB115" s="51" t="n"/>
      <c r="AC115" s="24">
        <f>IFERROR(IF($A115="","",IF($N115="Canceled","Canceled",IF($AA115=0,"Not Received",IF($AA115&lt;$R115,"Partially Received",IF($AA115=$R115,"Fully Received","Over Received"))))),"")</f>
        <v/>
      </c>
      <c r="AD115" s="25" t="n"/>
      <c r="AE115" s="23" t="n"/>
      <c r="AF115" s="51" t="n"/>
      <c r="AG115" s="52" t="n"/>
      <c r="AH115" s="53">
        <f>IFERROR(IF($A115="","",IF($AG115="","",$AG115-$Z115)),"")</f>
        <v/>
      </c>
      <c r="AI115" s="32">
        <f>IFERROR(IF($A115="","",IF(OR($AG115="",$Z115=0),"",($AG115-$Z115)/$Z115)),"")</f>
        <v/>
      </c>
      <c r="AJ115" s="23" t="n"/>
      <c r="AK115" s="51" t="n"/>
      <c r="AL115" s="53">
        <f>IFERROR(IF($A115="","",IF(OR($N115="Canceled",$N115="Closed"),0,MAX($Z115-IF($AG115="",0,$AG115),0))),"")</f>
        <v/>
      </c>
      <c r="AM115" s="27">
        <f>IFERROR(IF($A115="","",IF(OR($N115="Closed",$N115="Canceled"),IF($O115="","",MAX(0,$O115-$H115)),MAX(0,TODAY()-$H115))),"")</f>
        <v/>
      </c>
      <c r="AN115" s="24">
        <f>IFERROR(IF($A115="","",IF($AA115&gt;$R115,"Over Received",IF(AND($J115="Approved",OR($K115="",$L115="")),"Approval Missing",IF(AND($J115="Pending",$AM115&gt;'Settings'!$B$7),"Approval Follow-Up",IF(AND($N115="Open",$I115&lt;&gt;"",$I115+'Settings'!$B$8&lt;TODAY(),$AA115&lt;$R115),"Delivery Overdue",IF(AND($AG115&lt;&gt;"",OR(ABS($AH115)&gt;'Settings'!$B$9,ABS($AI115)&gt;'Settings'!$B$10)),"Invoice Variance",IF(AND($N115="Open",$AM115&gt;'Settings'!$B$11),"Aging Open PO",""))))))),"")</f>
        <v/>
      </c>
      <c r="AO115" s="25" t="n"/>
      <c r="AP115" s="24">
        <f>IFERROR(IF(AND($AN115&lt;&gt;"",$N115&lt;&gt;"Closed",$N115&lt;&gt;"Canceled",OR('Dashboard'!$B$4="All",$B115='Dashboard'!$B$4),OR('Dashboard'!$D$4="All",$C115='Dashboard'!$D$4)),COUNTIFS($AN$6:$AN115,"&lt;&gt;",$N$6:$N115,"&lt;&gt;Closed",$N$6:$N115,"&lt;&gt;Canceled",$B$6:$B115,IF('Dashboard'!$B$4="All","&lt;&gt;",'Dashboard'!$B$4),$C$6:$C115,IF('Dashboard'!$D$4="All","&lt;&gt;",'Dashboard'!$D$4)),""),"")</f>
        <v/>
      </c>
    </row>
    <row r="116">
      <c r="A116" s="23" t="n"/>
      <c r="B116" s="23" t="n"/>
      <c r="C116" s="23" t="n"/>
      <c r="D116" s="23" t="n"/>
      <c r="E116" s="23" t="n"/>
      <c r="F116" s="24">
        <f>IFERROR(IF($E116="","",VLOOKUP($E116,'Settings'!$G$16:$M$115,2,0)),"")</f>
        <v/>
      </c>
      <c r="G116" s="25" t="n"/>
      <c r="H116" s="51" t="n"/>
      <c r="I116" s="51" t="n"/>
      <c r="J116" s="23" t="n"/>
      <c r="K116" s="23" t="n"/>
      <c r="L116" s="51" t="n"/>
      <c r="M116" s="27">
        <f>IFERROR(IF($A116="","",IF($J116="Approved",MAX(0,$L116-$H116),"")),"")</f>
        <v/>
      </c>
      <c r="N116" s="23" t="n"/>
      <c r="O116" s="51" t="n"/>
      <c r="P116" s="23" t="n"/>
      <c r="Q116" s="25" t="n"/>
      <c r="R116" s="28" t="n"/>
      <c r="S116" s="52" t="n"/>
      <c r="T116" s="52" t="n"/>
      <c r="U116" s="23" t="n"/>
      <c r="V116" s="30" t="n"/>
      <c r="W116" s="52" t="n"/>
      <c r="X116" s="53">
        <f>IFERROR(IF($A116="","",MAX(0,$R116*$S116-$T116)),"")</f>
        <v/>
      </c>
      <c r="Y116" s="53">
        <f>IFERROR(IF($A116="","",IF($U116="Yes",$X116*$V116,0)),"")</f>
        <v/>
      </c>
      <c r="Z116" s="53">
        <f>IFERROR(IF($A116="","",$X116+$Y116+$W116),"")</f>
        <v/>
      </c>
      <c r="AA116" s="28" t="n"/>
      <c r="AB116" s="51" t="n"/>
      <c r="AC116" s="24">
        <f>IFERROR(IF($A116="","",IF($N116="Canceled","Canceled",IF($AA116=0,"Not Received",IF($AA116&lt;$R116,"Partially Received",IF($AA116=$R116,"Fully Received","Over Received"))))),"")</f>
        <v/>
      </c>
      <c r="AD116" s="25" t="n"/>
      <c r="AE116" s="23" t="n"/>
      <c r="AF116" s="51" t="n"/>
      <c r="AG116" s="52" t="n"/>
      <c r="AH116" s="53">
        <f>IFERROR(IF($A116="","",IF($AG116="","",$AG116-$Z116)),"")</f>
        <v/>
      </c>
      <c r="AI116" s="32">
        <f>IFERROR(IF($A116="","",IF(OR($AG116="",$Z116=0),"",($AG116-$Z116)/$Z116)),"")</f>
        <v/>
      </c>
      <c r="AJ116" s="23" t="n"/>
      <c r="AK116" s="51" t="n"/>
      <c r="AL116" s="53">
        <f>IFERROR(IF($A116="","",IF(OR($N116="Canceled",$N116="Closed"),0,MAX($Z116-IF($AG116="",0,$AG116),0))),"")</f>
        <v/>
      </c>
      <c r="AM116" s="27">
        <f>IFERROR(IF($A116="","",IF(OR($N116="Closed",$N116="Canceled"),IF($O116="","",MAX(0,$O116-$H116)),MAX(0,TODAY()-$H116))),"")</f>
        <v/>
      </c>
      <c r="AN116" s="24">
        <f>IFERROR(IF($A116="","",IF($AA116&gt;$R116,"Over Received",IF(AND($J116="Approved",OR($K116="",$L116="")),"Approval Missing",IF(AND($J116="Pending",$AM116&gt;'Settings'!$B$7),"Approval Follow-Up",IF(AND($N116="Open",$I116&lt;&gt;"",$I116+'Settings'!$B$8&lt;TODAY(),$AA116&lt;$R116),"Delivery Overdue",IF(AND($AG116&lt;&gt;"",OR(ABS($AH116)&gt;'Settings'!$B$9,ABS($AI116)&gt;'Settings'!$B$10)),"Invoice Variance",IF(AND($N116="Open",$AM116&gt;'Settings'!$B$11),"Aging Open PO",""))))))),"")</f>
        <v/>
      </c>
      <c r="AO116" s="25" t="n"/>
      <c r="AP116" s="24">
        <f>IFERROR(IF(AND($AN116&lt;&gt;"",$N116&lt;&gt;"Closed",$N116&lt;&gt;"Canceled",OR('Dashboard'!$B$4="All",$B116='Dashboard'!$B$4),OR('Dashboard'!$D$4="All",$C116='Dashboard'!$D$4)),COUNTIFS($AN$6:$AN116,"&lt;&gt;",$N$6:$N116,"&lt;&gt;Closed",$N$6:$N116,"&lt;&gt;Canceled",$B$6:$B116,IF('Dashboard'!$B$4="All","&lt;&gt;",'Dashboard'!$B$4),$C$6:$C116,IF('Dashboard'!$D$4="All","&lt;&gt;",'Dashboard'!$D$4)),""),"")</f>
        <v/>
      </c>
    </row>
    <row r="117">
      <c r="A117" s="23" t="n"/>
      <c r="B117" s="23" t="n"/>
      <c r="C117" s="23" t="n"/>
      <c r="D117" s="23" t="n"/>
      <c r="E117" s="23" t="n"/>
      <c r="F117" s="24">
        <f>IFERROR(IF($E117="","",VLOOKUP($E117,'Settings'!$G$16:$M$115,2,0)),"")</f>
        <v/>
      </c>
      <c r="G117" s="25" t="n"/>
      <c r="H117" s="51" t="n"/>
      <c r="I117" s="51" t="n"/>
      <c r="J117" s="23" t="n"/>
      <c r="K117" s="23" t="n"/>
      <c r="L117" s="51" t="n"/>
      <c r="M117" s="27">
        <f>IFERROR(IF($A117="","",IF($J117="Approved",MAX(0,$L117-$H117),"")),"")</f>
        <v/>
      </c>
      <c r="N117" s="23" t="n"/>
      <c r="O117" s="51" t="n"/>
      <c r="P117" s="23" t="n"/>
      <c r="Q117" s="25" t="n"/>
      <c r="R117" s="28" t="n"/>
      <c r="S117" s="52" t="n"/>
      <c r="T117" s="52" t="n"/>
      <c r="U117" s="23" t="n"/>
      <c r="V117" s="30" t="n"/>
      <c r="W117" s="52" t="n"/>
      <c r="X117" s="53">
        <f>IFERROR(IF($A117="","",MAX(0,$R117*$S117-$T117)),"")</f>
        <v/>
      </c>
      <c r="Y117" s="53">
        <f>IFERROR(IF($A117="","",IF($U117="Yes",$X117*$V117,0)),"")</f>
        <v/>
      </c>
      <c r="Z117" s="53">
        <f>IFERROR(IF($A117="","",$X117+$Y117+$W117),"")</f>
        <v/>
      </c>
      <c r="AA117" s="28" t="n"/>
      <c r="AB117" s="51" t="n"/>
      <c r="AC117" s="24">
        <f>IFERROR(IF($A117="","",IF($N117="Canceled","Canceled",IF($AA117=0,"Not Received",IF($AA117&lt;$R117,"Partially Received",IF($AA117=$R117,"Fully Received","Over Received"))))),"")</f>
        <v/>
      </c>
      <c r="AD117" s="25" t="n"/>
      <c r="AE117" s="23" t="n"/>
      <c r="AF117" s="51" t="n"/>
      <c r="AG117" s="52" t="n"/>
      <c r="AH117" s="53">
        <f>IFERROR(IF($A117="","",IF($AG117="","",$AG117-$Z117)),"")</f>
        <v/>
      </c>
      <c r="AI117" s="32">
        <f>IFERROR(IF($A117="","",IF(OR($AG117="",$Z117=0),"",($AG117-$Z117)/$Z117)),"")</f>
        <v/>
      </c>
      <c r="AJ117" s="23" t="n"/>
      <c r="AK117" s="51" t="n"/>
      <c r="AL117" s="53">
        <f>IFERROR(IF($A117="","",IF(OR($N117="Canceled",$N117="Closed"),0,MAX($Z117-IF($AG117="",0,$AG117),0))),"")</f>
        <v/>
      </c>
      <c r="AM117" s="27">
        <f>IFERROR(IF($A117="","",IF(OR($N117="Closed",$N117="Canceled"),IF($O117="","",MAX(0,$O117-$H117)),MAX(0,TODAY()-$H117))),"")</f>
        <v/>
      </c>
      <c r="AN117" s="24">
        <f>IFERROR(IF($A117="","",IF($AA117&gt;$R117,"Over Received",IF(AND($J117="Approved",OR($K117="",$L117="")),"Approval Missing",IF(AND($J117="Pending",$AM117&gt;'Settings'!$B$7),"Approval Follow-Up",IF(AND($N117="Open",$I117&lt;&gt;"",$I117+'Settings'!$B$8&lt;TODAY(),$AA117&lt;$R117),"Delivery Overdue",IF(AND($AG117&lt;&gt;"",OR(ABS($AH117)&gt;'Settings'!$B$9,ABS($AI117)&gt;'Settings'!$B$10)),"Invoice Variance",IF(AND($N117="Open",$AM117&gt;'Settings'!$B$11),"Aging Open PO",""))))))),"")</f>
        <v/>
      </c>
      <c r="AO117" s="25" t="n"/>
      <c r="AP117" s="24">
        <f>IFERROR(IF(AND($AN117&lt;&gt;"",$N117&lt;&gt;"Closed",$N117&lt;&gt;"Canceled",OR('Dashboard'!$B$4="All",$B117='Dashboard'!$B$4),OR('Dashboard'!$D$4="All",$C117='Dashboard'!$D$4)),COUNTIFS($AN$6:$AN117,"&lt;&gt;",$N$6:$N117,"&lt;&gt;Closed",$N$6:$N117,"&lt;&gt;Canceled",$B$6:$B117,IF('Dashboard'!$B$4="All","&lt;&gt;",'Dashboard'!$B$4),$C$6:$C117,IF('Dashboard'!$D$4="All","&lt;&gt;",'Dashboard'!$D$4)),""),"")</f>
        <v/>
      </c>
    </row>
    <row r="118">
      <c r="A118" s="23" t="n"/>
      <c r="B118" s="23" t="n"/>
      <c r="C118" s="23" t="n"/>
      <c r="D118" s="23" t="n"/>
      <c r="E118" s="23" t="n"/>
      <c r="F118" s="24">
        <f>IFERROR(IF($E118="","",VLOOKUP($E118,'Settings'!$G$16:$M$115,2,0)),"")</f>
        <v/>
      </c>
      <c r="G118" s="25" t="n"/>
      <c r="H118" s="51" t="n"/>
      <c r="I118" s="51" t="n"/>
      <c r="J118" s="23" t="n"/>
      <c r="K118" s="23" t="n"/>
      <c r="L118" s="51" t="n"/>
      <c r="M118" s="27">
        <f>IFERROR(IF($A118="","",IF($J118="Approved",MAX(0,$L118-$H118),"")),"")</f>
        <v/>
      </c>
      <c r="N118" s="23" t="n"/>
      <c r="O118" s="51" t="n"/>
      <c r="P118" s="23" t="n"/>
      <c r="Q118" s="25" t="n"/>
      <c r="R118" s="28" t="n"/>
      <c r="S118" s="52" t="n"/>
      <c r="T118" s="52" t="n"/>
      <c r="U118" s="23" t="n"/>
      <c r="V118" s="30" t="n"/>
      <c r="W118" s="52" t="n"/>
      <c r="X118" s="53">
        <f>IFERROR(IF($A118="","",MAX(0,$R118*$S118-$T118)),"")</f>
        <v/>
      </c>
      <c r="Y118" s="53">
        <f>IFERROR(IF($A118="","",IF($U118="Yes",$X118*$V118,0)),"")</f>
        <v/>
      </c>
      <c r="Z118" s="53">
        <f>IFERROR(IF($A118="","",$X118+$Y118+$W118),"")</f>
        <v/>
      </c>
      <c r="AA118" s="28" t="n"/>
      <c r="AB118" s="51" t="n"/>
      <c r="AC118" s="24">
        <f>IFERROR(IF($A118="","",IF($N118="Canceled","Canceled",IF($AA118=0,"Not Received",IF($AA118&lt;$R118,"Partially Received",IF($AA118=$R118,"Fully Received","Over Received"))))),"")</f>
        <v/>
      </c>
      <c r="AD118" s="25" t="n"/>
      <c r="AE118" s="23" t="n"/>
      <c r="AF118" s="51" t="n"/>
      <c r="AG118" s="52" t="n"/>
      <c r="AH118" s="53">
        <f>IFERROR(IF($A118="","",IF($AG118="","",$AG118-$Z118)),"")</f>
        <v/>
      </c>
      <c r="AI118" s="32">
        <f>IFERROR(IF($A118="","",IF(OR($AG118="",$Z118=0),"",($AG118-$Z118)/$Z118)),"")</f>
        <v/>
      </c>
      <c r="AJ118" s="23" t="n"/>
      <c r="AK118" s="51" t="n"/>
      <c r="AL118" s="53">
        <f>IFERROR(IF($A118="","",IF(OR($N118="Canceled",$N118="Closed"),0,MAX($Z118-IF($AG118="",0,$AG118),0))),"")</f>
        <v/>
      </c>
      <c r="AM118" s="27">
        <f>IFERROR(IF($A118="","",IF(OR($N118="Closed",$N118="Canceled"),IF($O118="","",MAX(0,$O118-$H118)),MAX(0,TODAY()-$H118))),"")</f>
        <v/>
      </c>
      <c r="AN118" s="24">
        <f>IFERROR(IF($A118="","",IF($AA118&gt;$R118,"Over Received",IF(AND($J118="Approved",OR($K118="",$L118="")),"Approval Missing",IF(AND($J118="Pending",$AM118&gt;'Settings'!$B$7),"Approval Follow-Up",IF(AND($N118="Open",$I118&lt;&gt;"",$I118+'Settings'!$B$8&lt;TODAY(),$AA118&lt;$R118),"Delivery Overdue",IF(AND($AG118&lt;&gt;"",OR(ABS($AH118)&gt;'Settings'!$B$9,ABS($AI118)&gt;'Settings'!$B$10)),"Invoice Variance",IF(AND($N118="Open",$AM118&gt;'Settings'!$B$11),"Aging Open PO",""))))))),"")</f>
        <v/>
      </c>
      <c r="AO118" s="25" t="n"/>
      <c r="AP118" s="24">
        <f>IFERROR(IF(AND($AN118&lt;&gt;"",$N118&lt;&gt;"Closed",$N118&lt;&gt;"Canceled",OR('Dashboard'!$B$4="All",$B118='Dashboard'!$B$4),OR('Dashboard'!$D$4="All",$C118='Dashboard'!$D$4)),COUNTIFS($AN$6:$AN118,"&lt;&gt;",$N$6:$N118,"&lt;&gt;Closed",$N$6:$N118,"&lt;&gt;Canceled",$B$6:$B118,IF('Dashboard'!$B$4="All","&lt;&gt;",'Dashboard'!$B$4),$C$6:$C118,IF('Dashboard'!$D$4="All","&lt;&gt;",'Dashboard'!$D$4)),""),"")</f>
        <v/>
      </c>
    </row>
    <row r="119">
      <c r="A119" s="23" t="n"/>
      <c r="B119" s="23" t="n"/>
      <c r="C119" s="23" t="n"/>
      <c r="D119" s="23" t="n"/>
      <c r="E119" s="23" t="n"/>
      <c r="F119" s="24">
        <f>IFERROR(IF($E119="","",VLOOKUP($E119,'Settings'!$G$16:$M$115,2,0)),"")</f>
        <v/>
      </c>
      <c r="G119" s="25" t="n"/>
      <c r="H119" s="51" t="n"/>
      <c r="I119" s="51" t="n"/>
      <c r="J119" s="23" t="n"/>
      <c r="K119" s="23" t="n"/>
      <c r="L119" s="51" t="n"/>
      <c r="M119" s="27">
        <f>IFERROR(IF($A119="","",IF($J119="Approved",MAX(0,$L119-$H119),"")),"")</f>
        <v/>
      </c>
      <c r="N119" s="23" t="n"/>
      <c r="O119" s="51" t="n"/>
      <c r="P119" s="23" t="n"/>
      <c r="Q119" s="25" t="n"/>
      <c r="R119" s="28" t="n"/>
      <c r="S119" s="52" t="n"/>
      <c r="T119" s="52" t="n"/>
      <c r="U119" s="23" t="n"/>
      <c r="V119" s="30" t="n"/>
      <c r="W119" s="52" t="n"/>
      <c r="X119" s="53">
        <f>IFERROR(IF($A119="","",MAX(0,$R119*$S119-$T119)),"")</f>
        <v/>
      </c>
      <c r="Y119" s="53">
        <f>IFERROR(IF($A119="","",IF($U119="Yes",$X119*$V119,0)),"")</f>
        <v/>
      </c>
      <c r="Z119" s="53">
        <f>IFERROR(IF($A119="","",$X119+$Y119+$W119),"")</f>
        <v/>
      </c>
      <c r="AA119" s="28" t="n"/>
      <c r="AB119" s="51" t="n"/>
      <c r="AC119" s="24">
        <f>IFERROR(IF($A119="","",IF($N119="Canceled","Canceled",IF($AA119=0,"Not Received",IF($AA119&lt;$R119,"Partially Received",IF($AA119=$R119,"Fully Received","Over Received"))))),"")</f>
        <v/>
      </c>
      <c r="AD119" s="25" t="n"/>
      <c r="AE119" s="23" t="n"/>
      <c r="AF119" s="51" t="n"/>
      <c r="AG119" s="52" t="n"/>
      <c r="AH119" s="53">
        <f>IFERROR(IF($A119="","",IF($AG119="","",$AG119-$Z119)),"")</f>
        <v/>
      </c>
      <c r="AI119" s="32">
        <f>IFERROR(IF($A119="","",IF(OR($AG119="",$Z119=0),"",($AG119-$Z119)/$Z119)),"")</f>
        <v/>
      </c>
      <c r="AJ119" s="23" t="n"/>
      <c r="AK119" s="51" t="n"/>
      <c r="AL119" s="53">
        <f>IFERROR(IF($A119="","",IF(OR($N119="Canceled",$N119="Closed"),0,MAX($Z119-IF($AG119="",0,$AG119),0))),"")</f>
        <v/>
      </c>
      <c r="AM119" s="27">
        <f>IFERROR(IF($A119="","",IF(OR($N119="Closed",$N119="Canceled"),IF($O119="","",MAX(0,$O119-$H119)),MAX(0,TODAY()-$H119))),"")</f>
        <v/>
      </c>
      <c r="AN119" s="24">
        <f>IFERROR(IF($A119="","",IF($AA119&gt;$R119,"Over Received",IF(AND($J119="Approved",OR($K119="",$L119="")),"Approval Missing",IF(AND($J119="Pending",$AM119&gt;'Settings'!$B$7),"Approval Follow-Up",IF(AND($N119="Open",$I119&lt;&gt;"",$I119+'Settings'!$B$8&lt;TODAY(),$AA119&lt;$R119),"Delivery Overdue",IF(AND($AG119&lt;&gt;"",OR(ABS($AH119)&gt;'Settings'!$B$9,ABS($AI119)&gt;'Settings'!$B$10)),"Invoice Variance",IF(AND($N119="Open",$AM119&gt;'Settings'!$B$11),"Aging Open PO",""))))))),"")</f>
        <v/>
      </c>
      <c r="AO119" s="25" t="n"/>
      <c r="AP119" s="24">
        <f>IFERROR(IF(AND($AN119&lt;&gt;"",$N119&lt;&gt;"Closed",$N119&lt;&gt;"Canceled",OR('Dashboard'!$B$4="All",$B119='Dashboard'!$B$4),OR('Dashboard'!$D$4="All",$C119='Dashboard'!$D$4)),COUNTIFS($AN$6:$AN119,"&lt;&gt;",$N$6:$N119,"&lt;&gt;Closed",$N$6:$N119,"&lt;&gt;Canceled",$B$6:$B119,IF('Dashboard'!$B$4="All","&lt;&gt;",'Dashboard'!$B$4),$C$6:$C119,IF('Dashboard'!$D$4="All","&lt;&gt;",'Dashboard'!$D$4)),""),"")</f>
        <v/>
      </c>
    </row>
    <row r="120">
      <c r="A120" s="23" t="n"/>
      <c r="B120" s="23" t="n"/>
      <c r="C120" s="23" t="n"/>
      <c r="D120" s="23" t="n"/>
      <c r="E120" s="23" t="n"/>
      <c r="F120" s="24">
        <f>IFERROR(IF($E120="","",VLOOKUP($E120,'Settings'!$G$16:$M$115,2,0)),"")</f>
        <v/>
      </c>
      <c r="G120" s="25" t="n"/>
      <c r="H120" s="51" t="n"/>
      <c r="I120" s="51" t="n"/>
      <c r="J120" s="23" t="n"/>
      <c r="K120" s="23" t="n"/>
      <c r="L120" s="51" t="n"/>
      <c r="M120" s="27">
        <f>IFERROR(IF($A120="","",IF($J120="Approved",MAX(0,$L120-$H120),"")),"")</f>
        <v/>
      </c>
      <c r="N120" s="23" t="n"/>
      <c r="O120" s="51" t="n"/>
      <c r="P120" s="23" t="n"/>
      <c r="Q120" s="25" t="n"/>
      <c r="R120" s="28" t="n"/>
      <c r="S120" s="52" t="n"/>
      <c r="T120" s="52" t="n"/>
      <c r="U120" s="23" t="n"/>
      <c r="V120" s="30" t="n"/>
      <c r="W120" s="52" t="n"/>
      <c r="X120" s="53">
        <f>IFERROR(IF($A120="","",MAX(0,$R120*$S120-$T120)),"")</f>
        <v/>
      </c>
      <c r="Y120" s="53">
        <f>IFERROR(IF($A120="","",IF($U120="Yes",$X120*$V120,0)),"")</f>
        <v/>
      </c>
      <c r="Z120" s="53">
        <f>IFERROR(IF($A120="","",$X120+$Y120+$W120),"")</f>
        <v/>
      </c>
      <c r="AA120" s="28" t="n"/>
      <c r="AB120" s="51" t="n"/>
      <c r="AC120" s="24">
        <f>IFERROR(IF($A120="","",IF($N120="Canceled","Canceled",IF($AA120=0,"Not Received",IF($AA120&lt;$R120,"Partially Received",IF($AA120=$R120,"Fully Received","Over Received"))))),"")</f>
        <v/>
      </c>
      <c r="AD120" s="25" t="n"/>
      <c r="AE120" s="23" t="n"/>
      <c r="AF120" s="51" t="n"/>
      <c r="AG120" s="52" t="n"/>
      <c r="AH120" s="53">
        <f>IFERROR(IF($A120="","",IF($AG120="","",$AG120-$Z120)),"")</f>
        <v/>
      </c>
      <c r="AI120" s="32">
        <f>IFERROR(IF($A120="","",IF(OR($AG120="",$Z120=0),"",($AG120-$Z120)/$Z120)),"")</f>
        <v/>
      </c>
      <c r="AJ120" s="23" t="n"/>
      <c r="AK120" s="51" t="n"/>
      <c r="AL120" s="53">
        <f>IFERROR(IF($A120="","",IF(OR($N120="Canceled",$N120="Closed"),0,MAX($Z120-IF($AG120="",0,$AG120),0))),"")</f>
        <v/>
      </c>
      <c r="AM120" s="27">
        <f>IFERROR(IF($A120="","",IF(OR($N120="Closed",$N120="Canceled"),IF($O120="","",MAX(0,$O120-$H120)),MAX(0,TODAY()-$H120))),"")</f>
        <v/>
      </c>
      <c r="AN120" s="24">
        <f>IFERROR(IF($A120="","",IF($AA120&gt;$R120,"Over Received",IF(AND($J120="Approved",OR($K120="",$L120="")),"Approval Missing",IF(AND($J120="Pending",$AM120&gt;'Settings'!$B$7),"Approval Follow-Up",IF(AND($N120="Open",$I120&lt;&gt;"",$I120+'Settings'!$B$8&lt;TODAY(),$AA120&lt;$R120),"Delivery Overdue",IF(AND($AG120&lt;&gt;"",OR(ABS($AH120)&gt;'Settings'!$B$9,ABS($AI120)&gt;'Settings'!$B$10)),"Invoice Variance",IF(AND($N120="Open",$AM120&gt;'Settings'!$B$11),"Aging Open PO",""))))))),"")</f>
        <v/>
      </c>
      <c r="AO120" s="25" t="n"/>
      <c r="AP120" s="24">
        <f>IFERROR(IF(AND($AN120&lt;&gt;"",$N120&lt;&gt;"Closed",$N120&lt;&gt;"Canceled",OR('Dashboard'!$B$4="All",$B120='Dashboard'!$B$4),OR('Dashboard'!$D$4="All",$C120='Dashboard'!$D$4)),COUNTIFS($AN$6:$AN120,"&lt;&gt;",$N$6:$N120,"&lt;&gt;Closed",$N$6:$N120,"&lt;&gt;Canceled",$B$6:$B120,IF('Dashboard'!$B$4="All","&lt;&gt;",'Dashboard'!$B$4),$C$6:$C120,IF('Dashboard'!$D$4="All","&lt;&gt;",'Dashboard'!$D$4)),""),"")</f>
        <v/>
      </c>
    </row>
    <row r="121">
      <c r="A121" s="23" t="n"/>
      <c r="B121" s="23" t="n"/>
      <c r="C121" s="23" t="n"/>
      <c r="D121" s="23" t="n"/>
      <c r="E121" s="23" t="n"/>
      <c r="F121" s="24">
        <f>IFERROR(IF($E121="","",VLOOKUP($E121,'Settings'!$G$16:$M$115,2,0)),"")</f>
        <v/>
      </c>
      <c r="G121" s="25" t="n"/>
      <c r="H121" s="51" t="n"/>
      <c r="I121" s="51" t="n"/>
      <c r="J121" s="23" t="n"/>
      <c r="K121" s="23" t="n"/>
      <c r="L121" s="51" t="n"/>
      <c r="M121" s="27">
        <f>IFERROR(IF($A121="","",IF($J121="Approved",MAX(0,$L121-$H121),"")),"")</f>
        <v/>
      </c>
      <c r="N121" s="23" t="n"/>
      <c r="O121" s="51" t="n"/>
      <c r="P121" s="23" t="n"/>
      <c r="Q121" s="25" t="n"/>
      <c r="R121" s="28" t="n"/>
      <c r="S121" s="52" t="n"/>
      <c r="T121" s="52" t="n"/>
      <c r="U121" s="23" t="n"/>
      <c r="V121" s="30" t="n"/>
      <c r="W121" s="52" t="n"/>
      <c r="X121" s="53">
        <f>IFERROR(IF($A121="","",MAX(0,$R121*$S121-$T121)),"")</f>
        <v/>
      </c>
      <c r="Y121" s="53">
        <f>IFERROR(IF($A121="","",IF($U121="Yes",$X121*$V121,0)),"")</f>
        <v/>
      </c>
      <c r="Z121" s="53">
        <f>IFERROR(IF($A121="","",$X121+$Y121+$W121),"")</f>
        <v/>
      </c>
      <c r="AA121" s="28" t="n"/>
      <c r="AB121" s="51" t="n"/>
      <c r="AC121" s="24">
        <f>IFERROR(IF($A121="","",IF($N121="Canceled","Canceled",IF($AA121=0,"Not Received",IF($AA121&lt;$R121,"Partially Received",IF($AA121=$R121,"Fully Received","Over Received"))))),"")</f>
        <v/>
      </c>
      <c r="AD121" s="25" t="n"/>
      <c r="AE121" s="23" t="n"/>
      <c r="AF121" s="51" t="n"/>
      <c r="AG121" s="52" t="n"/>
      <c r="AH121" s="53">
        <f>IFERROR(IF($A121="","",IF($AG121="","",$AG121-$Z121)),"")</f>
        <v/>
      </c>
      <c r="AI121" s="32">
        <f>IFERROR(IF($A121="","",IF(OR($AG121="",$Z121=0),"",($AG121-$Z121)/$Z121)),"")</f>
        <v/>
      </c>
      <c r="AJ121" s="23" t="n"/>
      <c r="AK121" s="51" t="n"/>
      <c r="AL121" s="53">
        <f>IFERROR(IF($A121="","",IF(OR($N121="Canceled",$N121="Closed"),0,MAX($Z121-IF($AG121="",0,$AG121),0))),"")</f>
        <v/>
      </c>
      <c r="AM121" s="27">
        <f>IFERROR(IF($A121="","",IF(OR($N121="Closed",$N121="Canceled"),IF($O121="","",MAX(0,$O121-$H121)),MAX(0,TODAY()-$H121))),"")</f>
        <v/>
      </c>
      <c r="AN121" s="24">
        <f>IFERROR(IF($A121="","",IF($AA121&gt;$R121,"Over Received",IF(AND($J121="Approved",OR($K121="",$L121="")),"Approval Missing",IF(AND($J121="Pending",$AM121&gt;'Settings'!$B$7),"Approval Follow-Up",IF(AND($N121="Open",$I121&lt;&gt;"",$I121+'Settings'!$B$8&lt;TODAY(),$AA121&lt;$R121),"Delivery Overdue",IF(AND($AG121&lt;&gt;"",OR(ABS($AH121)&gt;'Settings'!$B$9,ABS($AI121)&gt;'Settings'!$B$10)),"Invoice Variance",IF(AND($N121="Open",$AM121&gt;'Settings'!$B$11),"Aging Open PO",""))))))),"")</f>
        <v/>
      </c>
      <c r="AO121" s="25" t="n"/>
      <c r="AP121" s="24">
        <f>IFERROR(IF(AND($AN121&lt;&gt;"",$N121&lt;&gt;"Closed",$N121&lt;&gt;"Canceled",OR('Dashboard'!$B$4="All",$B121='Dashboard'!$B$4),OR('Dashboard'!$D$4="All",$C121='Dashboard'!$D$4)),COUNTIFS($AN$6:$AN121,"&lt;&gt;",$N$6:$N121,"&lt;&gt;Closed",$N$6:$N121,"&lt;&gt;Canceled",$B$6:$B121,IF('Dashboard'!$B$4="All","&lt;&gt;",'Dashboard'!$B$4),$C$6:$C121,IF('Dashboard'!$D$4="All","&lt;&gt;",'Dashboard'!$D$4)),""),"")</f>
        <v/>
      </c>
    </row>
    <row r="122">
      <c r="A122" s="23" t="n"/>
      <c r="B122" s="23" t="n"/>
      <c r="C122" s="23" t="n"/>
      <c r="D122" s="23" t="n"/>
      <c r="E122" s="23" t="n"/>
      <c r="F122" s="24">
        <f>IFERROR(IF($E122="","",VLOOKUP($E122,'Settings'!$G$16:$M$115,2,0)),"")</f>
        <v/>
      </c>
      <c r="G122" s="25" t="n"/>
      <c r="H122" s="51" t="n"/>
      <c r="I122" s="51" t="n"/>
      <c r="J122" s="23" t="n"/>
      <c r="K122" s="23" t="n"/>
      <c r="L122" s="51" t="n"/>
      <c r="M122" s="27">
        <f>IFERROR(IF($A122="","",IF($J122="Approved",MAX(0,$L122-$H122),"")),"")</f>
        <v/>
      </c>
      <c r="N122" s="23" t="n"/>
      <c r="O122" s="51" t="n"/>
      <c r="P122" s="23" t="n"/>
      <c r="Q122" s="25" t="n"/>
      <c r="R122" s="28" t="n"/>
      <c r="S122" s="52" t="n"/>
      <c r="T122" s="52" t="n"/>
      <c r="U122" s="23" t="n"/>
      <c r="V122" s="30" t="n"/>
      <c r="W122" s="52" t="n"/>
      <c r="X122" s="53">
        <f>IFERROR(IF($A122="","",MAX(0,$R122*$S122-$T122)),"")</f>
        <v/>
      </c>
      <c r="Y122" s="53">
        <f>IFERROR(IF($A122="","",IF($U122="Yes",$X122*$V122,0)),"")</f>
        <v/>
      </c>
      <c r="Z122" s="53">
        <f>IFERROR(IF($A122="","",$X122+$Y122+$W122),"")</f>
        <v/>
      </c>
      <c r="AA122" s="28" t="n"/>
      <c r="AB122" s="51" t="n"/>
      <c r="AC122" s="24">
        <f>IFERROR(IF($A122="","",IF($N122="Canceled","Canceled",IF($AA122=0,"Not Received",IF($AA122&lt;$R122,"Partially Received",IF($AA122=$R122,"Fully Received","Over Received"))))),"")</f>
        <v/>
      </c>
      <c r="AD122" s="25" t="n"/>
      <c r="AE122" s="23" t="n"/>
      <c r="AF122" s="51" t="n"/>
      <c r="AG122" s="52" t="n"/>
      <c r="AH122" s="53">
        <f>IFERROR(IF($A122="","",IF($AG122="","",$AG122-$Z122)),"")</f>
        <v/>
      </c>
      <c r="AI122" s="32">
        <f>IFERROR(IF($A122="","",IF(OR($AG122="",$Z122=0),"",($AG122-$Z122)/$Z122)),"")</f>
        <v/>
      </c>
      <c r="AJ122" s="23" t="n"/>
      <c r="AK122" s="51" t="n"/>
      <c r="AL122" s="53">
        <f>IFERROR(IF($A122="","",IF(OR($N122="Canceled",$N122="Closed"),0,MAX($Z122-IF($AG122="",0,$AG122),0))),"")</f>
        <v/>
      </c>
      <c r="AM122" s="27">
        <f>IFERROR(IF($A122="","",IF(OR($N122="Closed",$N122="Canceled"),IF($O122="","",MAX(0,$O122-$H122)),MAX(0,TODAY()-$H122))),"")</f>
        <v/>
      </c>
      <c r="AN122" s="24">
        <f>IFERROR(IF($A122="","",IF($AA122&gt;$R122,"Over Received",IF(AND($J122="Approved",OR($K122="",$L122="")),"Approval Missing",IF(AND($J122="Pending",$AM122&gt;'Settings'!$B$7),"Approval Follow-Up",IF(AND($N122="Open",$I122&lt;&gt;"",$I122+'Settings'!$B$8&lt;TODAY(),$AA122&lt;$R122),"Delivery Overdue",IF(AND($AG122&lt;&gt;"",OR(ABS($AH122)&gt;'Settings'!$B$9,ABS($AI122)&gt;'Settings'!$B$10)),"Invoice Variance",IF(AND($N122="Open",$AM122&gt;'Settings'!$B$11),"Aging Open PO",""))))))),"")</f>
        <v/>
      </c>
      <c r="AO122" s="25" t="n"/>
      <c r="AP122" s="24">
        <f>IFERROR(IF(AND($AN122&lt;&gt;"",$N122&lt;&gt;"Closed",$N122&lt;&gt;"Canceled",OR('Dashboard'!$B$4="All",$B122='Dashboard'!$B$4),OR('Dashboard'!$D$4="All",$C122='Dashboard'!$D$4)),COUNTIFS($AN$6:$AN122,"&lt;&gt;",$N$6:$N122,"&lt;&gt;Closed",$N$6:$N122,"&lt;&gt;Canceled",$B$6:$B122,IF('Dashboard'!$B$4="All","&lt;&gt;",'Dashboard'!$B$4),$C$6:$C122,IF('Dashboard'!$D$4="All","&lt;&gt;",'Dashboard'!$D$4)),""),"")</f>
        <v/>
      </c>
    </row>
    <row r="123">
      <c r="A123" s="23" t="n"/>
      <c r="B123" s="23" t="n"/>
      <c r="C123" s="23" t="n"/>
      <c r="D123" s="23" t="n"/>
      <c r="E123" s="23" t="n"/>
      <c r="F123" s="24">
        <f>IFERROR(IF($E123="","",VLOOKUP($E123,'Settings'!$G$16:$M$115,2,0)),"")</f>
        <v/>
      </c>
      <c r="G123" s="25" t="n"/>
      <c r="H123" s="51" t="n"/>
      <c r="I123" s="51" t="n"/>
      <c r="J123" s="23" t="n"/>
      <c r="K123" s="23" t="n"/>
      <c r="L123" s="51" t="n"/>
      <c r="M123" s="27">
        <f>IFERROR(IF($A123="","",IF($J123="Approved",MAX(0,$L123-$H123),"")),"")</f>
        <v/>
      </c>
      <c r="N123" s="23" t="n"/>
      <c r="O123" s="51" t="n"/>
      <c r="P123" s="23" t="n"/>
      <c r="Q123" s="25" t="n"/>
      <c r="R123" s="28" t="n"/>
      <c r="S123" s="52" t="n"/>
      <c r="T123" s="52" t="n"/>
      <c r="U123" s="23" t="n"/>
      <c r="V123" s="30" t="n"/>
      <c r="W123" s="52" t="n"/>
      <c r="X123" s="53">
        <f>IFERROR(IF($A123="","",MAX(0,$R123*$S123-$T123)),"")</f>
        <v/>
      </c>
      <c r="Y123" s="53">
        <f>IFERROR(IF($A123="","",IF($U123="Yes",$X123*$V123,0)),"")</f>
        <v/>
      </c>
      <c r="Z123" s="53">
        <f>IFERROR(IF($A123="","",$X123+$Y123+$W123),"")</f>
        <v/>
      </c>
      <c r="AA123" s="28" t="n"/>
      <c r="AB123" s="51" t="n"/>
      <c r="AC123" s="24">
        <f>IFERROR(IF($A123="","",IF($N123="Canceled","Canceled",IF($AA123=0,"Not Received",IF($AA123&lt;$R123,"Partially Received",IF($AA123=$R123,"Fully Received","Over Received"))))),"")</f>
        <v/>
      </c>
      <c r="AD123" s="25" t="n"/>
      <c r="AE123" s="23" t="n"/>
      <c r="AF123" s="51" t="n"/>
      <c r="AG123" s="52" t="n"/>
      <c r="AH123" s="53">
        <f>IFERROR(IF($A123="","",IF($AG123="","",$AG123-$Z123)),"")</f>
        <v/>
      </c>
      <c r="AI123" s="32">
        <f>IFERROR(IF($A123="","",IF(OR($AG123="",$Z123=0),"",($AG123-$Z123)/$Z123)),"")</f>
        <v/>
      </c>
      <c r="AJ123" s="23" t="n"/>
      <c r="AK123" s="51" t="n"/>
      <c r="AL123" s="53">
        <f>IFERROR(IF($A123="","",IF(OR($N123="Canceled",$N123="Closed"),0,MAX($Z123-IF($AG123="",0,$AG123),0))),"")</f>
        <v/>
      </c>
      <c r="AM123" s="27">
        <f>IFERROR(IF($A123="","",IF(OR($N123="Closed",$N123="Canceled"),IF($O123="","",MAX(0,$O123-$H123)),MAX(0,TODAY()-$H123))),"")</f>
        <v/>
      </c>
      <c r="AN123" s="24">
        <f>IFERROR(IF($A123="","",IF($AA123&gt;$R123,"Over Received",IF(AND($J123="Approved",OR($K123="",$L123="")),"Approval Missing",IF(AND($J123="Pending",$AM123&gt;'Settings'!$B$7),"Approval Follow-Up",IF(AND($N123="Open",$I123&lt;&gt;"",$I123+'Settings'!$B$8&lt;TODAY(),$AA123&lt;$R123),"Delivery Overdue",IF(AND($AG123&lt;&gt;"",OR(ABS($AH123)&gt;'Settings'!$B$9,ABS($AI123)&gt;'Settings'!$B$10)),"Invoice Variance",IF(AND($N123="Open",$AM123&gt;'Settings'!$B$11),"Aging Open PO",""))))))),"")</f>
        <v/>
      </c>
      <c r="AO123" s="25" t="n"/>
      <c r="AP123" s="24">
        <f>IFERROR(IF(AND($AN123&lt;&gt;"",$N123&lt;&gt;"Closed",$N123&lt;&gt;"Canceled",OR('Dashboard'!$B$4="All",$B123='Dashboard'!$B$4),OR('Dashboard'!$D$4="All",$C123='Dashboard'!$D$4)),COUNTIFS($AN$6:$AN123,"&lt;&gt;",$N$6:$N123,"&lt;&gt;Closed",$N$6:$N123,"&lt;&gt;Canceled",$B$6:$B123,IF('Dashboard'!$B$4="All","&lt;&gt;",'Dashboard'!$B$4),$C$6:$C123,IF('Dashboard'!$D$4="All","&lt;&gt;",'Dashboard'!$D$4)),""),"")</f>
        <v/>
      </c>
    </row>
    <row r="124">
      <c r="A124" s="23" t="n"/>
      <c r="B124" s="23" t="n"/>
      <c r="C124" s="23" t="n"/>
      <c r="D124" s="23" t="n"/>
      <c r="E124" s="23" t="n"/>
      <c r="F124" s="24">
        <f>IFERROR(IF($E124="","",VLOOKUP($E124,'Settings'!$G$16:$M$115,2,0)),"")</f>
        <v/>
      </c>
      <c r="G124" s="25" t="n"/>
      <c r="H124" s="51" t="n"/>
      <c r="I124" s="51" t="n"/>
      <c r="J124" s="23" t="n"/>
      <c r="K124" s="23" t="n"/>
      <c r="L124" s="51" t="n"/>
      <c r="M124" s="27">
        <f>IFERROR(IF($A124="","",IF($J124="Approved",MAX(0,$L124-$H124),"")),"")</f>
        <v/>
      </c>
      <c r="N124" s="23" t="n"/>
      <c r="O124" s="51" t="n"/>
      <c r="P124" s="23" t="n"/>
      <c r="Q124" s="25" t="n"/>
      <c r="R124" s="28" t="n"/>
      <c r="S124" s="52" t="n"/>
      <c r="T124" s="52" t="n"/>
      <c r="U124" s="23" t="n"/>
      <c r="V124" s="30" t="n"/>
      <c r="W124" s="52" t="n"/>
      <c r="X124" s="53">
        <f>IFERROR(IF($A124="","",MAX(0,$R124*$S124-$T124)),"")</f>
        <v/>
      </c>
      <c r="Y124" s="53">
        <f>IFERROR(IF($A124="","",IF($U124="Yes",$X124*$V124,0)),"")</f>
        <v/>
      </c>
      <c r="Z124" s="53">
        <f>IFERROR(IF($A124="","",$X124+$Y124+$W124),"")</f>
        <v/>
      </c>
      <c r="AA124" s="28" t="n"/>
      <c r="AB124" s="51" t="n"/>
      <c r="AC124" s="24">
        <f>IFERROR(IF($A124="","",IF($N124="Canceled","Canceled",IF($AA124=0,"Not Received",IF($AA124&lt;$R124,"Partially Received",IF($AA124=$R124,"Fully Received","Over Received"))))),"")</f>
        <v/>
      </c>
      <c r="AD124" s="25" t="n"/>
      <c r="AE124" s="23" t="n"/>
      <c r="AF124" s="51" t="n"/>
      <c r="AG124" s="52" t="n"/>
      <c r="AH124" s="53">
        <f>IFERROR(IF($A124="","",IF($AG124="","",$AG124-$Z124)),"")</f>
        <v/>
      </c>
      <c r="AI124" s="32">
        <f>IFERROR(IF($A124="","",IF(OR($AG124="",$Z124=0),"",($AG124-$Z124)/$Z124)),"")</f>
        <v/>
      </c>
      <c r="AJ124" s="23" t="n"/>
      <c r="AK124" s="51" t="n"/>
      <c r="AL124" s="53">
        <f>IFERROR(IF($A124="","",IF(OR($N124="Canceled",$N124="Closed"),0,MAX($Z124-IF($AG124="",0,$AG124),0))),"")</f>
        <v/>
      </c>
      <c r="AM124" s="27">
        <f>IFERROR(IF($A124="","",IF(OR($N124="Closed",$N124="Canceled"),IF($O124="","",MAX(0,$O124-$H124)),MAX(0,TODAY()-$H124))),"")</f>
        <v/>
      </c>
      <c r="AN124" s="24">
        <f>IFERROR(IF($A124="","",IF($AA124&gt;$R124,"Over Received",IF(AND($J124="Approved",OR($K124="",$L124="")),"Approval Missing",IF(AND($J124="Pending",$AM124&gt;'Settings'!$B$7),"Approval Follow-Up",IF(AND($N124="Open",$I124&lt;&gt;"",$I124+'Settings'!$B$8&lt;TODAY(),$AA124&lt;$R124),"Delivery Overdue",IF(AND($AG124&lt;&gt;"",OR(ABS($AH124)&gt;'Settings'!$B$9,ABS($AI124)&gt;'Settings'!$B$10)),"Invoice Variance",IF(AND($N124="Open",$AM124&gt;'Settings'!$B$11),"Aging Open PO",""))))))),"")</f>
        <v/>
      </c>
      <c r="AO124" s="25" t="n"/>
      <c r="AP124" s="24">
        <f>IFERROR(IF(AND($AN124&lt;&gt;"",$N124&lt;&gt;"Closed",$N124&lt;&gt;"Canceled",OR('Dashboard'!$B$4="All",$B124='Dashboard'!$B$4),OR('Dashboard'!$D$4="All",$C124='Dashboard'!$D$4)),COUNTIFS($AN$6:$AN124,"&lt;&gt;",$N$6:$N124,"&lt;&gt;Closed",$N$6:$N124,"&lt;&gt;Canceled",$B$6:$B124,IF('Dashboard'!$B$4="All","&lt;&gt;",'Dashboard'!$B$4),$C$6:$C124,IF('Dashboard'!$D$4="All","&lt;&gt;",'Dashboard'!$D$4)),""),"")</f>
        <v/>
      </c>
    </row>
    <row r="125">
      <c r="A125" s="23" t="n"/>
      <c r="B125" s="23" t="n"/>
      <c r="C125" s="23" t="n"/>
      <c r="D125" s="23" t="n"/>
      <c r="E125" s="23" t="n"/>
      <c r="F125" s="24">
        <f>IFERROR(IF($E125="","",VLOOKUP($E125,'Settings'!$G$16:$M$115,2,0)),"")</f>
        <v/>
      </c>
      <c r="G125" s="25" t="n"/>
      <c r="H125" s="51" t="n"/>
      <c r="I125" s="51" t="n"/>
      <c r="J125" s="23" t="n"/>
      <c r="K125" s="23" t="n"/>
      <c r="L125" s="51" t="n"/>
      <c r="M125" s="27">
        <f>IFERROR(IF($A125="","",IF($J125="Approved",MAX(0,$L125-$H125),"")),"")</f>
        <v/>
      </c>
      <c r="N125" s="23" t="n"/>
      <c r="O125" s="51" t="n"/>
      <c r="P125" s="23" t="n"/>
      <c r="Q125" s="25" t="n"/>
      <c r="R125" s="28" t="n"/>
      <c r="S125" s="52" t="n"/>
      <c r="T125" s="52" t="n"/>
      <c r="U125" s="23" t="n"/>
      <c r="V125" s="30" t="n"/>
      <c r="W125" s="52" t="n"/>
      <c r="X125" s="53">
        <f>IFERROR(IF($A125="","",MAX(0,$R125*$S125-$T125)),"")</f>
        <v/>
      </c>
      <c r="Y125" s="53">
        <f>IFERROR(IF($A125="","",IF($U125="Yes",$X125*$V125,0)),"")</f>
        <v/>
      </c>
      <c r="Z125" s="53">
        <f>IFERROR(IF($A125="","",$X125+$Y125+$W125),"")</f>
        <v/>
      </c>
      <c r="AA125" s="28" t="n"/>
      <c r="AB125" s="51" t="n"/>
      <c r="AC125" s="24">
        <f>IFERROR(IF($A125="","",IF($N125="Canceled","Canceled",IF($AA125=0,"Not Received",IF($AA125&lt;$R125,"Partially Received",IF($AA125=$R125,"Fully Received","Over Received"))))),"")</f>
        <v/>
      </c>
      <c r="AD125" s="25" t="n"/>
      <c r="AE125" s="23" t="n"/>
      <c r="AF125" s="51" t="n"/>
      <c r="AG125" s="52" t="n"/>
      <c r="AH125" s="53">
        <f>IFERROR(IF($A125="","",IF($AG125="","",$AG125-$Z125)),"")</f>
        <v/>
      </c>
      <c r="AI125" s="32">
        <f>IFERROR(IF($A125="","",IF(OR($AG125="",$Z125=0),"",($AG125-$Z125)/$Z125)),"")</f>
        <v/>
      </c>
      <c r="AJ125" s="23" t="n"/>
      <c r="AK125" s="51" t="n"/>
      <c r="AL125" s="53">
        <f>IFERROR(IF($A125="","",IF(OR($N125="Canceled",$N125="Closed"),0,MAX($Z125-IF($AG125="",0,$AG125),0))),"")</f>
        <v/>
      </c>
      <c r="AM125" s="27">
        <f>IFERROR(IF($A125="","",IF(OR($N125="Closed",$N125="Canceled"),IF($O125="","",MAX(0,$O125-$H125)),MAX(0,TODAY()-$H125))),"")</f>
        <v/>
      </c>
      <c r="AN125" s="24">
        <f>IFERROR(IF($A125="","",IF($AA125&gt;$R125,"Over Received",IF(AND($J125="Approved",OR($K125="",$L125="")),"Approval Missing",IF(AND($J125="Pending",$AM125&gt;'Settings'!$B$7),"Approval Follow-Up",IF(AND($N125="Open",$I125&lt;&gt;"",$I125+'Settings'!$B$8&lt;TODAY(),$AA125&lt;$R125),"Delivery Overdue",IF(AND($AG125&lt;&gt;"",OR(ABS($AH125)&gt;'Settings'!$B$9,ABS($AI125)&gt;'Settings'!$B$10)),"Invoice Variance",IF(AND($N125="Open",$AM125&gt;'Settings'!$B$11),"Aging Open PO",""))))))),"")</f>
        <v/>
      </c>
      <c r="AO125" s="25" t="n"/>
      <c r="AP125" s="24">
        <f>IFERROR(IF(AND($AN125&lt;&gt;"",$N125&lt;&gt;"Closed",$N125&lt;&gt;"Canceled",OR('Dashboard'!$B$4="All",$B125='Dashboard'!$B$4),OR('Dashboard'!$D$4="All",$C125='Dashboard'!$D$4)),COUNTIFS($AN$6:$AN125,"&lt;&gt;",$N$6:$N125,"&lt;&gt;Closed",$N$6:$N125,"&lt;&gt;Canceled",$B$6:$B125,IF('Dashboard'!$B$4="All","&lt;&gt;",'Dashboard'!$B$4),$C$6:$C125,IF('Dashboard'!$D$4="All","&lt;&gt;",'Dashboard'!$D$4)),""),"")</f>
        <v/>
      </c>
    </row>
    <row r="126">
      <c r="A126" s="23" t="n"/>
      <c r="B126" s="23" t="n"/>
      <c r="C126" s="23" t="n"/>
      <c r="D126" s="23" t="n"/>
      <c r="E126" s="23" t="n"/>
      <c r="F126" s="24">
        <f>IFERROR(IF($E126="","",VLOOKUP($E126,'Settings'!$G$16:$M$115,2,0)),"")</f>
        <v/>
      </c>
      <c r="G126" s="25" t="n"/>
      <c r="H126" s="51" t="n"/>
      <c r="I126" s="51" t="n"/>
      <c r="J126" s="23" t="n"/>
      <c r="K126" s="23" t="n"/>
      <c r="L126" s="51" t="n"/>
      <c r="M126" s="27">
        <f>IFERROR(IF($A126="","",IF($J126="Approved",MAX(0,$L126-$H126),"")),"")</f>
        <v/>
      </c>
      <c r="N126" s="23" t="n"/>
      <c r="O126" s="51" t="n"/>
      <c r="P126" s="23" t="n"/>
      <c r="Q126" s="25" t="n"/>
      <c r="R126" s="28" t="n"/>
      <c r="S126" s="52" t="n"/>
      <c r="T126" s="52" t="n"/>
      <c r="U126" s="23" t="n"/>
      <c r="V126" s="30" t="n"/>
      <c r="W126" s="52" t="n"/>
      <c r="X126" s="53">
        <f>IFERROR(IF($A126="","",MAX(0,$R126*$S126-$T126)),"")</f>
        <v/>
      </c>
      <c r="Y126" s="53">
        <f>IFERROR(IF($A126="","",IF($U126="Yes",$X126*$V126,0)),"")</f>
        <v/>
      </c>
      <c r="Z126" s="53">
        <f>IFERROR(IF($A126="","",$X126+$Y126+$W126),"")</f>
        <v/>
      </c>
      <c r="AA126" s="28" t="n"/>
      <c r="AB126" s="51" t="n"/>
      <c r="AC126" s="24">
        <f>IFERROR(IF($A126="","",IF($N126="Canceled","Canceled",IF($AA126=0,"Not Received",IF($AA126&lt;$R126,"Partially Received",IF($AA126=$R126,"Fully Received","Over Received"))))),"")</f>
        <v/>
      </c>
      <c r="AD126" s="25" t="n"/>
      <c r="AE126" s="23" t="n"/>
      <c r="AF126" s="51" t="n"/>
      <c r="AG126" s="52" t="n"/>
      <c r="AH126" s="53">
        <f>IFERROR(IF($A126="","",IF($AG126="","",$AG126-$Z126)),"")</f>
        <v/>
      </c>
      <c r="AI126" s="32">
        <f>IFERROR(IF($A126="","",IF(OR($AG126="",$Z126=0),"",($AG126-$Z126)/$Z126)),"")</f>
        <v/>
      </c>
      <c r="AJ126" s="23" t="n"/>
      <c r="AK126" s="51" t="n"/>
      <c r="AL126" s="53">
        <f>IFERROR(IF($A126="","",IF(OR($N126="Canceled",$N126="Closed"),0,MAX($Z126-IF($AG126="",0,$AG126),0))),"")</f>
        <v/>
      </c>
      <c r="AM126" s="27">
        <f>IFERROR(IF($A126="","",IF(OR($N126="Closed",$N126="Canceled"),IF($O126="","",MAX(0,$O126-$H126)),MAX(0,TODAY()-$H126))),"")</f>
        <v/>
      </c>
      <c r="AN126" s="24">
        <f>IFERROR(IF($A126="","",IF($AA126&gt;$R126,"Over Received",IF(AND($J126="Approved",OR($K126="",$L126="")),"Approval Missing",IF(AND($J126="Pending",$AM126&gt;'Settings'!$B$7),"Approval Follow-Up",IF(AND($N126="Open",$I126&lt;&gt;"",$I126+'Settings'!$B$8&lt;TODAY(),$AA126&lt;$R126),"Delivery Overdue",IF(AND($AG126&lt;&gt;"",OR(ABS($AH126)&gt;'Settings'!$B$9,ABS($AI126)&gt;'Settings'!$B$10)),"Invoice Variance",IF(AND($N126="Open",$AM126&gt;'Settings'!$B$11),"Aging Open PO",""))))))),"")</f>
        <v/>
      </c>
      <c r="AO126" s="25" t="n"/>
      <c r="AP126" s="24">
        <f>IFERROR(IF(AND($AN126&lt;&gt;"",$N126&lt;&gt;"Closed",$N126&lt;&gt;"Canceled",OR('Dashboard'!$B$4="All",$B126='Dashboard'!$B$4),OR('Dashboard'!$D$4="All",$C126='Dashboard'!$D$4)),COUNTIFS($AN$6:$AN126,"&lt;&gt;",$N$6:$N126,"&lt;&gt;Closed",$N$6:$N126,"&lt;&gt;Canceled",$B$6:$B126,IF('Dashboard'!$B$4="All","&lt;&gt;",'Dashboard'!$B$4),$C$6:$C126,IF('Dashboard'!$D$4="All","&lt;&gt;",'Dashboard'!$D$4)),""),"")</f>
        <v/>
      </c>
    </row>
    <row r="127">
      <c r="A127" s="23" t="n"/>
      <c r="B127" s="23" t="n"/>
      <c r="C127" s="23" t="n"/>
      <c r="D127" s="23" t="n"/>
      <c r="E127" s="23" t="n"/>
      <c r="F127" s="24">
        <f>IFERROR(IF($E127="","",VLOOKUP($E127,'Settings'!$G$16:$M$115,2,0)),"")</f>
        <v/>
      </c>
      <c r="G127" s="25" t="n"/>
      <c r="H127" s="51" t="n"/>
      <c r="I127" s="51" t="n"/>
      <c r="J127" s="23" t="n"/>
      <c r="K127" s="23" t="n"/>
      <c r="L127" s="51" t="n"/>
      <c r="M127" s="27">
        <f>IFERROR(IF($A127="","",IF($J127="Approved",MAX(0,$L127-$H127),"")),"")</f>
        <v/>
      </c>
      <c r="N127" s="23" t="n"/>
      <c r="O127" s="51" t="n"/>
      <c r="P127" s="23" t="n"/>
      <c r="Q127" s="25" t="n"/>
      <c r="R127" s="28" t="n"/>
      <c r="S127" s="52" t="n"/>
      <c r="T127" s="52" t="n"/>
      <c r="U127" s="23" t="n"/>
      <c r="V127" s="30" t="n"/>
      <c r="W127" s="52" t="n"/>
      <c r="X127" s="53">
        <f>IFERROR(IF($A127="","",MAX(0,$R127*$S127-$T127)),"")</f>
        <v/>
      </c>
      <c r="Y127" s="53">
        <f>IFERROR(IF($A127="","",IF($U127="Yes",$X127*$V127,0)),"")</f>
        <v/>
      </c>
      <c r="Z127" s="53">
        <f>IFERROR(IF($A127="","",$X127+$Y127+$W127),"")</f>
        <v/>
      </c>
      <c r="AA127" s="28" t="n"/>
      <c r="AB127" s="51" t="n"/>
      <c r="AC127" s="24">
        <f>IFERROR(IF($A127="","",IF($N127="Canceled","Canceled",IF($AA127=0,"Not Received",IF($AA127&lt;$R127,"Partially Received",IF($AA127=$R127,"Fully Received","Over Received"))))),"")</f>
        <v/>
      </c>
      <c r="AD127" s="25" t="n"/>
      <c r="AE127" s="23" t="n"/>
      <c r="AF127" s="51" t="n"/>
      <c r="AG127" s="52" t="n"/>
      <c r="AH127" s="53">
        <f>IFERROR(IF($A127="","",IF($AG127="","",$AG127-$Z127)),"")</f>
        <v/>
      </c>
      <c r="AI127" s="32">
        <f>IFERROR(IF($A127="","",IF(OR($AG127="",$Z127=0),"",($AG127-$Z127)/$Z127)),"")</f>
        <v/>
      </c>
      <c r="AJ127" s="23" t="n"/>
      <c r="AK127" s="51" t="n"/>
      <c r="AL127" s="53">
        <f>IFERROR(IF($A127="","",IF(OR($N127="Canceled",$N127="Closed"),0,MAX($Z127-IF($AG127="",0,$AG127),0))),"")</f>
        <v/>
      </c>
      <c r="AM127" s="27">
        <f>IFERROR(IF($A127="","",IF(OR($N127="Closed",$N127="Canceled"),IF($O127="","",MAX(0,$O127-$H127)),MAX(0,TODAY()-$H127))),"")</f>
        <v/>
      </c>
      <c r="AN127" s="24">
        <f>IFERROR(IF($A127="","",IF($AA127&gt;$R127,"Over Received",IF(AND($J127="Approved",OR($K127="",$L127="")),"Approval Missing",IF(AND($J127="Pending",$AM127&gt;'Settings'!$B$7),"Approval Follow-Up",IF(AND($N127="Open",$I127&lt;&gt;"",$I127+'Settings'!$B$8&lt;TODAY(),$AA127&lt;$R127),"Delivery Overdue",IF(AND($AG127&lt;&gt;"",OR(ABS($AH127)&gt;'Settings'!$B$9,ABS($AI127)&gt;'Settings'!$B$10)),"Invoice Variance",IF(AND($N127="Open",$AM127&gt;'Settings'!$B$11),"Aging Open PO",""))))))),"")</f>
        <v/>
      </c>
      <c r="AO127" s="25" t="n"/>
      <c r="AP127" s="24">
        <f>IFERROR(IF(AND($AN127&lt;&gt;"",$N127&lt;&gt;"Closed",$N127&lt;&gt;"Canceled",OR('Dashboard'!$B$4="All",$B127='Dashboard'!$B$4),OR('Dashboard'!$D$4="All",$C127='Dashboard'!$D$4)),COUNTIFS($AN$6:$AN127,"&lt;&gt;",$N$6:$N127,"&lt;&gt;Closed",$N$6:$N127,"&lt;&gt;Canceled",$B$6:$B127,IF('Dashboard'!$B$4="All","&lt;&gt;",'Dashboard'!$B$4),$C$6:$C127,IF('Dashboard'!$D$4="All","&lt;&gt;",'Dashboard'!$D$4)),""),"")</f>
        <v/>
      </c>
    </row>
    <row r="128">
      <c r="A128" s="23" t="n"/>
      <c r="B128" s="23" t="n"/>
      <c r="C128" s="23" t="n"/>
      <c r="D128" s="23" t="n"/>
      <c r="E128" s="23" t="n"/>
      <c r="F128" s="24">
        <f>IFERROR(IF($E128="","",VLOOKUP($E128,'Settings'!$G$16:$M$115,2,0)),"")</f>
        <v/>
      </c>
      <c r="G128" s="25" t="n"/>
      <c r="H128" s="51" t="n"/>
      <c r="I128" s="51" t="n"/>
      <c r="J128" s="23" t="n"/>
      <c r="K128" s="23" t="n"/>
      <c r="L128" s="51" t="n"/>
      <c r="M128" s="27">
        <f>IFERROR(IF($A128="","",IF($J128="Approved",MAX(0,$L128-$H128),"")),"")</f>
        <v/>
      </c>
      <c r="N128" s="23" t="n"/>
      <c r="O128" s="51" t="n"/>
      <c r="P128" s="23" t="n"/>
      <c r="Q128" s="25" t="n"/>
      <c r="R128" s="28" t="n"/>
      <c r="S128" s="52" t="n"/>
      <c r="T128" s="52" t="n"/>
      <c r="U128" s="23" t="n"/>
      <c r="V128" s="30" t="n"/>
      <c r="W128" s="52" t="n"/>
      <c r="X128" s="53">
        <f>IFERROR(IF($A128="","",MAX(0,$R128*$S128-$T128)),"")</f>
        <v/>
      </c>
      <c r="Y128" s="53">
        <f>IFERROR(IF($A128="","",IF($U128="Yes",$X128*$V128,0)),"")</f>
        <v/>
      </c>
      <c r="Z128" s="53">
        <f>IFERROR(IF($A128="","",$X128+$Y128+$W128),"")</f>
        <v/>
      </c>
      <c r="AA128" s="28" t="n"/>
      <c r="AB128" s="51" t="n"/>
      <c r="AC128" s="24">
        <f>IFERROR(IF($A128="","",IF($N128="Canceled","Canceled",IF($AA128=0,"Not Received",IF($AA128&lt;$R128,"Partially Received",IF($AA128=$R128,"Fully Received","Over Received"))))),"")</f>
        <v/>
      </c>
      <c r="AD128" s="25" t="n"/>
      <c r="AE128" s="23" t="n"/>
      <c r="AF128" s="51" t="n"/>
      <c r="AG128" s="52" t="n"/>
      <c r="AH128" s="53">
        <f>IFERROR(IF($A128="","",IF($AG128="","",$AG128-$Z128)),"")</f>
        <v/>
      </c>
      <c r="AI128" s="32">
        <f>IFERROR(IF($A128="","",IF(OR($AG128="",$Z128=0),"",($AG128-$Z128)/$Z128)),"")</f>
        <v/>
      </c>
      <c r="AJ128" s="23" t="n"/>
      <c r="AK128" s="51" t="n"/>
      <c r="AL128" s="53">
        <f>IFERROR(IF($A128="","",IF(OR($N128="Canceled",$N128="Closed"),0,MAX($Z128-IF($AG128="",0,$AG128),0))),"")</f>
        <v/>
      </c>
      <c r="AM128" s="27">
        <f>IFERROR(IF($A128="","",IF(OR($N128="Closed",$N128="Canceled"),IF($O128="","",MAX(0,$O128-$H128)),MAX(0,TODAY()-$H128))),"")</f>
        <v/>
      </c>
      <c r="AN128" s="24">
        <f>IFERROR(IF($A128="","",IF($AA128&gt;$R128,"Over Received",IF(AND($J128="Approved",OR($K128="",$L128="")),"Approval Missing",IF(AND($J128="Pending",$AM128&gt;'Settings'!$B$7),"Approval Follow-Up",IF(AND($N128="Open",$I128&lt;&gt;"",$I128+'Settings'!$B$8&lt;TODAY(),$AA128&lt;$R128),"Delivery Overdue",IF(AND($AG128&lt;&gt;"",OR(ABS($AH128)&gt;'Settings'!$B$9,ABS($AI128)&gt;'Settings'!$B$10)),"Invoice Variance",IF(AND($N128="Open",$AM128&gt;'Settings'!$B$11),"Aging Open PO",""))))))),"")</f>
        <v/>
      </c>
      <c r="AO128" s="25" t="n"/>
      <c r="AP128" s="24">
        <f>IFERROR(IF(AND($AN128&lt;&gt;"",$N128&lt;&gt;"Closed",$N128&lt;&gt;"Canceled",OR('Dashboard'!$B$4="All",$B128='Dashboard'!$B$4),OR('Dashboard'!$D$4="All",$C128='Dashboard'!$D$4)),COUNTIFS($AN$6:$AN128,"&lt;&gt;",$N$6:$N128,"&lt;&gt;Closed",$N$6:$N128,"&lt;&gt;Canceled",$B$6:$B128,IF('Dashboard'!$B$4="All","&lt;&gt;",'Dashboard'!$B$4),$C$6:$C128,IF('Dashboard'!$D$4="All","&lt;&gt;",'Dashboard'!$D$4)),""),"")</f>
        <v/>
      </c>
    </row>
    <row r="129">
      <c r="A129" s="23" t="n"/>
      <c r="B129" s="23" t="n"/>
      <c r="C129" s="23" t="n"/>
      <c r="D129" s="23" t="n"/>
      <c r="E129" s="23" t="n"/>
      <c r="F129" s="24">
        <f>IFERROR(IF($E129="","",VLOOKUP($E129,'Settings'!$G$16:$M$115,2,0)),"")</f>
        <v/>
      </c>
      <c r="G129" s="25" t="n"/>
      <c r="H129" s="51" t="n"/>
      <c r="I129" s="51" t="n"/>
      <c r="J129" s="23" t="n"/>
      <c r="K129" s="23" t="n"/>
      <c r="L129" s="51" t="n"/>
      <c r="M129" s="27">
        <f>IFERROR(IF($A129="","",IF($J129="Approved",MAX(0,$L129-$H129),"")),"")</f>
        <v/>
      </c>
      <c r="N129" s="23" t="n"/>
      <c r="O129" s="51" t="n"/>
      <c r="P129" s="23" t="n"/>
      <c r="Q129" s="25" t="n"/>
      <c r="R129" s="28" t="n"/>
      <c r="S129" s="52" t="n"/>
      <c r="T129" s="52" t="n"/>
      <c r="U129" s="23" t="n"/>
      <c r="V129" s="30" t="n"/>
      <c r="W129" s="52" t="n"/>
      <c r="X129" s="53">
        <f>IFERROR(IF($A129="","",MAX(0,$R129*$S129-$T129)),"")</f>
        <v/>
      </c>
      <c r="Y129" s="53">
        <f>IFERROR(IF($A129="","",IF($U129="Yes",$X129*$V129,0)),"")</f>
        <v/>
      </c>
      <c r="Z129" s="53">
        <f>IFERROR(IF($A129="","",$X129+$Y129+$W129),"")</f>
        <v/>
      </c>
      <c r="AA129" s="28" t="n"/>
      <c r="AB129" s="51" t="n"/>
      <c r="AC129" s="24">
        <f>IFERROR(IF($A129="","",IF($N129="Canceled","Canceled",IF($AA129=0,"Not Received",IF($AA129&lt;$R129,"Partially Received",IF($AA129=$R129,"Fully Received","Over Received"))))),"")</f>
        <v/>
      </c>
      <c r="AD129" s="25" t="n"/>
      <c r="AE129" s="23" t="n"/>
      <c r="AF129" s="51" t="n"/>
      <c r="AG129" s="52" t="n"/>
      <c r="AH129" s="53">
        <f>IFERROR(IF($A129="","",IF($AG129="","",$AG129-$Z129)),"")</f>
        <v/>
      </c>
      <c r="AI129" s="32">
        <f>IFERROR(IF($A129="","",IF(OR($AG129="",$Z129=0),"",($AG129-$Z129)/$Z129)),"")</f>
        <v/>
      </c>
      <c r="AJ129" s="23" t="n"/>
      <c r="AK129" s="51" t="n"/>
      <c r="AL129" s="53">
        <f>IFERROR(IF($A129="","",IF(OR($N129="Canceled",$N129="Closed"),0,MAX($Z129-IF($AG129="",0,$AG129),0))),"")</f>
        <v/>
      </c>
      <c r="AM129" s="27">
        <f>IFERROR(IF($A129="","",IF(OR($N129="Closed",$N129="Canceled"),IF($O129="","",MAX(0,$O129-$H129)),MAX(0,TODAY()-$H129))),"")</f>
        <v/>
      </c>
      <c r="AN129" s="24">
        <f>IFERROR(IF($A129="","",IF($AA129&gt;$R129,"Over Received",IF(AND($J129="Approved",OR($K129="",$L129="")),"Approval Missing",IF(AND($J129="Pending",$AM129&gt;'Settings'!$B$7),"Approval Follow-Up",IF(AND($N129="Open",$I129&lt;&gt;"",$I129+'Settings'!$B$8&lt;TODAY(),$AA129&lt;$R129),"Delivery Overdue",IF(AND($AG129&lt;&gt;"",OR(ABS($AH129)&gt;'Settings'!$B$9,ABS($AI129)&gt;'Settings'!$B$10)),"Invoice Variance",IF(AND($N129="Open",$AM129&gt;'Settings'!$B$11),"Aging Open PO",""))))))),"")</f>
        <v/>
      </c>
      <c r="AO129" s="25" t="n"/>
      <c r="AP129" s="24">
        <f>IFERROR(IF(AND($AN129&lt;&gt;"",$N129&lt;&gt;"Closed",$N129&lt;&gt;"Canceled",OR('Dashboard'!$B$4="All",$B129='Dashboard'!$B$4),OR('Dashboard'!$D$4="All",$C129='Dashboard'!$D$4)),COUNTIFS($AN$6:$AN129,"&lt;&gt;",$N$6:$N129,"&lt;&gt;Closed",$N$6:$N129,"&lt;&gt;Canceled",$B$6:$B129,IF('Dashboard'!$B$4="All","&lt;&gt;",'Dashboard'!$B$4),$C$6:$C129,IF('Dashboard'!$D$4="All","&lt;&gt;",'Dashboard'!$D$4)),""),"")</f>
        <v/>
      </c>
    </row>
    <row r="130">
      <c r="A130" s="23" t="n"/>
      <c r="B130" s="23" t="n"/>
      <c r="C130" s="23" t="n"/>
      <c r="D130" s="23" t="n"/>
      <c r="E130" s="23" t="n"/>
      <c r="F130" s="24">
        <f>IFERROR(IF($E130="","",VLOOKUP($E130,'Settings'!$G$16:$M$115,2,0)),"")</f>
        <v/>
      </c>
      <c r="G130" s="25" t="n"/>
      <c r="H130" s="51" t="n"/>
      <c r="I130" s="51" t="n"/>
      <c r="J130" s="23" t="n"/>
      <c r="K130" s="23" t="n"/>
      <c r="L130" s="51" t="n"/>
      <c r="M130" s="27">
        <f>IFERROR(IF($A130="","",IF($J130="Approved",MAX(0,$L130-$H130),"")),"")</f>
        <v/>
      </c>
      <c r="N130" s="23" t="n"/>
      <c r="O130" s="51" t="n"/>
      <c r="P130" s="23" t="n"/>
      <c r="Q130" s="25" t="n"/>
      <c r="R130" s="28" t="n"/>
      <c r="S130" s="52" t="n"/>
      <c r="T130" s="52" t="n"/>
      <c r="U130" s="23" t="n"/>
      <c r="V130" s="30" t="n"/>
      <c r="W130" s="52" t="n"/>
      <c r="X130" s="53">
        <f>IFERROR(IF($A130="","",MAX(0,$R130*$S130-$T130)),"")</f>
        <v/>
      </c>
      <c r="Y130" s="53">
        <f>IFERROR(IF($A130="","",IF($U130="Yes",$X130*$V130,0)),"")</f>
        <v/>
      </c>
      <c r="Z130" s="53">
        <f>IFERROR(IF($A130="","",$X130+$Y130+$W130),"")</f>
        <v/>
      </c>
      <c r="AA130" s="28" t="n"/>
      <c r="AB130" s="51" t="n"/>
      <c r="AC130" s="24">
        <f>IFERROR(IF($A130="","",IF($N130="Canceled","Canceled",IF($AA130=0,"Not Received",IF($AA130&lt;$R130,"Partially Received",IF($AA130=$R130,"Fully Received","Over Received"))))),"")</f>
        <v/>
      </c>
      <c r="AD130" s="25" t="n"/>
      <c r="AE130" s="23" t="n"/>
      <c r="AF130" s="51" t="n"/>
      <c r="AG130" s="52" t="n"/>
      <c r="AH130" s="53">
        <f>IFERROR(IF($A130="","",IF($AG130="","",$AG130-$Z130)),"")</f>
        <v/>
      </c>
      <c r="AI130" s="32">
        <f>IFERROR(IF($A130="","",IF(OR($AG130="",$Z130=0),"",($AG130-$Z130)/$Z130)),"")</f>
        <v/>
      </c>
      <c r="AJ130" s="23" t="n"/>
      <c r="AK130" s="51" t="n"/>
      <c r="AL130" s="53">
        <f>IFERROR(IF($A130="","",IF(OR($N130="Canceled",$N130="Closed"),0,MAX($Z130-IF($AG130="",0,$AG130),0))),"")</f>
        <v/>
      </c>
      <c r="AM130" s="27">
        <f>IFERROR(IF($A130="","",IF(OR($N130="Closed",$N130="Canceled"),IF($O130="","",MAX(0,$O130-$H130)),MAX(0,TODAY()-$H130))),"")</f>
        <v/>
      </c>
      <c r="AN130" s="24">
        <f>IFERROR(IF($A130="","",IF($AA130&gt;$R130,"Over Received",IF(AND($J130="Approved",OR($K130="",$L130="")),"Approval Missing",IF(AND($J130="Pending",$AM130&gt;'Settings'!$B$7),"Approval Follow-Up",IF(AND($N130="Open",$I130&lt;&gt;"",$I130+'Settings'!$B$8&lt;TODAY(),$AA130&lt;$R130),"Delivery Overdue",IF(AND($AG130&lt;&gt;"",OR(ABS($AH130)&gt;'Settings'!$B$9,ABS($AI130)&gt;'Settings'!$B$10)),"Invoice Variance",IF(AND($N130="Open",$AM130&gt;'Settings'!$B$11),"Aging Open PO",""))))))),"")</f>
        <v/>
      </c>
      <c r="AO130" s="25" t="n"/>
      <c r="AP130" s="24">
        <f>IFERROR(IF(AND($AN130&lt;&gt;"",$N130&lt;&gt;"Closed",$N130&lt;&gt;"Canceled",OR('Dashboard'!$B$4="All",$B130='Dashboard'!$B$4),OR('Dashboard'!$D$4="All",$C130='Dashboard'!$D$4)),COUNTIFS($AN$6:$AN130,"&lt;&gt;",$N$6:$N130,"&lt;&gt;Closed",$N$6:$N130,"&lt;&gt;Canceled",$B$6:$B130,IF('Dashboard'!$B$4="All","&lt;&gt;",'Dashboard'!$B$4),$C$6:$C130,IF('Dashboard'!$D$4="All","&lt;&gt;",'Dashboard'!$D$4)),""),"")</f>
        <v/>
      </c>
    </row>
    <row r="131">
      <c r="A131" s="23" t="n"/>
      <c r="B131" s="23" t="n"/>
      <c r="C131" s="23" t="n"/>
      <c r="D131" s="23" t="n"/>
      <c r="E131" s="23" t="n"/>
      <c r="F131" s="24">
        <f>IFERROR(IF($E131="","",VLOOKUP($E131,'Settings'!$G$16:$M$115,2,0)),"")</f>
        <v/>
      </c>
      <c r="G131" s="25" t="n"/>
      <c r="H131" s="51" t="n"/>
      <c r="I131" s="51" t="n"/>
      <c r="J131" s="23" t="n"/>
      <c r="K131" s="23" t="n"/>
      <c r="L131" s="51" t="n"/>
      <c r="M131" s="27">
        <f>IFERROR(IF($A131="","",IF($J131="Approved",MAX(0,$L131-$H131),"")),"")</f>
        <v/>
      </c>
      <c r="N131" s="23" t="n"/>
      <c r="O131" s="51" t="n"/>
      <c r="P131" s="23" t="n"/>
      <c r="Q131" s="25" t="n"/>
      <c r="R131" s="28" t="n"/>
      <c r="S131" s="52" t="n"/>
      <c r="T131" s="52" t="n"/>
      <c r="U131" s="23" t="n"/>
      <c r="V131" s="30" t="n"/>
      <c r="W131" s="52" t="n"/>
      <c r="X131" s="53">
        <f>IFERROR(IF($A131="","",MAX(0,$R131*$S131-$T131)),"")</f>
        <v/>
      </c>
      <c r="Y131" s="53">
        <f>IFERROR(IF($A131="","",IF($U131="Yes",$X131*$V131,0)),"")</f>
        <v/>
      </c>
      <c r="Z131" s="53">
        <f>IFERROR(IF($A131="","",$X131+$Y131+$W131),"")</f>
        <v/>
      </c>
      <c r="AA131" s="28" t="n"/>
      <c r="AB131" s="51" t="n"/>
      <c r="AC131" s="24">
        <f>IFERROR(IF($A131="","",IF($N131="Canceled","Canceled",IF($AA131=0,"Not Received",IF($AA131&lt;$R131,"Partially Received",IF($AA131=$R131,"Fully Received","Over Received"))))),"")</f>
        <v/>
      </c>
      <c r="AD131" s="25" t="n"/>
      <c r="AE131" s="23" t="n"/>
      <c r="AF131" s="51" t="n"/>
      <c r="AG131" s="52" t="n"/>
      <c r="AH131" s="53">
        <f>IFERROR(IF($A131="","",IF($AG131="","",$AG131-$Z131)),"")</f>
        <v/>
      </c>
      <c r="AI131" s="32">
        <f>IFERROR(IF($A131="","",IF(OR($AG131="",$Z131=0),"",($AG131-$Z131)/$Z131)),"")</f>
        <v/>
      </c>
      <c r="AJ131" s="23" t="n"/>
      <c r="AK131" s="51" t="n"/>
      <c r="AL131" s="53">
        <f>IFERROR(IF($A131="","",IF(OR($N131="Canceled",$N131="Closed"),0,MAX($Z131-IF($AG131="",0,$AG131),0))),"")</f>
        <v/>
      </c>
      <c r="AM131" s="27">
        <f>IFERROR(IF($A131="","",IF(OR($N131="Closed",$N131="Canceled"),IF($O131="","",MAX(0,$O131-$H131)),MAX(0,TODAY()-$H131))),"")</f>
        <v/>
      </c>
      <c r="AN131" s="24">
        <f>IFERROR(IF($A131="","",IF($AA131&gt;$R131,"Over Received",IF(AND($J131="Approved",OR($K131="",$L131="")),"Approval Missing",IF(AND($J131="Pending",$AM131&gt;'Settings'!$B$7),"Approval Follow-Up",IF(AND($N131="Open",$I131&lt;&gt;"",$I131+'Settings'!$B$8&lt;TODAY(),$AA131&lt;$R131),"Delivery Overdue",IF(AND($AG131&lt;&gt;"",OR(ABS($AH131)&gt;'Settings'!$B$9,ABS($AI131)&gt;'Settings'!$B$10)),"Invoice Variance",IF(AND($N131="Open",$AM131&gt;'Settings'!$B$11),"Aging Open PO",""))))))),"")</f>
        <v/>
      </c>
      <c r="AO131" s="25" t="n"/>
      <c r="AP131" s="24">
        <f>IFERROR(IF(AND($AN131&lt;&gt;"",$N131&lt;&gt;"Closed",$N131&lt;&gt;"Canceled",OR('Dashboard'!$B$4="All",$B131='Dashboard'!$B$4),OR('Dashboard'!$D$4="All",$C131='Dashboard'!$D$4)),COUNTIFS($AN$6:$AN131,"&lt;&gt;",$N$6:$N131,"&lt;&gt;Closed",$N$6:$N131,"&lt;&gt;Canceled",$B$6:$B131,IF('Dashboard'!$B$4="All","&lt;&gt;",'Dashboard'!$B$4),$C$6:$C131,IF('Dashboard'!$D$4="All","&lt;&gt;",'Dashboard'!$D$4)),""),"")</f>
        <v/>
      </c>
    </row>
    <row r="132">
      <c r="A132" s="23" t="n"/>
      <c r="B132" s="23" t="n"/>
      <c r="C132" s="23" t="n"/>
      <c r="D132" s="23" t="n"/>
      <c r="E132" s="23" t="n"/>
      <c r="F132" s="24">
        <f>IFERROR(IF($E132="","",VLOOKUP($E132,'Settings'!$G$16:$M$115,2,0)),"")</f>
        <v/>
      </c>
      <c r="G132" s="25" t="n"/>
      <c r="H132" s="51" t="n"/>
      <c r="I132" s="51" t="n"/>
      <c r="J132" s="23" t="n"/>
      <c r="K132" s="23" t="n"/>
      <c r="L132" s="51" t="n"/>
      <c r="M132" s="27">
        <f>IFERROR(IF($A132="","",IF($J132="Approved",MAX(0,$L132-$H132),"")),"")</f>
        <v/>
      </c>
      <c r="N132" s="23" t="n"/>
      <c r="O132" s="51" t="n"/>
      <c r="P132" s="23" t="n"/>
      <c r="Q132" s="25" t="n"/>
      <c r="R132" s="28" t="n"/>
      <c r="S132" s="52" t="n"/>
      <c r="T132" s="52" t="n"/>
      <c r="U132" s="23" t="n"/>
      <c r="V132" s="30" t="n"/>
      <c r="W132" s="52" t="n"/>
      <c r="X132" s="53">
        <f>IFERROR(IF($A132="","",MAX(0,$R132*$S132-$T132)),"")</f>
        <v/>
      </c>
      <c r="Y132" s="53">
        <f>IFERROR(IF($A132="","",IF($U132="Yes",$X132*$V132,0)),"")</f>
        <v/>
      </c>
      <c r="Z132" s="53">
        <f>IFERROR(IF($A132="","",$X132+$Y132+$W132),"")</f>
        <v/>
      </c>
      <c r="AA132" s="28" t="n"/>
      <c r="AB132" s="51" t="n"/>
      <c r="AC132" s="24">
        <f>IFERROR(IF($A132="","",IF($N132="Canceled","Canceled",IF($AA132=0,"Not Received",IF($AA132&lt;$R132,"Partially Received",IF($AA132=$R132,"Fully Received","Over Received"))))),"")</f>
        <v/>
      </c>
      <c r="AD132" s="25" t="n"/>
      <c r="AE132" s="23" t="n"/>
      <c r="AF132" s="51" t="n"/>
      <c r="AG132" s="52" t="n"/>
      <c r="AH132" s="53">
        <f>IFERROR(IF($A132="","",IF($AG132="","",$AG132-$Z132)),"")</f>
        <v/>
      </c>
      <c r="AI132" s="32">
        <f>IFERROR(IF($A132="","",IF(OR($AG132="",$Z132=0),"",($AG132-$Z132)/$Z132)),"")</f>
        <v/>
      </c>
      <c r="AJ132" s="23" t="n"/>
      <c r="AK132" s="51" t="n"/>
      <c r="AL132" s="53">
        <f>IFERROR(IF($A132="","",IF(OR($N132="Canceled",$N132="Closed"),0,MAX($Z132-IF($AG132="",0,$AG132),0))),"")</f>
        <v/>
      </c>
      <c r="AM132" s="27">
        <f>IFERROR(IF($A132="","",IF(OR($N132="Closed",$N132="Canceled"),IF($O132="","",MAX(0,$O132-$H132)),MAX(0,TODAY()-$H132))),"")</f>
        <v/>
      </c>
      <c r="AN132" s="24">
        <f>IFERROR(IF($A132="","",IF($AA132&gt;$R132,"Over Received",IF(AND($J132="Approved",OR($K132="",$L132="")),"Approval Missing",IF(AND($J132="Pending",$AM132&gt;'Settings'!$B$7),"Approval Follow-Up",IF(AND($N132="Open",$I132&lt;&gt;"",$I132+'Settings'!$B$8&lt;TODAY(),$AA132&lt;$R132),"Delivery Overdue",IF(AND($AG132&lt;&gt;"",OR(ABS($AH132)&gt;'Settings'!$B$9,ABS($AI132)&gt;'Settings'!$B$10)),"Invoice Variance",IF(AND($N132="Open",$AM132&gt;'Settings'!$B$11),"Aging Open PO",""))))))),"")</f>
        <v/>
      </c>
      <c r="AO132" s="25" t="n"/>
      <c r="AP132" s="24">
        <f>IFERROR(IF(AND($AN132&lt;&gt;"",$N132&lt;&gt;"Closed",$N132&lt;&gt;"Canceled",OR('Dashboard'!$B$4="All",$B132='Dashboard'!$B$4),OR('Dashboard'!$D$4="All",$C132='Dashboard'!$D$4)),COUNTIFS($AN$6:$AN132,"&lt;&gt;",$N$6:$N132,"&lt;&gt;Closed",$N$6:$N132,"&lt;&gt;Canceled",$B$6:$B132,IF('Dashboard'!$B$4="All","&lt;&gt;",'Dashboard'!$B$4),$C$6:$C132,IF('Dashboard'!$D$4="All","&lt;&gt;",'Dashboard'!$D$4)),""),"")</f>
        <v/>
      </c>
    </row>
    <row r="133">
      <c r="A133" s="23" t="n"/>
      <c r="B133" s="23" t="n"/>
      <c r="C133" s="23" t="n"/>
      <c r="D133" s="23" t="n"/>
      <c r="E133" s="23" t="n"/>
      <c r="F133" s="24">
        <f>IFERROR(IF($E133="","",VLOOKUP($E133,'Settings'!$G$16:$M$115,2,0)),"")</f>
        <v/>
      </c>
      <c r="G133" s="25" t="n"/>
      <c r="H133" s="51" t="n"/>
      <c r="I133" s="51" t="n"/>
      <c r="J133" s="23" t="n"/>
      <c r="K133" s="23" t="n"/>
      <c r="L133" s="51" t="n"/>
      <c r="M133" s="27">
        <f>IFERROR(IF($A133="","",IF($J133="Approved",MAX(0,$L133-$H133),"")),"")</f>
        <v/>
      </c>
      <c r="N133" s="23" t="n"/>
      <c r="O133" s="51" t="n"/>
      <c r="P133" s="23" t="n"/>
      <c r="Q133" s="25" t="n"/>
      <c r="R133" s="28" t="n"/>
      <c r="S133" s="52" t="n"/>
      <c r="T133" s="52" t="n"/>
      <c r="U133" s="23" t="n"/>
      <c r="V133" s="30" t="n"/>
      <c r="W133" s="52" t="n"/>
      <c r="X133" s="53">
        <f>IFERROR(IF($A133="","",MAX(0,$R133*$S133-$T133)),"")</f>
        <v/>
      </c>
      <c r="Y133" s="53">
        <f>IFERROR(IF($A133="","",IF($U133="Yes",$X133*$V133,0)),"")</f>
        <v/>
      </c>
      <c r="Z133" s="53">
        <f>IFERROR(IF($A133="","",$X133+$Y133+$W133),"")</f>
        <v/>
      </c>
      <c r="AA133" s="28" t="n"/>
      <c r="AB133" s="51" t="n"/>
      <c r="AC133" s="24">
        <f>IFERROR(IF($A133="","",IF($N133="Canceled","Canceled",IF($AA133=0,"Not Received",IF($AA133&lt;$R133,"Partially Received",IF($AA133=$R133,"Fully Received","Over Received"))))),"")</f>
        <v/>
      </c>
      <c r="AD133" s="25" t="n"/>
      <c r="AE133" s="23" t="n"/>
      <c r="AF133" s="51" t="n"/>
      <c r="AG133" s="52" t="n"/>
      <c r="AH133" s="53">
        <f>IFERROR(IF($A133="","",IF($AG133="","",$AG133-$Z133)),"")</f>
        <v/>
      </c>
      <c r="AI133" s="32">
        <f>IFERROR(IF($A133="","",IF(OR($AG133="",$Z133=0),"",($AG133-$Z133)/$Z133)),"")</f>
        <v/>
      </c>
      <c r="AJ133" s="23" t="n"/>
      <c r="AK133" s="51" t="n"/>
      <c r="AL133" s="53">
        <f>IFERROR(IF($A133="","",IF(OR($N133="Canceled",$N133="Closed"),0,MAX($Z133-IF($AG133="",0,$AG133),0))),"")</f>
        <v/>
      </c>
      <c r="AM133" s="27">
        <f>IFERROR(IF($A133="","",IF(OR($N133="Closed",$N133="Canceled"),IF($O133="","",MAX(0,$O133-$H133)),MAX(0,TODAY()-$H133))),"")</f>
        <v/>
      </c>
      <c r="AN133" s="24">
        <f>IFERROR(IF($A133="","",IF($AA133&gt;$R133,"Over Received",IF(AND($J133="Approved",OR($K133="",$L133="")),"Approval Missing",IF(AND($J133="Pending",$AM133&gt;'Settings'!$B$7),"Approval Follow-Up",IF(AND($N133="Open",$I133&lt;&gt;"",$I133+'Settings'!$B$8&lt;TODAY(),$AA133&lt;$R133),"Delivery Overdue",IF(AND($AG133&lt;&gt;"",OR(ABS($AH133)&gt;'Settings'!$B$9,ABS($AI133)&gt;'Settings'!$B$10)),"Invoice Variance",IF(AND($N133="Open",$AM133&gt;'Settings'!$B$11),"Aging Open PO",""))))))),"")</f>
        <v/>
      </c>
      <c r="AO133" s="25" t="n"/>
      <c r="AP133" s="24">
        <f>IFERROR(IF(AND($AN133&lt;&gt;"",$N133&lt;&gt;"Closed",$N133&lt;&gt;"Canceled",OR('Dashboard'!$B$4="All",$B133='Dashboard'!$B$4),OR('Dashboard'!$D$4="All",$C133='Dashboard'!$D$4)),COUNTIFS($AN$6:$AN133,"&lt;&gt;",$N$6:$N133,"&lt;&gt;Closed",$N$6:$N133,"&lt;&gt;Canceled",$B$6:$B133,IF('Dashboard'!$B$4="All","&lt;&gt;",'Dashboard'!$B$4),$C$6:$C133,IF('Dashboard'!$D$4="All","&lt;&gt;",'Dashboard'!$D$4)),""),"")</f>
        <v/>
      </c>
    </row>
    <row r="134">
      <c r="A134" s="23" t="n"/>
      <c r="B134" s="23" t="n"/>
      <c r="C134" s="23" t="n"/>
      <c r="D134" s="23" t="n"/>
      <c r="E134" s="23" t="n"/>
      <c r="F134" s="24">
        <f>IFERROR(IF($E134="","",VLOOKUP($E134,'Settings'!$G$16:$M$115,2,0)),"")</f>
        <v/>
      </c>
      <c r="G134" s="25" t="n"/>
      <c r="H134" s="51" t="n"/>
      <c r="I134" s="51" t="n"/>
      <c r="J134" s="23" t="n"/>
      <c r="K134" s="23" t="n"/>
      <c r="L134" s="51" t="n"/>
      <c r="M134" s="27">
        <f>IFERROR(IF($A134="","",IF($J134="Approved",MAX(0,$L134-$H134),"")),"")</f>
        <v/>
      </c>
      <c r="N134" s="23" t="n"/>
      <c r="O134" s="51" t="n"/>
      <c r="P134" s="23" t="n"/>
      <c r="Q134" s="25" t="n"/>
      <c r="R134" s="28" t="n"/>
      <c r="S134" s="52" t="n"/>
      <c r="T134" s="52" t="n"/>
      <c r="U134" s="23" t="n"/>
      <c r="V134" s="30" t="n"/>
      <c r="W134" s="52" t="n"/>
      <c r="X134" s="53">
        <f>IFERROR(IF($A134="","",MAX(0,$R134*$S134-$T134)),"")</f>
        <v/>
      </c>
      <c r="Y134" s="53">
        <f>IFERROR(IF($A134="","",IF($U134="Yes",$X134*$V134,0)),"")</f>
        <v/>
      </c>
      <c r="Z134" s="53">
        <f>IFERROR(IF($A134="","",$X134+$Y134+$W134),"")</f>
        <v/>
      </c>
      <c r="AA134" s="28" t="n"/>
      <c r="AB134" s="51" t="n"/>
      <c r="AC134" s="24">
        <f>IFERROR(IF($A134="","",IF($N134="Canceled","Canceled",IF($AA134=0,"Not Received",IF($AA134&lt;$R134,"Partially Received",IF($AA134=$R134,"Fully Received","Over Received"))))),"")</f>
        <v/>
      </c>
      <c r="AD134" s="25" t="n"/>
      <c r="AE134" s="23" t="n"/>
      <c r="AF134" s="51" t="n"/>
      <c r="AG134" s="52" t="n"/>
      <c r="AH134" s="53">
        <f>IFERROR(IF($A134="","",IF($AG134="","",$AG134-$Z134)),"")</f>
        <v/>
      </c>
      <c r="AI134" s="32">
        <f>IFERROR(IF($A134="","",IF(OR($AG134="",$Z134=0),"",($AG134-$Z134)/$Z134)),"")</f>
        <v/>
      </c>
      <c r="AJ134" s="23" t="n"/>
      <c r="AK134" s="51" t="n"/>
      <c r="AL134" s="53">
        <f>IFERROR(IF($A134="","",IF(OR($N134="Canceled",$N134="Closed"),0,MAX($Z134-IF($AG134="",0,$AG134),0))),"")</f>
        <v/>
      </c>
      <c r="AM134" s="27">
        <f>IFERROR(IF($A134="","",IF(OR($N134="Closed",$N134="Canceled"),IF($O134="","",MAX(0,$O134-$H134)),MAX(0,TODAY()-$H134))),"")</f>
        <v/>
      </c>
      <c r="AN134" s="24">
        <f>IFERROR(IF($A134="","",IF($AA134&gt;$R134,"Over Received",IF(AND($J134="Approved",OR($K134="",$L134="")),"Approval Missing",IF(AND($J134="Pending",$AM134&gt;'Settings'!$B$7),"Approval Follow-Up",IF(AND($N134="Open",$I134&lt;&gt;"",$I134+'Settings'!$B$8&lt;TODAY(),$AA134&lt;$R134),"Delivery Overdue",IF(AND($AG134&lt;&gt;"",OR(ABS($AH134)&gt;'Settings'!$B$9,ABS($AI134)&gt;'Settings'!$B$10)),"Invoice Variance",IF(AND($N134="Open",$AM134&gt;'Settings'!$B$11),"Aging Open PO",""))))))),"")</f>
        <v/>
      </c>
      <c r="AO134" s="25" t="n"/>
      <c r="AP134" s="24">
        <f>IFERROR(IF(AND($AN134&lt;&gt;"",$N134&lt;&gt;"Closed",$N134&lt;&gt;"Canceled",OR('Dashboard'!$B$4="All",$B134='Dashboard'!$B$4),OR('Dashboard'!$D$4="All",$C134='Dashboard'!$D$4)),COUNTIFS($AN$6:$AN134,"&lt;&gt;",$N$6:$N134,"&lt;&gt;Closed",$N$6:$N134,"&lt;&gt;Canceled",$B$6:$B134,IF('Dashboard'!$B$4="All","&lt;&gt;",'Dashboard'!$B$4),$C$6:$C134,IF('Dashboard'!$D$4="All","&lt;&gt;",'Dashboard'!$D$4)),""),"")</f>
        <v/>
      </c>
    </row>
    <row r="135">
      <c r="A135" s="23" t="n"/>
      <c r="B135" s="23" t="n"/>
      <c r="C135" s="23" t="n"/>
      <c r="D135" s="23" t="n"/>
      <c r="E135" s="23" t="n"/>
      <c r="F135" s="24">
        <f>IFERROR(IF($E135="","",VLOOKUP($E135,'Settings'!$G$16:$M$115,2,0)),"")</f>
        <v/>
      </c>
      <c r="G135" s="25" t="n"/>
      <c r="H135" s="51" t="n"/>
      <c r="I135" s="51" t="n"/>
      <c r="J135" s="23" t="n"/>
      <c r="K135" s="23" t="n"/>
      <c r="L135" s="51" t="n"/>
      <c r="M135" s="27">
        <f>IFERROR(IF($A135="","",IF($J135="Approved",MAX(0,$L135-$H135),"")),"")</f>
        <v/>
      </c>
      <c r="N135" s="23" t="n"/>
      <c r="O135" s="51" t="n"/>
      <c r="P135" s="23" t="n"/>
      <c r="Q135" s="25" t="n"/>
      <c r="R135" s="28" t="n"/>
      <c r="S135" s="52" t="n"/>
      <c r="T135" s="52" t="n"/>
      <c r="U135" s="23" t="n"/>
      <c r="V135" s="30" t="n"/>
      <c r="W135" s="52" t="n"/>
      <c r="X135" s="53">
        <f>IFERROR(IF($A135="","",MAX(0,$R135*$S135-$T135)),"")</f>
        <v/>
      </c>
      <c r="Y135" s="53">
        <f>IFERROR(IF($A135="","",IF($U135="Yes",$X135*$V135,0)),"")</f>
        <v/>
      </c>
      <c r="Z135" s="53">
        <f>IFERROR(IF($A135="","",$X135+$Y135+$W135),"")</f>
        <v/>
      </c>
      <c r="AA135" s="28" t="n"/>
      <c r="AB135" s="51" t="n"/>
      <c r="AC135" s="24">
        <f>IFERROR(IF($A135="","",IF($N135="Canceled","Canceled",IF($AA135=0,"Not Received",IF($AA135&lt;$R135,"Partially Received",IF($AA135=$R135,"Fully Received","Over Received"))))),"")</f>
        <v/>
      </c>
      <c r="AD135" s="25" t="n"/>
      <c r="AE135" s="23" t="n"/>
      <c r="AF135" s="51" t="n"/>
      <c r="AG135" s="52" t="n"/>
      <c r="AH135" s="53">
        <f>IFERROR(IF($A135="","",IF($AG135="","",$AG135-$Z135)),"")</f>
        <v/>
      </c>
      <c r="AI135" s="32">
        <f>IFERROR(IF($A135="","",IF(OR($AG135="",$Z135=0),"",($AG135-$Z135)/$Z135)),"")</f>
        <v/>
      </c>
      <c r="AJ135" s="23" t="n"/>
      <c r="AK135" s="51" t="n"/>
      <c r="AL135" s="53">
        <f>IFERROR(IF($A135="","",IF(OR($N135="Canceled",$N135="Closed"),0,MAX($Z135-IF($AG135="",0,$AG135),0))),"")</f>
        <v/>
      </c>
      <c r="AM135" s="27">
        <f>IFERROR(IF($A135="","",IF(OR($N135="Closed",$N135="Canceled"),IF($O135="","",MAX(0,$O135-$H135)),MAX(0,TODAY()-$H135))),"")</f>
        <v/>
      </c>
      <c r="AN135" s="24">
        <f>IFERROR(IF($A135="","",IF($AA135&gt;$R135,"Over Received",IF(AND($J135="Approved",OR($K135="",$L135="")),"Approval Missing",IF(AND($J135="Pending",$AM135&gt;'Settings'!$B$7),"Approval Follow-Up",IF(AND($N135="Open",$I135&lt;&gt;"",$I135+'Settings'!$B$8&lt;TODAY(),$AA135&lt;$R135),"Delivery Overdue",IF(AND($AG135&lt;&gt;"",OR(ABS($AH135)&gt;'Settings'!$B$9,ABS($AI135)&gt;'Settings'!$B$10)),"Invoice Variance",IF(AND($N135="Open",$AM135&gt;'Settings'!$B$11),"Aging Open PO",""))))))),"")</f>
        <v/>
      </c>
      <c r="AO135" s="25" t="n"/>
      <c r="AP135" s="24">
        <f>IFERROR(IF(AND($AN135&lt;&gt;"",$N135&lt;&gt;"Closed",$N135&lt;&gt;"Canceled",OR('Dashboard'!$B$4="All",$B135='Dashboard'!$B$4),OR('Dashboard'!$D$4="All",$C135='Dashboard'!$D$4)),COUNTIFS($AN$6:$AN135,"&lt;&gt;",$N$6:$N135,"&lt;&gt;Closed",$N$6:$N135,"&lt;&gt;Canceled",$B$6:$B135,IF('Dashboard'!$B$4="All","&lt;&gt;",'Dashboard'!$B$4),$C$6:$C135,IF('Dashboard'!$D$4="All","&lt;&gt;",'Dashboard'!$D$4)),""),"")</f>
        <v/>
      </c>
    </row>
    <row r="136">
      <c r="A136" s="23" t="n"/>
      <c r="B136" s="23" t="n"/>
      <c r="C136" s="23" t="n"/>
      <c r="D136" s="23" t="n"/>
      <c r="E136" s="23" t="n"/>
      <c r="F136" s="24">
        <f>IFERROR(IF($E136="","",VLOOKUP($E136,'Settings'!$G$16:$M$115,2,0)),"")</f>
        <v/>
      </c>
      <c r="G136" s="25" t="n"/>
      <c r="H136" s="51" t="n"/>
      <c r="I136" s="51" t="n"/>
      <c r="J136" s="23" t="n"/>
      <c r="K136" s="23" t="n"/>
      <c r="L136" s="51" t="n"/>
      <c r="M136" s="27">
        <f>IFERROR(IF($A136="","",IF($J136="Approved",MAX(0,$L136-$H136),"")),"")</f>
        <v/>
      </c>
      <c r="N136" s="23" t="n"/>
      <c r="O136" s="51" t="n"/>
      <c r="P136" s="23" t="n"/>
      <c r="Q136" s="25" t="n"/>
      <c r="R136" s="28" t="n"/>
      <c r="S136" s="52" t="n"/>
      <c r="T136" s="52" t="n"/>
      <c r="U136" s="23" t="n"/>
      <c r="V136" s="30" t="n"/>
      <c r="W136" s="52" t="n"/>
      <c r="X136" s="53">
        <f>IFERROR(IF($A136="","",MAX(0,$R136*$S136-$T136)),"")</f>
        <v/>
      </c>
      <c r="Y136" s="53">
        <f>IFERROR(IF($A136="","",IF($U136="Yes",$X136*$V136,0)),"")</f>
        <v/>
      </c>
      <c r="Z136" s="53">
        <f>IFERROR(IF($A136="","",$X136+$Y136+$W136),"")</f>
        <v/>
      </c>
      <c r="AA136" s="28" t="n"/>
      <c r="AB136" s="51" t="n"/>
      <c r="AC136" s="24">
        <f>IFERROR(IF($A136="","",IF($N136="Canceled","Canceled",IF($AA136=0,"Not Received",IF($AA136&lt;$R136,"Partially Received",IF($AA136=$R136,"Fully Received","Over Received"))))),"")</f>
        <v/>
      </c>
      <c r="AD136" s="25" t="n"/>
      <c r="AE136" s="23" t="n"/>
      <c r="AF136" s="51" t="n"/>
      <c r="AG136" s="52" t="n"/>
      <c r="AH136" s="53">
        <f>IFERROR(IF($A136="","",IF($AG136="","",$AG136-$Z136)),"")</f>
        <v/>
      </c>
      <c r="AI136" s="32">
        <f>IFERROR(IF($A136="","",IF(OR($AG136="",$Z136=0),"",($AG136-$Z136)/$Z136)),"")</f>
        <v/>
      </c>
      <c r="AJ136" s="23" t="n"/>
      <c r="AK136" s="51" t="n"/>
      <c r="AL136" s="53">
        <f>IFERROR(IF($A136="","",IF(OR($N136="Canceled",$N136="Closed"),0,MAX($Z136-IF($AG136="",0,$AG136),0))),"")</f>
        <v/>
      </c>
      <c r="AM136" s="27">
        <f>IFERROR(IF($A136="","",IF(OR($N136="Closed",$N136="Canceled"),IF($O136="","",MAX(0,$O136-$H136)),MAX(0,TODAY()-$H136))),"")</f>
        <v/>
      </c>
      <c r="AN136" s="24">
        <f>IFERROR(IF($A136="","",IF($AA136&gt;$R136,"Over Received",IF(AND($J136="Approved",OR($K136="",$L136="")),"Approval Missing",IF(AND($J136="Pending",$AM136&gt;'Settings'!$B$7),"Approval Follow-Up",IF(AND($N136="Open",$I136&lt;&gt;"",$I136+'Settings'!$B$8&lt;TODAY(),$AA136&lt;$R136),"Delivery Overdue",IF(AND($AG136&lt;&gt;"",OR(ABS($AH136)&gt;'Settings'!$B$9,ABS($AI136)&gt;'Settings'!$B$10)),"Invoice Variance",IF(AND($N136="Open",$AM136&gt;'Settings'!$B$11),"Aging Open PO",""))))))),"")</f>
        <v/>
      </c>
      <c r="AO136" s="25" t="n"/>
      <c r="AP136" s="24">
        <f>IFERROR(IF(AND($AN136&lt;&gt;"",$N136&lt;&gt;"Closed",$N136&lt;&gt;"Canceled",OR('Dashboard'!$B$4="All",$B136='Dashboard'!$B$4),OR('Dashboard'!$D$4="All",$C136='Dashboard'!$D$4)),COUNTIFS($AN$6:$AN136,"&lt;&gt;",$N$6:$N136,"&lt;&gt;Closed",$N$6:$N136,"&lt;&gt;Canceled",$B$6:$B136,IF('Dashboard'!$B$4="All","&lt;&gt;",'Dashboard'!$B$4),$C$6:$C136,IF('Dashboard'!$D$4="All","&lt;&gt;",'Dashboard'!$D$4)),""),"")</f>
        <v/>
      </c>
    </row>
    <row r="137">
      <c r="A137" s="23" t="n"/>
      <c r="B137" s="23" t="n"/>
      <c r="C137" s="23" t="n"/>
      <c r="D137" s="23" t="n"/>
      <c r="E137" s="23" t="n"/>
      <c r="F137" s="24">
        <f>IFERROR(IF($E137="","",VLOOKUP($E137,'Settings'!$G$16:$M$115,2,0)),"")</f>
        <v/>
      </c>
      <c r="G137" s="25" t="n"/>
      <c r="H137" s="51" t="n"/>
      <c r="I137" s="51" t="n"/>
      <c r="J137" s="23" t="n"/>
      <c r="K137" s="23" t="n"/>
      <c r="L137" s="51" t="n"/>
      <c r="M137" s="27">
        <f>IFERROR(IF($A137="","",IF($J137="Approved",MAX(0,$L137-$H137),"")),"")</f>
        <v/>
      </c>
      <c r="N137" s="23" t="n"/>
      <c r="O137" s="51" t="n"/>
      <c r="P137" s="23" t="n"/>
      <c r="Q137" s="25" t="n"/>
      <c r="R137" s="28" t="n"/>
      <c r="S137" s="52" t="n"/>
      <c r="T137" s="52" t="n"/>
      <c r="U137" s="23" t="n"/>
      <c r="V137" s="30" t="n"/>
      <c r="W137" s="52" t="n"/>
      <c r="X137" s="53">
        <f>IFERROR(IF($A137="","",MAX(0,$R137*$S137-$T137)),"")</f>
        <v/>
      </c>
      <c r="Y137" s="53">
        <f>IFERROR(IF($A137="","",IF($U137="Yes",$X137*$V137,0)),"")</f>
        <v/>
      </c>
      <c r="Z137" s="53">
        <f>IFERROR(IF($A137="","",$X137+$Y137+$W137),"")</f>
        <v/>
      </c>
      <c r="AA137" s="28" t="n"/>
      <c r="AB137" s="51" t="n"/>
      <c r="AC137" s="24">
        <f>IFERROR(IF($A137="","",IF($N137="Canceled","Canceled",IF($AA137=0,"Not Received",IF($AA137&lt;$R137,"Partially Received",IF($AA137=$R137,"Fully Received","Over Received"))))),"")</f>
        <v/>
      </c>
      <c r="AD137" s="25" t="n"/>
      <c r="AE137" s="23" t="n"/>
      <c r="AF137" s="51" t="n"/>
      <c r="AG137" s="52" t="n"/>
      <c r="AH137" s="53">
        <f>IFERROR(IF($A137="","",IF($AG137="","",$AG137-$Z137)),"")</f>
        <v/>
      </c>
      <c r="AI137" s="32">
        <f>IFERROR(IF($A137="","",IF(OR($AG137="",$Z137=0),"",($AG137-$Z137)/$Z137)),"")</f>
        <v/>
      </c>
      <c r="AJ137" s="23" t="n"/>
      <c r="AK137" s="51" t="n"/>
      <c r="AL137" s="53">
        <f>IFERROR(IF($A137="","",IF(OR($N137="Canceled",$N137="Closed"),0,MAX($Z137-IF($AG137="",0,$AG137),0))),"")</f>
        <v/>
      </c>
      <c r="AM137" s="27">
        <f>IFERROR(IF($A137="","",IF(OR($N137="Closed",$N137="Canceled"),IF($O137="","",MAX(0,$O137-$H137)),MAX(0,TODAY()-$H137))),"")</f>
        <v/>
      </c>
      <c r="AN137" s="24">
        <f>IFERROR(IF($A137="","",IF($AA137&gt;$R137,"Over Received",IF(AND($J137="Approved",OR($K137="",$L137="")),"Approval Missing",IF(AND($J137="Pending",$AM137&gt;'Settings'!$B$7),"Approval Follow-Up",IF(AND($N137="Open",$I137&lt;&gt;"",$I137+'Settings'!$B$8&lt;TODAY(),$AA137&lt;$R137),"Delivery Overdue",IF(AND($AG137&lt;&gt;"",OR(ABS($AH137)&gt;'Settings'!$B$9,ABS($AI137)&gt;'Settings'!$B$10)),"Invoice Variance",IF(AND($N137="Open",$AM137&gt;'Settings'!$B$11),"Aging Open PO",""))))))),"")</f>
        <v/>
      </c>
      <c r="AO137" s="25" t="n"/>
      <c r="AP137" s="24">
        <f>IFERROR(IF(AND($AN137&lt;&gt;"",$N137&lt;&gt;"Closed",$N137&lt;&gt;"Canceled",OR('Dashboard'!$B$4="All",$B137='Dashboard'!$B$4),OR('Dashboard'!$D$4="All",$C137='Dashboard'!$D$4)),COUNTIFS($AN$6:$AN137,"&lt;&gt;",$N$6:$N137,"&lt;&gt;Closed",$N$6:$N137,"&lt;&gt;Canceled",$B$6:$B137,IF('Dashboard'!$B$4="All","&lt;&gt;",'Dashboard'!$B$4),$C$6:$C137,IF('Dashboard'!$D$4="All","&lt;&gt;",'Dashboard'!$D$4)),""),"")</f>
        <v/>
      </c>
    </row>
    <row r="138">
      <c r="A138" s="23" t="n"/>
      <c r="B138" s="23" t="n"/>
      <c r="C138" s="23" t="n"/>
      <c r="D138" s="23" t="n"/>
      <c r="E138" s="23" t="n"/>
      <c r="F138" s="24">
        <f>IFERROR(IF($E138="","",VLOOKUP($E138,'Settings'!$G$16:$M$115,2,0)),"")</f>
        <v/>
      </c>
      <c r="G138" s="25" t="n"/>
      <c r="H138" s="51" t="n"/>
      <c r="I138" s="51" t="n"/>
      <c r="J138" s="23" t="n"/>
      <c r="K138" s="23" t="n"/>
      <c r="L138" s="51" t="n"/>
      <c r="M138" s="27">
        <f>IFERROR(IF($A138="","",IF($J138="Approved",MAX(0,$L138-$H138),"")),"")</f>
        <v/>
      </c>
      <c r="N138" s="23" t="n"/>
      <c r="O138" s="51" t="n"/>
      <c r="P138" s="23" t="n"/>
      <c r="Q138" s="25" t="n"/>
      <c r="R138" s="28" t="n"/>
      <c r="S138" s="52" t="n"/>
      <c r="T138" s="52" t="n"/>
      <c r="U138" s="23" t="n"/>
      <c r="V138" s="30" t="n"/>
      <c r="W138" s="52" t="n"/>
      <c r="X138" s="53">
        <f>IFERROR(IF($A138="","",MAX(0,$R138*$S138-$T138)),"")</f>
        <v/>
      </c>
      <c r="Y138" s="53">
        <f>IFERROR(IF($A138="","",IF($U138="Yes",$X138*$V138,0)),"")</f>
        <v/>
      </c>
      <c r="Z138" s="53">
        <f>IFERROR(IF($A138="","",$X138+$Y138+$W138),"")</f>
        <v/>
      </c>
      <c r="AA138" s="28" t="n"/>
      <c r="AB138" s="51" t="n"/>
      <c r="AC138" s="24">
        <f>IFERROR(IF($A138="","",IF($N138="Canceled","Canceled",IF($AA138=0,"Not Received",IF($AA138&lt;$R138,"Partially Received",IF($AA138=$R138,"Fully Received","Over Received"))))),"")</f>
        <v/>
      </c>
      <c r="AD138" s="25" t="n"/>
      <c r="AE138" s="23" t="n"/>
      <c r="AF138" s="51" t="n"/>
      <c r="AG138" s="52" t="n"/>
      <c r="AH138" s="53">
        <f>IFERROR(IF($A138="","",IF($AG138="","",$AG138-$Z138)),"")</f>
        <v/>
      </c>
      <c r="AI138" s="32">
        <f>IFERROR(IF($A138="","",IF(OR($AG138="",$Z138=0),"",($AG138-$Z138)/$Z138)),"")</f>
        <v/>
      </c>
      <c r="AJ138" s="23" t="n"/>
      <c r="AK138" s="51" t="n"/>
      <c r="AL138" s="53">
        <f>IFERROR(IF($A138="","",IF(OR($N138="Canceled",$N138="Closed"),0,MAX($Z138-IF($AG138="",0,$AG138),0))),"")</f>
        <v/>
      </c>
      <c r="AM138" s="27">
        <f>IFERROR(IF($A138="","",IF(OR($N138="Closed",$N138="Canceled"),IF($O138="","",MAX(0,$O138-$H138)),MAX(0,TODAY()-$H138))),"")</f>
        <v/>
      </c>
      <c r="AN138" s="24">
        <f>IFERROR(IF($A138="","",IF($AA138&gt;$R138,"Over Received",IF(AND($J138="Approved",OR($K138="",$L138="")),"Approval Missing",IF(AND($J138="Pending",$AM138&gt;'Settings'!$B$7),"Approval Follow-Up",IF(AND($N138="Open",$I138&lt;&gt;"",$I138+'Settings'!$B$8&lt;TODAY(),$AA138&lt;$R138),"Delivery Overdue",IF(AND($AG138&lt;&gt;"",OR(ABS($AH138)&gt;'Settings'!$B$9,ABS($AI138)&gt;'Settings'!$B$10)),"Invoice Variance",IF(AND($N138="Open",$AM138&gt;'Settings'!$B$11),"Aging Open PO",""))))))),"")</f>
        <v/>
      </c>
      <c r="AO138" s="25" t="n"/>
      <c r="AP138" s="24">
        <f>IFERROR(IF(AND($AN138&lt;&gt;"",$N138&lt;&gt;"Closed",$N138&lt;&gt;"Canceled",OR('Dashboard'!$B$4="All",$B138='Dashboard'!$B$4),OR('Dashboard'!$D$4="All",$C138='Dashboard'!$D$4)),COUNTIFS($AN$6:$AN138,"&lt;&gt;",$N$6:$N138,"&lt;&gt;Closed",$N$6:$N138,"&lt;&gt;Canceled",$B$6:$B138,IF('Dashboard'!$B$4="All","&lt;&gt;",'Dashboard'!$B$4),$C$6:$C138,IF('Dashboard'!$D$4="All","&lt;&gt;",'Dashboard'!$D$4)),""),"")</f>
        <v/>
      </c>
    </row>
    <row r="139">
      <c r="A139" s="23" t="n"/>
      <c r="B139" s="23" t="n"/>
      <c r="C139" s="23" t="n"/>
      <c r="D139" s="23" t="n"/>
      <c r="E139" s="23" t="n"/>
      <c r="F139" s="24">
        <f>IFERROR(IF($E139="","",VLOOKUP($E139,'Settings'!$G$16:$M$115,2,0)),"")</f>
        <v/>
      </c>
      <c r="G139" s="25" t="n"/>
      <c r="H139" s="51" t="n"/>
      <c r="I139" s="51" t="n"/>
      <c r="J139" s="23" t="n"/>
      <c r="K139" s="23" t="n"/>
      <c r="L139" s="51" t="n"/>
      <c r="M139" s="27">
        <f>IFERROR(IF($A139="","",IF($J139="Approved",MAX(0,$L139-$H139),"")),"")</f>
        <v/>
      </c>
      <c r="N139" s="23" t="n"/>
      <c r="O139" s="51" t="n"/>
      <c r="P139" s="23" t="n"/>
      <c r="Q139" s="25" t="n"/>
      <c r="R139" s="28" t="n"/>
      <c r="S139" s="52" t="n"/>
      <c r="T139" s="52" t="n"/>
      <c r="U139" s="23" t="n"/>
      <c r="V139" s="30" t="n"/>
      <c r="W139" s="52" t="n"/>
      <c r="X139" s="53">
        <f>IFERROR(IF($A139="","",MAX(0,$R139*$S139-$T139)),"")</f>
        <v/>
      </c>
      <c r="Y139" s="53">
        <f>IFERROR(IF($A139="","",IF($U139="Yes",$X139*$V139,0)),"")</f>
        <v/>
      </c>
      <c r="Z139" s="53">
        <f>IFERROR(IF($A139="","",$X139+$Y139+$W139),"")</f>
        <v/>
      </c>
      <c r="AA139" s="28" t="n"/>
      <c r="AB139" s="51" t="n"/>
      <c r="AC139" s="24">
        <f>IFERROR(IF($A139="","",IF($N139="Canceled","Canceled",IF($AA139=0,"Not Received",IF($AA139&lt;$R139,"Partially Received",IF($AA139=$R139,"Fully Received","Over Received"))))),"")</f>
        <v/>
      </c>
      <c r="AD139" s="25" t="n"/>
      <c r="AE139" s="23" t="n"/>
      <c r="AF139" s="51" t="n"/>
      <c r="AG139" s="52" t="n"/>
      <c r="AH139" s="53">
        <f>IFERROR(IF($A139="","",IF($AG139="","",$AG139-$Z139)),"")</f>
        <v/>
      </c>
      <c r="AI139" s="32">
        <f>IFERROR(IF($A139="","",IF(OR($AG139="",$Z139=0),"",($AG139-$Z139)/$Z139)),"")</f>
        <v/>
      </c>
      <c r="AJ139" s="23" t="n"/>
      <c r="AK139" s="51" t="n"/>
      <c r="AL139" s="53">
        <f>IFERROR(IF($A139="","",IF(OR($N139="Canceled",$N139="Closed"),0,MAX($Z139-IF($AG139="",0,$AG139),0))),"")</f>
        <v/>
      </c>
      <c r="AM139" s="27">
        <f>IFERROR(IF($A139="","",IF(OR($N139="Closed",$N139="Canceled"),IF($O139="","",MAX(0,$O139-$H139)),MAX(0,TODAY()-$H139))),"")</f>
        <v/>
      </c>
      <c r="AN139" s="24">
        <f>IFERROR(IF($A139="","",IF($AA139&gt;$R139,"Over Received",IF(AND($J139="Approved",OR($K139="",$L139="")),"Approval Missing",IF(AND($J139="Pending",$AM139&gt;'Settings'!$B$7),"Approval Follow-Up",IF(AND($N139="Open",$I139&lt;&gt;"",$I139+'Settings'!$B$8&lt;TODAY(),$AA139&lt;$R139),"Delivery Overdue",IF(AND($AG139&lt;&gt;"",OR(ABS($AH139)&gt;'Settings'!$B$9,ABS($AI139)&gt;'Settings'!$B$10)),"Invoice Variance",IF(AND($N139="Open",$AM139&gt;'Settings'!$B$11),"Aging Open PO",""))))))),"")</f>
        <v/>
      </c>
      <c r="AO139" s="25" t="n"/>
      <c r="AP139" s="24">
        <f>IFERROR(IF(AND($AN139&lt;&gt;"",$N139&lt;&gt;"Closed",$N139&lt;&gt;"Canceled",OR('Dashboard'!$B$4="All",$B139='Dashboard'!$B$4),OR('Dashboard'!$D$4="All",$C139='Dashboard'!$D$4)),COUNTIFS($AN$6:$AN139,"&lt;&gt;",$N$6:$N139,"&lt;&gt;Closed",$N$6:$N139,"&lt;&gt;Canceled",$B$6:$B139,IF('Dashboard'!$B$4="All","&lt;&gt;",'Dashboard'!$B$4),$C$6:$C139,IF('Dashboard'!$D$4="All","&lt;&gt;",'Dashboard'!$D$4)),""),"")</f>
        <v/>
      </c>
    </row>
    <row r="140">
      <c r="A140" s="23" t="n"/>
      <c r="B140" s="23" t="n"/>
      <c r="C140" s="23" t="n"/>
      <c r="D140" s="23" t="n"/>
      <c r="E140" s="23" t="n"/>
      <c r="F140" s="24">
        <f>IFERROR(IF($E140="","",VLOOKUP($E140,'Settings'!$G$16:$M$115,2,0)),"")</f>
        <v/>
      </c>
      <c r="G140" s="25" t="n"/>
      <c r="H140" s="51" t="n"/>
      <c r="I140" s="51" t="n"/>
      <c r="J140" s="23" t="n"/>
      <c r="K140" s="23" t="n"/>
      <c r="L140" s="51" t="n"/>
      <c r="M140" s="27">
        <f>IFERROR(IF($A140="","",IF($J140="Approved",MAX(0,$L140-$H140),"")),"")</f>
        <v/>
      </c>
      <c r="N140" s="23" t="n"/>
      <c r="O140" s="51" t="n"/>
      <c r="P140" s="23" t="n"/>
      <c r="Q140" s="25" t="n"/>
      <c r="R140" s="28" t="n"/>
      <c r="S140" s="52" t="n"/>
      <c r="T140" s="52" t="n"/>
      <c r="U140" s="23" t="n"/>
      <c r="V140" s="30" t="n"/>
      <c r="W140" s="52" t="n"/>
      <c r="X140" s="53">
        <f>IFERROR(IF($A140="","",MAX(0,$R140*$S140-$T140)),"")</f>
        <v/>
      </c>
      <c r="Y140" s="53">
        <f>IFERROR(IF($A140="","",IF($U140="Yes",$X140*$V140,0)),"")</f>
        <v/>
      </c>
      <c r="Z140" s="53">
        <f>IFERROR(IF($A140="","",$X140+$Y140+$W140),"")</f>
        <v/>
      </c>
      <c r="AA140" s="28" t="n"/>
      <c r="AB140" s="51" t="n"/>
      <c r="AC140" s="24">
        <f>IFERROR(IF($A140="","",IF($N140="Canceled","Canceled",IF($AA140=0,"Not Received",IF($AA140&lt;$R140,"Partially Received",IF($AA140=$R140,"Fully Received","Over Received"))))),"")</f>
        <v/>
      </c>
      <c r="AD140" s="25" t="n"/>
      <c r="AE140" s="23" t="n"/>
      <c r="AF140" s="51" t="n"/>
      <c r="AG140" s="52" t="n"/>
      <c r="AH140" s="53">
        <f>IFERROR(IF($A140="","",IF($AG140="","",$AG140-$Z140)),"")</f>
        <v/>
      </c>
      <c r="AI140" s="32">
        <f>IFERROR(IF($A140="","",IF(OR($AG140="",$Z140=0),"",($AG140-$Z140)/$Z140)),"")</f>
        <v/>
      </c>
      <c r="AJ140" s="23" t="n"/>
      <c r="AK140" s="51" t="n"/>
      <c r="AL140" s="53">
        <f>IFERROR(IF($A140="","",IF(OR($N140="Canceled",$N140="Closed"),0,MAX($Z140-IF($AG140="",0,$AG140),0))),"")</f>
        <v/>
      </c>
      <c r="AM140" s="27">
        <f>IFERROR(IF($A140="","",IF(OR($N140="Closed",$N140="Canceled"),IF($O140="","",MAX(0,$O140-$H140)),MAX(0,TODAY()-$H140))),"")</f>
        <v/>
      </c>
      <c r="AN140" s="24">
        <f>IFERROR(IF($A140="","",IF($AA140&gt;$R140,"Over Received",IF(AND($J140="Approved",OR($K140="",$L140="")),"Approval Missing",IF(AND($J140="Pending",$AM140&gt;'Settings'!$B$7),"Approval Follow-Up",IF(AND($N140="Open",$I140&lt;&gt;"",$I140+'Settings'!$B$8&lt;TODAY(),$AA140&lt;$R140),"Delivery Overdue",IF(AND($AG140&lt;&gt;"",OR(ABS($AH140)&gt;'Settings'!$B$9,ABS($AI140)&gt;'Settings'!$B$10)),"Invoice Variance",IF(AND($N140="Open",$AM140&gt;'Settings'!$B$11),"Aging Open PO",""))))))),"")</f>
        <v/>
      </c>
      <c r="AO140" s="25" t="n"/>
      <c r="AP140" s="24">
        <f>IFERROR(IF(AND($AN140&lt;&gt;"",$N140&lt;&gt;"Closed",$N140&lt;&gt;"Canceled",OR('Dashboard'!$B$4="All",$B140='Dashboard'!$B$4),OR('Dashboard'!$D$4="All",$C140='Dashboard'!$D$4)),COUNTIFS($AN$6:$AN140,"&lt;&gt;",$N$6:$N140,"&lt;&gt;Closed",$N$6:$N140,"&lt;&gt;Canceled",$B$6:$B140,IF('Dashboard'!$B$4="All","&lt;&gt;",'Dashboard'!$B$4),$C$6:$C140,IF('Dashboard'!$D$4="All","&lt;&gt;",'Dashboard'!$D$4)),""),"")</f>
        <v/>
      </c>
    </row>
    <row r="141">
      <c r="A141" s="23" t="n"/>
      <c r="B141" s="23" t="n"/>
      <c r="C141" s="23" t="n"/>
      <c r="D141" s="23" t="n"/>
      <c r="E141" s="23" t="n"/>
      <c r="F141" s="24">
        <f>IFERROR(IF($E141="","",VLOOKUP($E141,'Settings'!$G$16:$M$115,2,0)),"")</f>
        <v/>
      </c>
      <c r="G141" s="25" t="n"/>
      <c r="H141" s="51" t="n"/>
      <c r="I141" s="51" t="n"/>
      <c r="J141" s="23" t="n"/>
      <c r="K141" s="23" t="n"/>
      <c r="L141" s="51" t="n"/>
      <c r="M141" s="27">
        <f>IFERROR(IF($A141="","",IF($J141="Approved",MAX(0,$L141-$H141),"")),"")</f>
        <v/>
      </c>
      <c r="N141" s="23" t="n"/>
      <c r="O141" s="51" t="n"/>
      <c r="P141" s="23" t="n"/>
      <c r="Q141" s="25" t="n"/>
      <c r="R141" s="28" t="n"/>
      <c r="S141" s="52" t="n"/>
      <c r="T141" s="52" t="n"/>
      <c r="U141" s="23" t="n"/>
      <c r="V141" s="30" t="n"/>
      <c r="W141" s="52" t="n"/>
      <c r="X141" s="53">
        <f>IFERROR(IF($A141="","",MAX(0,$R141*$S141-$T141)),"")</f>
        <v/>
      </c>
      <c r="Y141" s="53">
        <f>IFERROR(IF($A141="","",IF($U141="Yes",$X141*$V141,0)),"")</f>
        <v/>
      </c>
      <c r="Z141" s="53">
        <f>IFERROR(IF($A141="","",$X141+$Y141+$W141),"")</f>
        <v/>
      </c>
      <c r="AA141" s="28" t="n"/>
      <c r="AB141" s="51" t="n"/>
      <c r="AC141" s="24">
        <f>IFERROR(IF($A141="","",IF($N141="Canceled","Canceled",IF($AA141=0,"Not Received",IF($AA141&lt;$R141,"Partially Received",IF($AA141=$R141,"Fully Received","Over Received"))))),"")</f>
        <v/>
      </c>
      <c r="AD141" s="25" t="n"/>
      <c r="AE141" s="23" t="n"/>
      <c r="AF141" s="51" t="n"/>
      <c r="AG141" s="52" t="n"/>
      <c r="AH141" s="53">
        <f>IFERROR(IF($A141="","",IF($AG141="","",$AG141-$Z141)),"")</f>
        <v/>
      </c>
      <c r="AI141" s="32">
        <f>IFERROR(IF($A141="","",IF(OR($AG141="",$Z141=0),"",($AG141-$Z141)/$Z141)),"")</f>
        <v/>
      </c>
      <c r="AJ141" s="23" t="n"/>
      <c r="AK141" s="51" t="n"/>
      <c r="AL141" s="53">
        <f>IFERROR(IF($A141="","",IF(OR($N141="Canceled",$N141="Closed"),0,MAX($Z141-IF($AG141="",0,$AG141),0))),"")</f>
        <v/>
      </c>
      <c r="AM141" s="27">
        <f>IFERROR(IF($A141="","",IF(OR($N141="Closed",$N141="Canceled"),IF($O141="","",MAX(0,$O141-$H141)),MAX(0,TODAY()-$H141))),"")</f>
        <v/>
      </c>
      <c r="AN141" s="24">
        <f>IFERROR(IF($A141="","",IF($AA141&gt;$R141,"Over Received",IF(AND($J141="Approved",OR($K141="",$L141="")),"Approval Missing",IF(AND($J141="Pending",$AM141&gt;'Settings'!$B$7),"Approval Follow-Up",IF(AND($N141="Open",$I141&lt;&gt;"",$I141+'Settings'!$B$8&lt;TODAY(),$AA141&lt;$R141),"Delivery Overdue",IF(AND($AG141&lt;&gt;"",OR(ABS($AH141)&gt;'Settings'!$B$9,ABS($AI141)&gt;'Settings'!$B$10)),"Invoice Variance",IF(AND($N141="Open",$AM141&gt;'Settings'!$B$11),"Aging Open PO",""))))))),"")</f>
        <v/>
      </c>
      <c r="AO141" s="25" t="n"/>
      <c r="AP141" s="24">
        <f>IFERROR(IF(AND($AN141&lt;&gt;"",$N141&lt;&gt;"Closed",$N141&lt;&gt;"Canceled",OR('Dashboard'!$B$4="All",$B141='Dashboard'!$B$4),OR('Dashboard'!$D$4="All",$C141='Dashboard'!$D$4)),COUNTIFS($AN$6:$AN141,"&lt;&gt;",$N$6:$N141,"&lt;&gt;Closed",$N$6:$N141,"&lt;&gt;Canceled",$B$6:$B141,IF('Dashboard'!$B$4="All","&lt;&gt;",'Dashboard'!$B$4),$C$6:$C141,IF('Dashboard'!$D$4="All","&lt;&gt;",'Dashboard'!$D$4)),""),"")</f>
        <v/>
      </c>
    </row>
    <row r="142">
      <c r="A142" s="23" t="n"/>
      <c r="B142" s="23" t="n"/>
      <c r="C142" s="23" t="n"/>
      <c r="D142" s="23" t="n"/>
      <c r="E142" s="23" t="n"/>
      <c r="F142" s="24">
        <f>IFERROR(IF($E142="","",VLOOKUP($E142,'Settings'!$G$16:$M$115,2,0)),"")</f>
        <v/>
      </c>
      <c r="G142" s="25" t="n"/>
      <c r="H142" s="51" t="n"/>
      <c r="I142" s="51" t="n"/>
      <c r="J142" s="23" t="n"/>
      <c r="K142" s="23" t="n"/>
      <c r="L142" s="51" t="n"/>
      <c r="M142" s="27">
        <f>IFERROR(IF($A142="","",IF($J142="Approved",MAX(0,$L142-$H142),"")),"")</f>
        <v/>
      </c>
      <c r="N142" s="23" t="n"/>
      <c r="O142" s="51" t="n"/>
      <c r="P142" s="23" t="n"/>
      <c r="Q142" s="25" t="n"/>
      <c r="R142" s="28" t="n"/>
      <c r="S142" s="52" t="n"/>
      <c r="T142" s="52" t="n"/>
      <c r="U142" s="23" t="n"/>
      <c r="V142" s="30" t="n"/>
      <c r="W142" s="52" t="n"/>
      <c r="X142" s="53">
        <f>IFERROR(IF($A142="","",MAX(0,$R142*$S142-$T142)),"")</f>
        <v/>
      </c>
      <c r="Y142" s="53">
        <f>IFERROR(IF($A142="","",IF($U142="Yes",$X142*$V142,0)),"")</f>
        <v/>
      </c>
      <c r="Z142" s="53">
        <f>IFERROR(IF($A142="","",$X142+$Y142+$W142),"")</f>
        <v/>
      </c>
      <c r="AA142" s="28" t="n"/>
      <c r="AB142" s="51" t="n"/>
      <c r="AC142" s="24">
        <f>IFERROR(IF($A142="","",IF($N142="Canceled","Canceled",IF($AA142=0,"Not Received",IF($AA142&lt;$R142,"Partially Received",IF($AA142=$R142,"Fully Received","Over Received"))))),"")</f>
        <v/>
      </c>
      <c r="AD142" s="25" t="n"/>
      <c r="AE142" s="23" t="n"/>
      <c r="AF142" s="51" t="n"/>
      <c r="AG142" s="52" t="n"/>
      <c r="AH142" s="53">
        <f>IFERROR(IF($A142="","",IF($AG142="","",$AG142-$Z142)),"")</f>
        <v/>
      </c>
      <c r="AI142" s="32">
        <f>IFERROR(IF($A142="","",IF(OR($AG142="",$Z142=0),"",($AG142-$Z142)/$Z142)),"")</f>
        <v/>
      </c>
      <c r="AJ142" s="23" t="n"/>
      <c r="AK142" s="51" t="n"/>
      <c r="AL142" s="53">
        <f>IFERROR(IF($A142="","",IF(OR($N142="Canceled",$N142="Closed"),0,MAX($Z142-IF($AG142="",0,$AG142),0))),"")</f>
        <v/>
      </c>
      <c r="AM142" s="27">
        <f>IFERROR(IF($A142="","",IF(OR($N142="Closed",$N142="Canceled"),IF($O142="","",MAX(0,$O142-$H142)),MAX(0,TODAY()-$H142))),"")</f>
        <v/>
      </c>
      <c r="AN142" s="24">
        <f>IFERROR(IF($A142="","",IF($AA142&gt;$R142,"Over Received",IF(AND($J142="Approved",OR($K142="",$L142="")),"Approval Missing",IF(AND($J142="Pending",$AM142&gt;'Settings'!$B$7),"Approval Follow-Up",IF(AND($N142="Open",$I142&lt;&gt;"",$I142+'Settings'!$B$8&lt;TODAY(),$AA142&lt;$R142),"Delivery Overdue",IF(AND($AG142&lt;&gt;"",OR(ABS($AH142)&gt;'Settings'!$B$9,ABS($AI142)&gt;'Settings'!$B$10)),"Invoice Variance",IF(AND($N142="Open",$AM142&gt;'Settings'!$B$11),"Aging Open PO",""))))))),"")</f>
        <v/>
      </c>
      <c r="AO142" s="25" t="n"/>
      <c r="AP142" s="24">
        <f>IFERROR(IF(AND($AN142&lt;&gt;"",$N142&lt;&gt;"Closed",$N142&lt;&gt;"Canceled",OR('Dashboard'!$B$4="All",$B142='Dashboard'!$B$4),OR('Dashboard'!$D$4="All",$C142='Dashboard'!$D$4)),COUNTIFS($AN$6:$AN142,"&lt;&gt;",$N$6:$N142,"&lt;&gt;Closed",$N$6:$N142,"&lt;&gt;Canceled",$B$6:$B142,IF('Dashboard'!$B$4="All","&lt;&gt;",'Dashboard'!$B$4),$C$6:$C142,IF('Dashboard'!$D$4="All","&lt;&gt;",'Dashboard'!$D$4)),""),"")</f>
        <v/>
      </c>
    </row>
    <row r="143">
      <c r="A143" s="23" t="n"/>
      <c r="B143" s="23" t="n"/>
      <c r="C143" s="23" t="n"/>
      <c r="D143" s="23" t="n"/>
      <c r="E143" s="23" t="n"/>
      <c r="F143" s="24">
        <f>IFERROR(IF($E143="","",VLOOKUP($E143,'Settings'!$G$16:$M$115,2,0)),"")</f>
        <v/>
      </c>
      <c r="G143" s="25" t="n"/>
      <c r="H143" s="51" t="n"/>
      <c r="I143" s="51" t="n"/>
      <c r="J143" s="23" t="n"/>
      <c r="K143" s="23" t="n"/>
      <c r="L143" s="51" t="n"/>
      <c r="M143" s="27">
        <f>IFERROR(IF($A143="","",IF($J143="Approved",MAX(0,$L143-$H143),"")),"")</f>
        <v/>
      </c>
      <c r="N143" s="23" t="n"/>
      <c r="O143" s="51" t="n"/>
      <c r="P143" s="23" t="n"/>
      <c r="Q143" s="25" t="n"/>
      <c r="R143" s="28" t="n"/>
      <c r="S143" s="52" t="n"/>
      <c r="T143" s="52" t="n"/>
      <c r="U143" s="23" t="n"/>
      <c r="V143" s="30" t="n"/>
      <c r="W143" s="52" t="n"/>
      <c r="X143" s="53">
        <f>IFERROR(IF($A143="","",MAX(0,$R143*$S143-$T143)),"")</f>
        <v/>
      </c>
      <c r="Y143" s="53">
        <f>IFERROR(IF($A143="","",IF($U143="Yes",$X143*$V143,0)),"")</f>
        <v/>
      </c>
      <c r="Z143" s="53">
        <f>IFERROR(IF($A143="","",$X143+$Y143+$W143),"")</f>
        <v/>
      </c>
      <c r="AA143" s="28" t="n"/>
      <c r="AB143" s="51" t="n"/>
      <c r="AC143" s="24">
        <f>IFERROR(IF($A143="","",IF($N143="Canceled","Canceled",IF($AA143=0,"Not Received",IF($AA143&lt;$R143,"Partially Received",IF($AA143=$R143,"Fully Received","Over Received"))))),"")</f>
        <v/>
      </c>
      <c r="AD143" s="25" t="n"/>
      <c r="AE143" s="23" t="n"/>
      <c r="AF143" s="51" t="n"/>
      <c r="AG143" s="52" t="n"/>
      <c r="AH143" s="53">
        <f>IFERROR(IF($A143="","",IF($AG143="","",$AG143-$Z143)),"")</f>
        <v/>
      </c>
      <c r="AI143" s="32">
        <f>IFERROR(IF($A143="","",IF(OR($AG143="",$Z143=0),"",($AG143-$Z143)/$Z143)),"")</f>
        <v/>
      </c>
      <c r="AJ143" s="23" t="n"/>
      <c r="AK143" s="51" t="n"/>
      <c r="AL143" s="53">
        <f>IFERROR(IF($A143="","",IF(OR($N143="Canceled",$N143="Closed"),0,MAX($Z143-IF($AG143="",0,$AG143),0))),"")</f>
        <v/>
      </c>
      <c r="AM143" s="27">
        <f>IFERROR(IF($A143="","",IF(OR($N143="Closed",$N143="Canceled"),IF($O143="","",MAX(0,$O143-$H143)),MAX(0,TODAY()-$H143))),"")</f>
        <v/>
      </c>
      <c r="AN143" s="24">
        <f>IFERROR(IF($A143="","",IF($AA143&gt;$R143,"Over Received",IF(AND($J143="Approved",OR($K143="",$L143="")),"Approval Missing",IF(AND($J143="Pending",$AM143&gt;'Settings'!$B$7),"Approval Follow-Up",IF(AND($N143="Open",$I143&lt;&gt;"",$I143+'Settings'!$B$8&lt;TODAY(),$AA143&lt;$R143),"Delivery Overdue",IF(AND($AG143&lt;&gt;"",OR(ABS($AH143)&gt;'Settings'!$B$9,ABS($AI143)&gt;'Settings'!$B$10)),"Invoice Variance",IF(AND($N143="Open",$AM143&gt;'Settings'!$B$11),"Aging Open PO",""))))))),"")</f>
        <v/>
      </c>
      <c r="AO143" s="25" t="n"/>
      <c r="AP143" s="24">
        <f>IFERROR(IF(AND($AN143&lt;&gt;"",$N143&lt;&gt;"Closed",$N143&lt;&gt;"Canceled",OR('Dashboard'!$B$4="All",$B143='Dashboard'!$B$4),OR('Dashboard'!$D$4="All",$C143='Dashboard'!$D$4)),COUNTIFS($AN$6:$AN143,"&lt;&gt;",$N$6:$N143,"&lt;&gt;Closed",$N$6:$N143,"&lt;&gt;Canceled",$B$6:$B143,IF('Dashboard'!$B$4="All","&lt;&gt;",'Dashboard'!$B$4),$C$6:$C143,IF('Dashboard'!$D$4="All","&lt;&gt;",'Dashboard'!$D$4)),""),"")</f>
        <v/>
      </c>
    </row>
    <row r="144">
      <c r="A144" s="23" t="n"/>
      <c r="B144" s="23" t="n"/>
      <c r="C144" s="23" t="n"/>
      <c r="D144" s="23" t="n"/>
      <c r="E144" s="23" t="n"/>
      <c r="F144" s="24">
        <f>IFERROR(IF($E144="","",VLOOKUP($E144,'Settings'!$G$16:$M$115,2,0)),"")</f>
        <v/>
      </c>
      <c r="G144" s="25" t="n"/>
      <c r="H144" s="51" t="n"/>
      <c r="I144" s="51" t="n"/>
      <c r="J144" s="23" t="n"/>
      <c r="K144" s="23" t="n"/>
      <c r="L144" s="51" t="n"/>
      <c r="M144" s="27">
        <f>IFERROR(IF($A144="","",IF($J144="Approved",MAX(0,$L144-$H144),"")),"")</f>
        <v/>
      </c>
      <c r="N144" s="23" t="n"/>
      <c r="O144" s="51" t="n"/>
      <c r="P144" s="23" t="n"/>
      <c r="Q144" s="25" t="n"/>
      <c r="R144" s="28" t="n"/>
      <c r="S144" s="52" t="n"/>
      <c r="T144" s="52" t="n"/>
      <c r="U144" s="23" t="n"/>
      <c r="V144" s="30" t="n"/>
      <c r="W144" s="52" t="n"/>
      <c r="X144" s="53">
        <f>IFERROR(IF($A144="","",MAX(0,$R144*$S144-$T144)),"")</f>
        <v/>
      </c>
      <c r="Y144" s="53">
        <f>IFERROR(IF($A144="","",IF($U144="Yes",$X144*$V144,0)),"")</f>
        <v/>
      </c>
      <c r="Z144" s="53">
        <f>IFERROR(IF($A144="","",$X144+$Y144+$W144),"")</f>
        <v/>
      </c>
      <c r="AA144" s="28" t="n"/>
      <c r="AB144" s="51" t="n"/>
      <c r="AC144" s="24">
        <f>IFERROR(IF($A144="","",IF($N144="Canceled","Canceled",IF($AA144=0,"Not Received",IF($AA144&lt;$R144,"Partially Received",IF($AA144=$R144,"Fully Received","Over Received"))))),"")</f>
        <v/>
      </c>
      <c r="AD144" s="25" t="n"/>
      <c r="AE144" s="23" t="n"/>
      <c r="AF144" s="51" t="n"/>
      <c r="AG144" s="52" t="n"/>
      <c r="AH144" s="53">
        <f>IFERROR(IF($A144="","",IF($AG144="","",$AG144-$Z144)),"")</f>
        <v/>
      </c>
      <c r="AI144" s="32">
        <f>IFERROR(IF($A144="","",IF(OR($AG144="",$Z144=0),"",($AG144-$Z144)/$Z144)),"")</f>
        <v/>
      </c>
      <c r="AJ144" s="23" t="n"/>
      <c r="AK144" s="51" t="n"/>
      <c r="AL144" s="53">
        <f>IFERROR(IF($A144="","",IF(OR($N144="Canceled",$N144="Closed"),0,MAX($Z144-IF($AG144="",0,$AG144),0))),"")</f>
        <v/>
      </c>
      <c r="AM144" s="27">
        <f>IFERROR(IF($A144="","",IF(OR($N144="Closed",$N144="Canceled"),IF($O144="","",MAX(0,$O144-$H144)),MAX(0,TODAY()-$H144))),"")</f>
        <v/>
      </c>
      <c r="AN144" s="24">
        <f>IFERROR(IF($A144="","",IF($AA144&gt;$R144,"Over Received",IF(AND($J144="Approved",OR($K144="",$L144="")),"Approval Missing",IF(AND($J144="Pending",$AM144&gt;'Settings'!$B$7),"Approval Follow-Up",IF(AND($N144="Open",$I144&lt;&gt;"",$I144+'Settings'!$B$8&lt;TODAY(),$AA144&lt;$R144),"Delivery Overdue",IF(AND($AG144&lt;&gt;"",OR(ABS($AH144)&gt;'Settings'!$B$9,ABS($AI144)&gt;'Settings'!$B$10)),"Invoice Variance",IF(AND($N144="Open",$AM144&gt;'Settings'!$B$11),"Aging Open PO",""))))))),"")</f>
        <v/>
      </c>
      <c r="AO144" s="25" t="n"/>
      <c r="AP144" s="24">
        <f>IFERROR(IF(AND($AN144&lt;&gt;"",$N144&lt;&gt;"Closed",$N144&lt;&gt;"Canceled",OR('Dashboard'!$B$4="All",$B144='Dashboard'!$B$4),OR('Dashboard'!$D$4="All",$C144='Dashboard'!$D$4)),COUNTIFS($AN$6:$AN144,"&lt;&gt;",$N$6:$N144,"&lt;&gt;Closed",$N$6:$N144,"&lt;&gt;Canceled",$B$6:$B144,IF('Dashboard'!$B$4="All","&lt;&gt;",'Dashboard'!$B$4),$C$6:$C144,IF('Dashboard'!$D$4="All","&lt;&gt;",'Dashboard'!$D$4)),""),"")</f>
        <v/>
      </c>
    </row>
    <row r="145">
      <c r="A145" s="23" t="n"/>
      <c r="B145" s="23" t="n"/>
      <c r="C145" s="23" t="n"/>
      <c r="D145" s="23" t="n"/>
      <c r="E145" s="23" t="n"/>
      <c r="F145" s="24">
        <f>IFERROR(IF($E145="","",VLOOKUP($E145,'Settings'!$G$16:$M$115,2,0)),"")</f>
        <v/>
      </c>
      <c r="G145" s="25" t="n"/>
      <c r="H145" s="51" t="n"/>
      <c r="I145" s="51" t="n"/>
      <c r="J145" s="23" t="n"/>
      <c r="K145" s="23" t="n"/>
      <c r="L145" s="51" t="n"/>
      <c r="M145" s="27">
        <f>IFERROR(IF($A145="","",IF($J145="Approved",MAX(0,$L145-$H145),"")),"")</f>
        <v/>
      </c>
      <c r="N145" s="23" t="n"/>
      <c r="O145" s="51" t="n"/>
      <c r="P145" s="23" t="n"/>
      <c r="Q145" s="25" t="n"/>
      <c r="R145" s="28" t="n"/>
      <c r="S145" s="52" t="n"/>
      <c r="T145" s="52" t="n"/>
      <c r="U145" s="23" t="n"/>
      <c r="V145" s="30" t="n"/>
      <c r="W145" s="52" t="n"/>
      <c r="X145" s="53">
        <f>IFERROR(IF($A145="","",MAX(0,$R145*$S145-$T145)),"")</f>
        <v/>
      </c>
      <c r="Y145" s="53">
        <f>IFERROR(IF($A145="","",IF($U145="Yes",$X145*$V145,0)),"")</f>
        <v/>
      </c>
      <c r="Z145" s="53">
        <f>IFERROR(IF($A145="","",$X145+$Y145+$W145),"")</f>
        <v/>
      </c>
      <c r="AA145" s="28" t="n"/>
      <c r="AB145" s="51" t="n"/>
      <c r="AC145" s="24">
        <f>IFERROR(IF($A145="","",IF($N145="Canceled","Canceled",IF($AA145=0,"Not Received",IF($AA145&lt;$R145,"Partially Received",IF($AA145=$R145,"Fully Received","Over Received"))))),"")</f>
        <v/>
      </c>
      <c r="AD145" s="25" t="n"/>
      <c r="AE145" s="23" t="n"/>
      <c r="AF145" s="51" t="n"/>
      <c r="AG145" s="52" t="n"/>
      <c r="AH145" s="53">
        <f>IFERROR(IF($A145="","",IF($AG145="","",$AG145-$Z145)),"")</f>
        <v/>
      </c>
      <c r="AI145" s="32">
        <f>IFERROR(IF($A145="","",IF(OR($AG145="",$Z145=0),"",($AG145-$Z145)/$Z145)),"")</f>
        <v/>
      </c>
      <c r="AJ145" s="23" t="n"/>
      <c r="AK145" s="51" t="n"/>
      <c r="AL145" s="53">
        <f>IFERROR(IF($A145="","",IF(OR($N145="Canceled",$N145="Closed"),0,MAX($Z145-IF($AG145="",0,$AG145),0))),"")</f>
        <v/>
      </c>
      <c r="AM145" s="27">
        <f>IFERROR(IF($A145="","",IF(OR($N145="Closed",$N145="Canceled"),IF($O145="","",MAX(0,$O145-$H145)),MAX(0,TODAY()-$H145))),"")</f>
        <v/>
      </c>
      <c r="AN145" s="24">
        <f>IFERROR(IF($A145="","",IF($AA145&gt;$R145,"Over Received",IF(AND($J145="Approved",OR($K145="",$L145="")),"Approval Missing",IF(AND($J145="Pending",$AM145&gt;'Settings'!$B$7),"Approval Follow-Up",IF(AND($N145="Open",$I145&lt;&gt;"",$I145+'Settings'!$B$8&lt;TODAY(),$AA145&lt;$R145),"Delivery Overdue",IF(AND($AG145&lt;&gt;"",OR(ABS($AH145)&gt;'Settings'!$B$9,ABS($AI145)&gt;'Settings'!$B$10)),"Invoice Variance",IF(AND($N145="Open",$AM145&gt;'Settings'!$B$11),"Aging Open PO",""))))))),"")</f>
        <v/>
      </c>
      <c r="AO145" s="25" t="n"/>
      <c r="AP145" s="24">
        <f>IFERROR(IF(AND($AN145&lt;&gt;"",$N145&lt;&gt;"Closed",$N145&lt;&gt;"Canceled",OR('Dashboard'!$B$4="All",$B145='Dashboard'!$B$4),OR('Dashboard'!$D$4="All",$C145='Dashboard'!$D$4)),COUNTIFS($AN$6:$AN145,"&lt;&gt;",$N$6:$N145,"&lt;&gt;Closed",$N$6:$N145,"&lt;&gt;Canceled",$B$6:$B145,IF('Dashboard'!$B$4="All","&lt;&gt;",'Dashboard'!$B$4),$C$6:$C145,IF('Dashboard'!$D$4="All","&lt;&gt;",'Dashboard'!$D$4)),""),"")</f>
        <v/>
      </c>
    </row>
    <row r="146">
      <c r="A146" s="23" t="n"/>
      <c r="B146" s="23" t="n"/>
      <c r="C146" s="23" t="n"/>
      <c r="D146" s="23" t="n"/>
      <c r="E146" s="23" t="n"/>
      <c r="F146" s="24">
        <f>IFERROR(IF($E146="","",VLOOKUP($E146,'Settings'!$G$16:$M$115,2,0)),"")</f>
        <v/>
      </c>
      <c r="G146" s="25" t="n"/>
      <c r="H146" s="51" t="n"/>
      <c r="I146" s="51" t="n"/>
      <c r="J146" s="23" t="n"/>
      <c r="K146" s="23" t="n"/>
      <c r="L146" s="51" t="n"/>
      <c r="M146" s="27">
        <f>IFERROR(IF($A146="","",IF($J146="Approved",MAX(0,$L146-$H146),"")),"")</f>
        <v/>
      </c>
      <c r="N146" s="23" t="n"/>
      <c r="O146" s="51" t="n"/>
      <c r="P146" s="23" t="n"/>
      <c r="Q146" s="25" t="n"/>
      <c r="R146" s="28" t="n"/>
      <c r="S146" s="52" t="n"/>
      <c r="T146" s="52" t="n"/>
      <c r="U146" s="23" t="n"/>
      <c r="V146" s="30" t="n"/>
      <c r="W146" s="52" t="n"/>
      <c r="X146" s="53">
        <f>IFERROR(IF($A146="","",MAX(0,$R146*$S146-$T146)),"")</f>
        <v/>
      </c>
      <c r="Y146" s="53">
        <f>IFERROR(IF($A146="","",IF($U146="Yes",$X146*$V146,0)),"")</f>
        <v/>
      </c>
      <c r="Z146" s="53">
        <f>IFERROR(IF($A146="","",$X146+$Y146+$W146),"")</f>
        <v/>
      </c>
      <c r="AA146" s="28" t="n"/>
      <c r="AB146" s="51" t="n"/>
      <c r="AC146" s="24">
        <f>IFERROR(IF($A146="","",IF($N146="Canceled","Canceled",IF($AA146=0,"Not Received",IF($AA146&lt;$R146,"Partially Received",IF($AA146=$R146,"Fully Received","Over Received"))))),"")</f>
        <v/>
      </c>
      <c r="AD146" s="25" t="n"/>
      <c r="AE146" s="23" t="n"/>
      <c r="AF146" s="51" t="n"/>
      <c r="AG146" s="52" t="n"/>
      <c r="AH146" s="53">
        <f>IFERROR(IF($A146="","",IF($AG146="","",$AG146-$Z146)),"")</f>
        <v/>
      </c>
      <c r="AI146" s="32">
        <f>IFERROR(IF($A146="","",IF(OR($AG146="",$Z146=0),"",($AG146-$Z146)/$Z146)),"")</f>
        <v/>
      </c>
      <c r="AJ146" s="23" t="n"/>
      <c r="AK146" s="51" t="n"/>
      <c r="AL146" s="53">
        <f>IFERROR(IF($A146="","",IF(OR($N146="Canceled",$N146="Closed"),0,MAX($Z146-IF($AG146="",0,$AG146),0))),"")</f>
        <v/>
      </c>
      <c r="AM146" s="27">
        <f>IFERROR(IF($A146="","",IF(OR($N146="Closed",$N146="Canceled"),IF($O146="","",MAX(0,$O146-$H146)),MAX(0,TODAY()-$H146))),"")</f>
        <v/>
      </c>
      <c r="AN146" s="24">
        <f>IFERROR(IF($A146="","",IF($AA146&gt;$R146,"Over Received",IF(AND($J146="Approved",OR($K146="",$L146="")),"Approval Missing",IF(AND($J146="Pending",$AM146&gt;'Settings'!$B$7),"Approval Follow-Up",IF(AND($N146="Open",$I146&lt;&gt;"",$I146+'Settings'!$B$8&lt;TODAY(),$AA146&lt;$R146),"Delivery Overdue",IF(AND($AG146&lt;&gt;"",OR(ABS($AH146)&gt;'Settings'!$B$9,ABS($AI146)&gt;'Settings'!$B$10)),"Invoice Variance",IF(AND($N146="Open",$AM146&gt;'Settings'!$B$11),"Aging Open PO",""))))))),"")</f>
        <v/>
      </c>
      <c r="AO146" s="25" t="n"/>
      <c r="AP146" s="24">
        <f>IFERROR(IF(AND($AN146&lt;&gt;"",$N146&lt;&gt;"Closed",$N146&lt;&gt;"Canceled",OR('Dashboard'!$B$4="All",$B146='Dashboard'!$B$4),OR('Dashboard'!$D$4="All",$C146='Dashboard'!$D$4)),COUNTIFS($AN$6:$AN146,"&lt;&gt;",$N$6:$N146,"&lt;&gt;Closed",$N$6:$N146,"&lt;&gt;Canceled",$B$6:$B146,IF('Dashboard'!$B$4="All","&lt;&gt;",'Dashboard'!$B$4),$C$6:$C146,IF('Dashboard'!$D$4="All","&lt;&gt;",'Dashboard'!$D$4)),""),"")</f>
        <v/>
      </c>
    </row>
    <row r="147">
      <c r="A147" s="23" t="n"/>
      <c r="B147" s="23" t="n"/>
      <c r="C147" s="23" t="n"/>
      <c r="D147" s="23" t="n"/>
      <c r="E147" s="23" t="n"/>
      <c r="F147" s="24">
        <f>IFERROR(IF($E147="","",VLOOKUP($E147,'Settings'!$G$16:$M$115,2,0)),"")</f>
        <v/>
      </c>
      <c r="G147" s="25" t="n"/>
      <c r="H147" s="51" t="n"/>
      <c r="I147" s="51" t="n"/>
      <c r="J147" s="23" t="n"/>
      <c r="K147" s="23" t="n"/>
      <c r="L147" s="51" t="n"/>
      <c r="M147" s="27">
        <f>IFERROR(IF($A147="","",IF($J147="Approved",MAX(0,$L147-$H147),"")),"")</f>
        <v/>
      </c>
      <c r="N147" s="23" t="n"/>
      <c r="O147" s="51" t="n"/>
      <c r="P147" s="23" t="n"/>
      <c r="Q147" s="25" t="n"/>
      <c r="R147" s="28" t="n"/>
      <c r="S147" s="52" t="n"/>
      <c r="T147" s="52" t="n"/>
      <c r="U147" s="23" t="n"/>
      <c r="V147" s="30" t="n"/>
      <c r="W147" s="52" t="n"/>
      <c r="X147" s="53">
        <f>IFERROR(IF($A147="","",MAX(0,$R147*$S147-$T147)),"")</f>
        <v/>
      </c>
      <c r="Y147" s="53">
        <f>IFERROR(IF($A147="","",IF($U147="Yes",$X147*$V147,0)),"")</f>
        <v/>
      </c>
      <c r="Z147" s="53">
        <f>IFERROR(IF($A147="","",$X147+$Y147+$W147),"")</f>
        <v/>
      </c>
      <c r="AA147" s="28" t="n"/>
      <c r="AB147" s="51" t="n"/>
      <c r="AC147" s="24">
        <f>IFERROR(IF($A147="","",IF($N147="Canceled","Canceled",IF($AA147=0,"Not Received",IF($AA147&lt;$R147,"Partially Received",IF($AA147=$R147,"Fully Received","Over Received"))))),"")</f>
        <v/>
      </c>
      <c r="AD147" s="25" t="n"/>
      <c r="AE147" s="23" t="n"/>
      <c r="AF147" s="51" t="n"/>
      <c r="AG147" s="52" t="n"/>
      <c r="AH147" s="53">
        <f>IFERROR(IF($A147="","",IF($AG147="","",$AG147-$Z147)),"")</f>
        <v/>
      </c>
      <c r="AI147" s="32">
        <f>IFERROR(IF($A147="","",IF(OR($AG147="",$Z147=0),"",($AG147-$Z147)/$Z147)),"")</f>
        <v/>
      </c>
      <c r="AJ147" s="23" t="n"/>
      <c r="AK147" s="51" t="n"/>
      <c r="AL147" s="53">
        <f>IFERROR(IF($A147="","",IF(OR($N147="Canceled",$N147="Closed"),0,MAX($Z147-IF($AG147="",0,$AG147),0))),"")</f>
        <v/>
      </c>
      <c r="AM147" s="27">
        <f>IFERROR(IF($A147="","",IF(OR($N147="Closed",$N147="Canceled"),IF($O147="","",MAX(0,$O147-$H147)),MAX(0,TODAY()-$H147))),"")</f>
        <v/>
      </c>
      <c r="AN147" s="24">
        <f>IFERROR(IF($A147="","",IF($AA147&gt;$R147,"Over Received",IF(AND($J147="Approved",OR($K147="",$L147="")),"Approval Missing",IF(AND($J147="Pending",$AM147&gt;'Settings'!$B$7),"Approval Follow-Up",IF(AND($N147="Open",$I147&lt;&gt;"",$I147+'Settings'!$B$8&lt;TODAY(),$AA147&lt;$R147),"Delivery Overdue",IF(AND($AG147&lt;&gt;"",OR(ABS($AH147)&gt;'Settings'!$B$9,ABS($AI147)&gt;'Settings'!$B$10)),"Invoice Variance",IF(AND($N147="Open",$AM147&gt;'Settings'!$B$11),"Aging Open PO",""))))))),"")</f>
        <v/>
      </c>
      <c r="AO147" s="25" t="n"/>
      <c r="AP147" s="24">
        <f>IFERROR(IF(AND($AN147&lt;&gt;"",$N147&lt;&gt;"Closed",$N147&lt;&gt;"Canceled",OR('Dashboard'!$B$4="All",$B147='Dashboard'!$B$4),OR('Dashboard'!$D$4="All",$C147='Dashboard'!$D$4)),COUNTIFS($AN$6:$AN147,"&lt;&gt;",$N$6:$N147,"&lt;&gt;Closed",$N$6:$N147,"&lt;&gt;Canceled",$B$6:$B147,IF('Dashboard'!$B$4="All","&lt;&gt;",'Dashboard'!$B$4),$C$6:$C147,IF('Dashboard'!$D$4="All","&lt;&gt;",'Dashboard'!$D$4)),""),"")</f>
        <v/>
      </c>
    </row>
    <row r="148">
      <c r="A148" s="23" t="n"/>
      <c r="B148" s="23" t="n"/>
      <c r="C148" s="23" t="n"/>
      <c r="D148" s="23" t="n"/>
      <c r="E148" s="23" t="n"/>
      <c r="F148" s="24">
        <f>IFERROR(IF($E148="","",VLOOKUP($E148,'Settings'!$G$16:$M$115,2,0)),"")</f>
        <v/>
      </c>
      <c r="G148" s="25" t="n"/>
      <c r="H148" s="51" t="n"/>
      <c r="I148" s="51" t="n"/>
      <c r="J148" s="23" t="n"/>
      <c r="K148" s="23" t="n"/>
      <c r="L148" s="51" t="n"/>
      <c r="M148" s="27">
        <f>IFERROR(IF($A148="","",IF($J148="Approved",MAX(0,$L148-$H148),"")),"")</f>
        <v/>
      </c>
      <c r="N148" s="23" t="n"/>
      <c r="O148" s="51" t="n"/>
      <c r="P148" s="23" t="n"/>
      <c r="Q148" s="25" t="n"/>
      <c r="R148" s="28" t="n"/>
      <c r="S148" s="52" t="n"/>
      <c r="T148" s="52" t="n"/>
      <c r="U148" s="23" t="n"/>
      <c r="V148" s="30" t="n"/>
      <c r="W148" s="52" t="n"/>
      <c r="X148" s="53">
        <f>IFERROR(IF($A148="","",MAX(0,$R148*$S148-$T148)),"")</f>
        <v/>
      </c>
      <c r="Y148" s="53">
        <f>IFERROR(IF($A148="","",IF($U148="Yes",$X148*$V148,0)),"")</f>
        <v/>
      </c>
      <c r="Z148" s="53">
        <f>IFERROR(IF($A148="","",$X148+$Y148+$W148),"")</f>
        <v/>
      </c>
      <c r="AA148" s="28" t="n"/>
      <c r="AB148" s="51" t="n"/>
      <c r="AC148" s="24">
        <f>IFERROR(IF($A148="","",IF($N148="Canceled","Canceled",IF($AA148=0,"Not Received",IF($AA148&lt;$R148,"Partially Received",IF($AA148=$R148,"Fully Received","Over Received"))))),"")</f>
        <v/>
      </c>
      <c r="AD148" s="25" t="n"/>
      <c r="AE148" s="23" t="n"/>
      <c r="AF148" s="51" t="n"/>
      <c r="AG148" s="52" t="n"/>
      <c r="AH148" s="53">
        <f>IFERROR(IF($A148="","",IF($AG148="","",$AG148-$Z148)),"")</f>
        <v/>
      </c>
      <c r="AI148" s="32">
        <f>IFERROR(IF($A148="","",IF(OR($AG148="",$Z148=0),"",($AG148-$Z148)/$Z148)),"")</f>
        <v/>
      </c>
      <c r="AJ148" s="23" t="n"/>
      <c r="AK148" s="51" t="n"/>
      <c r="AL148" s="53">
        <f>IFERROR(IF($A148="","",IF(OR($N148="Canceled",$N148="Closed"),0,MAX($Z148-IF($AG148="",0,$AG148),0))),"")</f>
        <v/>
      </c>
      <c r="AM148" s="27">
        <f>IFERROR(IF($A148="","",IF(OR($N148="Closed",$N148="Canceled"),IF($O148="","",MAX(0,$O148-$H148)),MAX(0,TODAY()-$H148))),"")</f>
        <v/>
      </c>
      <c r="AN148" s="24">
        <f>IFERROR(IF($A148="","",IF($AA148&gt;$R148,"Over Received",IF(AND($J148="Approved",OR($K148="",$L148="")),"Approval Missing",IF(AND($J148="Pending",$AM148&gt;'Settings'!$B$7),"Approval Follow-Up",IF(AND($N148="Open",$I148&lt;&gt;"",$I148+'Settings'!$B$8&lt;TODAY(),$AA148&lt;$R148),"Delivery Overdue",IF(AND($AG148&lt;&gt;"",OR(ABS($AH148)&gt;'Settings'!$B$9,ABS($AI148)&gt;'Settings'!$B$10)),"Invoice Variance",IF(AND($N148="Open",$AM148&gt;'Settings'!$B$11),"Aging Open PO",""))))))),"")</f>
        <v/>
      </c>
      <c r="AO148" s="25" t="n"/>
      <c r="AP148" s="24">
        <f>IFERROR(IF(AND($AN148&lt;&gt;"",$N148&lt;&gt;"Closed",$N148&lt;&gt;"Canceled",OR('Dashboard'!$B$4="All",$B148='Dashboard'!$B$4),OR('Dashboard'!$D$4="All",$C148='Dashboard'!$D$4)),COUNTIFS($AN$6:$AN148,"&lt;&gt;",$N$6:$N148,"&lt;&gt;Closed",$N$6:$N148,"&lt;&gt;Canceled",$B$6:$B148,IF('Dashboard'!$B$4="All","&lt;&gt;",'Dashboard'!$B$4),$C$6:$C148,IF('Dashboard'!$D$4="All","&lt;&gt;",'Dashboard'!$D$4)),""),"")</f>
        <v/>
      </c>
    </row>
    <row r="149">
      <c r="A149" s="23" t="n"/>
      <c r="B149" s="23" t="n"/>
      <c r="C149" s="23" t="n"/>
      <c r="D149" s="23" t="n"/>
      <c r="E149" s="23" t="n"/>
      <c r="F149" s="24">
        <f>IFERROR(IF($E149="","",VLOOKUP($E149,'Settings'!$G$16:$M$115,2,0)),"")</f>
        <v/>
      </c>
      <c r="G149" s="25" t="n"/>
      <c r="H149" s="51" t="n"/>
      <c r="I149" s="51" t="n"/>
      <c r="J149" s="23" t="n"/>
      <c r="K149" s="23" t="n"/>
      <c r="L149" s="51" t="n"/>
      <c r="M149" s="27">
        <f>IFERROR(IF($A149="","",IF($J149="Approved",MAX(0,$L149-$H149),"")),"")</f>
        <v/>
      </c>
      <c r="N149" s="23" t="n"/>
      <c r="O149" s="51" t="n"/>
      <c r="P149" s="23" t="n"/>
      <c r="Q149" s="25" t="n"/>
      <c r="R149" s="28" t="n"/>
      <c r="S149" s="52" t="n"/>
      <c r="T149" s="52" t="n"/>
      <c r="U149" s="23" t="n"/>
      <c r="V149" s="30" t="n"/>
      <c r="W149" s="52" t="n"/>
      <c r="X149" s="53">
        <f>IFERROR(IF($A149="","",MAX(0,$R149*$S149-$T149)),"")</f>
        <v/>
      </c>
      <c r="Y149" s="53">
        <f>IFERROR(IF($A149="","",IF($U149="Yes",$X149*$V149,0)),"")</f>
        <v/>
      </c>
      <c r="Z149" s="53">
        <f>IFERROR(IF($A149="","",$X149+$Y149+$W149),"")</f>
        <v/>
      </c>
      <c r="AA149" s="28" t="n"/>
      <c r="AB149" s="51" t="n"/>
      <c r="AC149" s="24">
        <f>IFERROR(IF($A149="","",IF($N149="Canceled","Canceled",IF($AA149=0,"Not Received",IF($AA149&lt;$R149,"Partially Received",IF($AA149=$R149,"Fully Received","Over Received"))))),"")</f>
        <v/>
      </c>
      <c r="AD149" s="25" t="n"/>
      <c r="AE149" s="23" t="n"/>
      <c r="AF149" s="51" t="n"/>
      <c r="AG149" s="52" t="n"/>
      <c r="AH149" s="53">
        <f>IFERROR(IF($A149="","",IF($AG149="","",$AG149-$Z149)),"")</f>
        <v/>
      </c>
      <c r="AI149" s="32">
        <f>IFERROR(IF($A149="","",IF(OR($AG149="",$Z149=0),"",($AG149-$Z149)/$Z149)),"")</f>
        <v/>
      </c>
      <c r="AJ149" s="23" t="n"/>
      <c r="AK149" s="51" t="n"/>
      <c r="AL149" s="53">
        <f>IFERROR(IF($A149="","",IF(OR($N149="Canceled",$N149="Closed"),0,MAX($Z149-IF($AG149="",0,$AG149),0))),"")</f>
        <v/>
      </c>
      <c r="AM149" s="27">
        <f>IFERROR(IF($A149="","",IF(OR($N149="Closed",$N149="Canceled"),IF($O149="","",MAX(0,$O149-$H149)),MAX(0,TODAY()-$H149))),"")</f>
        <v/>
      </c>
      <c r="AN149" s="24">
        <f>IFERROR(IF($A149="","",IF($AA149&gt;$R149,"Over Received",IF(AND($J149="Approved",OR($K149="",$L149="")),"Approval Missing",IF(AND($J149="Pending",$AM149&gt;'Settings'!$B$7),"Approval Follow-Up",IF(AND($N149="Open",$I149&lt;&gt;"",$I149+'Settings'!$B$8&lt;TODAY(),$AA149&lt;$R149),"Delivery Overdue",IF(AND($AG149&lt;&gt;"",OR(ABS($AH149)&gt;'Settings'!$B$9,ABS($AI149)&gt;'Settings'!$B$10)),"Invoice Variance",IF(AND($N149="Open",$AM149&gt;'Settings'!$B$11),"Aging Open PO",""))))))),"")</f>
        <v/>
      </c>
      <c r="AO149" s="25" t="n"/>
      <c r="AP149" s="24">
        <f>IFERROR(IF(AND($AN149&lt;&gt;"",$N149&lt;&gt;"Closed",$N149&lt;&gt;"Canceled",OR('Dashboard'!$B$4="All",$B149='Dashboard'!$B$4),OR('Dashboard'!$D$4="All",$C149='Dashboard'!$D$4)),COUNTIFS($AN$6:$AN149,"&lt;&gt;",$N$6:$N149,"&lt;&gt;Closed",$N$6:$N149,"&lt;&gt;Canceled",$B$6:$B149,IF('Dashboard'!$B$4="All","&lt;&gt;",'Dashboard'!$B$4),$C$6:$C149,IF('Dashboard'!$D$4="All","&lt;&gt;",'Dashboard'!$D$4)),""),"")</f>
        <v/>
      </c>
    </row>
    <row r="150">
      <c r="A150" s="23" t="n"/>
      <c r="B150" s="23" t="n"/>
      <c r="C150" s="23" t="n"/>
      <c r="D150" s="23" t="n"/>
      <c r="E150" s="23" t="n"/>
      <c r="F150" s="24">
        <f>IFERROR(IF($E150="","",VLOOKUP($E150,'Settings'!$G$16:$M$115,2,0)),"")</f>
        <v/>
      </c>
      <c r="G150" s="25" t="n"/>
      <c r="H150" s="51" t="n"/>
      <c r="I150" s="51" t="n"/>
      <c r="J150" s="23" t="n"/>
      <c r="K150" s="23" t="n"/>
      <c r="L150" s="51" t="n"/>
      <c r="M150" s="27">
        <f>IFERROR(IF($A150="","",IF($J150="Approved",MAX(0,$L150-$H150),"")),"")</f>
        <v/>
      </c>
      <c r="N150" s="23" t="n"/>
      <c r="O150" s="51" t="n"/>
      <c r="P150" s="23" t="n"/>
      <c r="Q150" s="25" t="n"/>
      <c r="R150" s="28" t="n"/>
      <c r="S150" s="52" t="n"/>
      <c r="T150" s="52" t="n"/>
      <c r="U150" s="23" t="n"/>
      <c r="V150" s="30" t="n"/>
      <c r="W150" s="52" t="n"/>
      <c r="X150" s="53">
        <f>IFERROR(IF($A150="","",MAX(0,$R150*$S150-$T150)),"")</f>
        <v/>
      </c>
      <c r="Y150" s="53">
        <f>IFERROR(IF($A150="","",IF($U150="Yes",$X150*$V150,0)),"")</f>
        <v/>
      </c>
      <c r="Z150" s="53">
        <f>IFERROR(IF($A150="","",$X150+$Y150+$W150),"")</f>
        <v/>
      </c>
      <c r="AA150" s="28" t="n"/>
      <c r="AB150" s="51" t="n"/>
      <c r="AC150" s="24">
        <f>IFERROR(IF($A150="","",IF($N150="Canceled","Canceled",IF($AA150=0,"Not Received",IF($AA150&lt;$R150,"Partially Received",IF($AA150=$R150,"Fully Received","Over Received"))))),"")</f>
        <v/>
      </c>
      <c r="AD150" s="25" t="n"/>
      <c r="AE150" s="23" t="n"/>
      <c r="AF150" s="51" t="n"/>
      <c r="AG150" s="52" t="n"/>
      <c r="AH150" s="53">
        <f>IFERROR(IF($A150="","",IF($AG150="","",$AG150-$Z150)),"")</f>
        <v/>
      </c>
      <c r="AI150" s="32">
        <f>IFERROR(IF($A150="","",IF(OR($AG150="",$Z150=0),"",($AG150-$Z150)/$Z150)),"")</f>
        <v/>
      </c>
      <c r="AJ150" s="23" t="n"/>
      <c r="AK150" s="51" t="n"/>
      <c r="AL150" s="53">
        <f>IFERROR(IF($A150="","",IF(OR($N150="Canceled",$N150="Closed"),0,MAX($Z150-IF($AG150="",0,$AG150),0))),"")</f>
        <v/>
      </c>
      <c r="AM150" s="27">
        <f>IFERROR(IF($A150="","",IF(OR($N150="Closed",$N150="Canceled"),IF($O150="","",MAX(0,$O150-$H150)),MAX(0,TODAY()-$H150))),"")</f>
        <v/>
      </c>
      <c r="AN150" s="24">
        <f>IFERROR(IF($A150="","",IF($AA150&gt;$R150,"Over Received",IF(AND($J150="Approved",OR($K150="",$L150="")),"Approval Missing",IF(AND($J150="Pending",$AM150&gt;'Settings'!$B$7),"Approval Follow-Up",IF(AND($N150="Open",$I150&lt;&gt;"",$I150+'Settings'!$B$8&lt;TODAY(),$AA150&lt;$R150),"Delivery Overdue",IF(AND($AG150&lt;&gt;"",OR(ABS($AH150)&gt;'Settings'!$B$9,ABS($AI150)&gt;'Settings'!$B$10)),"Invoice Variance",IF(AND($N150="Open",$AM150&gt;'Settings'!$B$11),"Aging Open PO",""))))))),"")</f>
        <v/>
      </c>
      <c r="AO150" s="25" t="n"/>
      <c r="AP150" s="24">
        <f>IFERROR(IF(AND($AN150&lt;&gt;"",$N150&lt;&gt;"Closed",$N150&lt;&gt;"Canceled",OR('Dashboard'!$B$4="All",$B150='Dashboard'!$B$4),OR('Dashboard'!$D$4="All",$C150='Dashboard'!$D$4)),COUNTIFS($AN$6:$AN150,"&lt;&gt;",$N$6:$N150,"&lt;&gt;Closed",$N$6:$N150,"&lt;&gt;Canceled",$B$6:$B150,IF('Dashboard'!$B$4="All","&lt;&gt;",'Dashboard'!$B$4),$C$6:$C150,IF('Dashboard'!$D$4="All","&lt;&gt;",'Dashboard'!$D$4)),""),"")</f>
        <v/>
      </c>
    </row>
    <row r="151">
      <c r="A151" s="23" t="n"/>
      <c r="B151" s="23" t="n"/>
      <c r="C151" s="23" t="n"/>
      <c r="D151" s="23" t="n"/>
      <c r="E151" s="23" t="n"/>
      <c r="F151" s="24">
        <f>IFERROR(IF($E151="","",VLOOKUP($E151,'Settings'!$G$16:$M$115,2,0)),"")</f>
        <v/>
      </c>
      <c r="G151" s="25" t="n"/>
      <c r="H151" s="51" t="n"/>
      <c r="I151" s="51" t="n"/>
      <c r="J151" s="23" t="n"/>
      <c r="K151" s="23" t="n"/>
      <c r="L151" s="51" t="n"/>
      <c r="M151" s="27">
        <f>IFERROR(IF($A151="","",IF($J151="Approved",MAX(0,$L151-$H151),"")),"")</f>
        <v/>
      </c>
      <c r="N151" s="23" t="n"/>
      <c r="O151" s="51" t="n"/>
      <c r="P151" s="23" t="n"/>
      <c r="Q151" s="25" t="n"/>
      <c r="R151" s="28" t="n"/>
      <c r="S151" s="52" t="n"/>
      <c r="T151" s="52" t="n"/>
      <c r="U151" s="23" t="n"/>
      <c r="V151" s="30" t="n"/>
      <c r="W151" s="52" t="n"/>
      <c r="X151" s="53">
        <f>IFERROR(IF($A151="","",MAX(0,$R151*$S151-$T151)),"")</f>
        <v/>
      </c>
      <c r="Y151" s="53">
        <f>IFERROR(IF($A151="","",IF($U151="Yes",$X151*$V151,0)),"")</f>
        <v/>
      </c>
      <c r="Z151" s="53">
        <f>IFERROR(IF($A151="","",$X151+$Y151+$W151),"")</f>
        <v/>
      </c>
      <c r="AA151" s="28" t="n"/>
      <c r="AB151" s="51" t="n"/>
      <c r="AC151" s="24">
        <f>IFERROR(IF($A151="","",IF($N151="Canceled","Canceled",IF($AA151=0,"Not Received",IF($AA151&lt;$R151,"Partially Received",IF($AA151=$R151,"Fully Received","Over Received"))))),"")</f>
        <v/>
      </c>
      <c r="AD151" s="25" t="n"/>
      <c r="AE151" s="23" t="n"/>
      <c r="AF151" s="51" t="n"/>
      <c r="AG151" s="52" t="n"/>
      <c r="AH151" s="53">
        <f>IFERROR(IF($A151="","",IF($AG151="","",$AG151-$Z151)),"")</f>
        <v/>
      </c>
      <c r="AI151" s="32">
        <f>IFERROR(IF($A151="","",IF(OR($AG151="",$Z151=0),"",($AG151-$Z151)/$Z151)),"")</f>
        <v/>
      </c>
      <c r="AJ151" s="23" t="n"/>
      <c r="AK151" s="51" t="n"/>
      <c r="AL151" s="53">
        <f>IFERROR(IF($A151="","",IF(OR($N151="Canceled",$N151="Closed"),0,MAX($Z151-IF($AG151="",0,$AG151),0))),"")</f>
        <v/>
      </c>
      <c r="AM151" s="27">
        <f>IFERROR(IF($A151="","",IF(OR($N151="Closed",$N151="Canceled"),IF($O151="","",MAX(0,$O151-$H151)),MAX(0,TODAY()-$H151))),"")</f>
        <v/>
      </c>
      <c r="AN151" s="24">
        <f>IFERROR(IF($A151="","",IF($AA151&gt;$R151,"Over Received",IF(AND($J151="Approved",OR($K151="",$L151="")),"Approval Missing",IF(AND($J151="Pending",$AM151&gt;'Settings'!$B$7),"Approval Follow-Up",IF(AND($N151="Open",$I151&lt;&gt;"",$I151+'Settings'!$B$8&lt;TODAY(),$AA151&lt;$R151),"Delivery Overdue",IF(AND($AG151&lt;&gt;"",OR(ABS($AH151)&gt;'Settings'!$B$9,ABS($AI151)&gt;'Settings'!$B$10)),"Invoice Variance",IF(AND($N151="Open",$AM151&gt;'Settings'!$B$11),"Aging Open PO",""))))))),"")</f>
        <v/>
      </c>
      <c r="AO151" s="25" t="n"/>
      <c r="AP151" s="24">
        <f>IFERROR(IF(AND($AN151&lt;&gt;"",$N151&lt;&gt;"Closed",$N151&lt;&gt;"Canceled",OR('Dashboard'!$B$4="All",$B151='Dashboard'!$B$4),OR('Dashboard'!$D$4="All",$C151='Dashboard'!$D$4)),COUNTIFS($AN$6:$AN151,"&lt;&gt;",$N$6:$N151,"&lt;&gt;Closed",$N$6:$N151,"&lt;&gt;Canceled",$B$6:$B151,IF('Dashboard'!$B$4="All","&lt;&gt;",'Dashboard'!$B$4),$C$6:$C151,IF('Dashboard'!$D$4="All","&lt;&gt;",'Dashboard'!$D$4)),""),"")</f>
        <v/>
      </c>
    </row>
    <row r="152">
      <c r="A152" s="23" t="n"/>
      <c r="B152" s="23" t="n"/>
      <c r="C152" s="23" t="n"/>
      <c r="D152" s="23" t="n"/>
      <c r="E152" s="23" t="n"/>
      <c r="F152" s="24">
        <f>IFERROR(IF($E152="","",VLOOKUP($E152,'Settings'!$G$16:$M$115,2,0)),"")</f>
        <v/>
      </c>
      <c r="G152" s="25" t="n"/>
      <c r="H152" s="51" t="n"/>
      <c r="I152" s="51" t="n"/>
      <c r="J152" s="23" t="n"/>
      <c r="K152" s="23" t="n"/>
      <c r="L152" s="51" t="n"/>
      <c r="M152" s="27">
        <f>IFERROR(IF($A152="","",IF($J152="Approved",MAX(0,$L152-$H152),"")),"")</f>
        <v/>
      </c>
      <c r="N152" s="23" t="n"/>
      <c r="O152" s="51" t="n"/>
      <c r="P152" s="23" t="n"/>
      <c r="Q152" s="25" t="n"/>
      <c r="R152" s="28" t="n"/>
      <c r="S152" s="52" t="n"/>
      <c r="T152" s="52" t="n"/>
      <c r="U152" s="23" t="n"/>
      <c r="V152" s="30" t="n"/>
      <c r="W152" s="52" t="n"/>
      <c r="X152" s="53">
        <f>IFERROR(IF($A152="","",MAX(0,$R152*$S152-$T152)),"")</f>
        <v/>
      </c>
      <c r="Y152" s="53">
        <f>IFERROR(IF($A152="","",IF($U152="Yes",$X152*$V152,0)),"")</f>
        <v/>
      </c>
      <c r="Z152" s="53">
        <f>IFERROR(IF($A152="","",$X152+$Y152+$W152),"")</f>
        <v/>
      </c>
      <c r="AA152" s="28" t="n"/>
      <c r="AB152" s="51" t="n"/>
      <c r="AC152" s="24">
        <f>IFERROR(IF($A152="","",IF($N152="Canceled","Canceled",IF($AA152=0,"Not Received",IF($AA152&lt;$R152,"Partially Received",IF($AA152=$R152,"Fully Received","Over Received"))))),"")</f>
        <v/>
      </c>
      <c r="AD152" s="25" t="n"/>
      <c r="AE152" s="23" t="n"/>
      <c r="AF152" s="51" t="n"/>
      <c r="AG152" s="52" t="n"/>
      <c r="AH152" s="53">
        <f>IFERROR(IF($A152="","",IF($AG152="","",$AG152-$Z152)),"")</f>
        <v/>
      </c>
      <c r="AI152" s="32">
        <f>IFERROR(IF($A152="","",IF(OR($AG152="",$Z152=0),"",($AG152-$Z152)/$Z152)),"")</f>
        <v/>
      </c>
      <c r="AJ152" s="23" t="n"/>
      <c r="AK152" s="51" t="n"/>
      <c r="AL152" s="53">
        <f>IFERROR(IF($A152="","",IF(OR($N152="Canceled",$N152="Closed"),0,MAX($Z152-IF($AG152="",0,$AG152),0))),"")</f>
        <v/>
      </c>
      <c r="AM152" s="27">
        <f>IFERROR(IF($A152="","",IF(OR($N152="Closed",$N152="Canceled"),IF($O152="","",MAX(0,$O152-$H152)),MAX(0,TODAY()-$H152))),"")</f>
        <v/>
      </c>
      <c r="AN152" s="24">
        <f>IFERROR(IF($A152="","",IF($AA152&gt;$R152,"Over Received",IF(AND($J152="Approved",OR($K152="",$L152="")),"Approval Missing",IF(AND($J152="Pending",$AM152&gt;'Settings'!$B$7),"Approval Follow-Up",IF(AND($N152="Open",$I152&lt;&gt;"",$I152+'Settings'!$B$8&lt;TODAY(),$AA152&lt;$R152),"Delivery Overdue",IF(AND($AG152&lt;&gt;"",OR(ABS($AH152)&gt;'Settings'!$B$9,ABS($AI152)&gt;'Settings'!$B$10)),"Invoice Variance",IF(AND($N152="Open",$AM152&gt;'Settings'!$B$11),"Aging Open PO",""))))))),"")</f>
        <v/>
      </c>
      <c r="AO152" s="25" t="n"/>
      <c r="AP152" s="24">
        <f>IFERROR(IF(AND($AN152&lt;&gt;"",$N152&lt;&gt;"Closed",$N152&lt;&gt;"Canceled",OR('Dashboard'!$B$4="All",$B152='Dashboard'!$B$4),OR('Dashboard'!$D$4="All",$C152='Dashboard'!$D$4)),COUNTIFS($AN$6:$AN152,"&lt;&gt;",$N$6:$N152,"&lt;&gt;Closed",$N$6:$N152,"&lt;&gt;Canceled",$B$6:$B152,IF('Dashboard'!$B$4="All","&lt;&gt;",'Dashboard'!$B$4),$C$6:$C152,IF('Dashboard'!$D$4="All","&lt;&gt;",'Dashboard'!$D$4)),""),"")</f>
        <v/>
      </c>
    </row>
    <row r="153">
      <c r="A153" s="23" t="n"/>
      <c r="B153" s="23" t="n"/>
      <c r="C153" s="23" t="n"/>
      <c r="D153" s="23" t="n"/>
      <c r="E153" s="23" t="n"/>
      <c r="F153" s="24">
        <f>IFERROR(IF($E153="","",VLOOKUP($E153,'Settings'!$G$16:$M$115,2,0)),"")</f>
        <v/>
      </c>
      <c r="G153" s="25" t="n"/>
      <c r="H153" s="51" t="n"/>
      <c r="I153" s="51" t="n"/>
      <c r="J153" s="23" t="n"/>
      <c r="K153" s="23" t="n"/>
      <c r="L153" s="51" t="n"/>
      <c r="M153" s="27">
        <f>IFERROR(IF($A153="","",IF($J153="Approved",MAX(0,$L153-$H153),"")),"")</f>
        <v/>
      </c>
      <c r="N153" s="23" t="n"/>
      <c r="O153" s="51" t="n"/>
      <c r="P153" s="23" t="n"/>
      <c r="Q153" s="25" t="n"/>
      <c r="R153" s="28" t="n"/>
      <c r="S153" s="52" t="n"/>
      <c r="T153" s="52" t="n"/>
      <c r="U153" s="23" t="n"/>
      <c r="V153" s="30" t="n"/>
      <c r="W153" s="52" t="n"/>
      <c r="X153" s="53">
        <f>IFERROR(IF($A153="","",MAX(0,$R153*$S153-$T153)),"")</f>
        <v/>
      </c>
      <c r="Y153" s="53">
        <f>IFERROR(IF($A153="","",IF($U153="Yes",$X153*$V153,0)),"")</f>
        <v/>
      </c>
      <c r="Z153" s="53">
        <f>IFERROR(IF($A153="","",$X153+$Y153+$W153),"")</f>
        <v/>
      </c>
      <c r="AA153" s="28" t="n"/>
      <c r="AB153" s="51" t="n"/>
      <c r="AC153" s="24">
        <f>IFERROR(IF($A153="","",IF($N153="Canceled","Canceled",IF($AA153=0,"Not Received",IF($AA153&lt;$R153,"Partially Received",IF($AA153=$R153,"Fully Received","Over Received"))))),"")</f>
        <v/>
      </c>
      <c r="AD153" s="25" t="n"/>
      <c r="AE153" s="23" t="n"/>
      <c r="AF153" s="51" t="n"/>
      <c r="AG153" s="52" t="n"/>
      <c r="AH153" s="53">
        <f>IFERROR(IF($A153="","",IF($AG153="","",$AG153-$Z153)),"")</f>
        <v/>
      </c>
      <c r="AI153" s="32">
        <f>IFERROR(IF($A153="","",IF(OR($AG153="",$Z153=0),"",($AG153-$Z153)/$Z153)),"")</f>
        <v/>
      </c>
      <c r="AJ153" s="23" t="n"/>
      <c r="AK153" s="51" t="n"/>
      <c r="AL153" s="53">
        <f>IFERROR(IF($A153="","",IF(OR($N153="Canceled",$N153="Closed"),0,MAX($Z153-IF($AG153="",0,$AG153),0))),"")</f>
        <v/>
      </c>
      <c r="AM153" s="27">
        <f>IFERROR(IF($A153="","",IF(OR($N153="Closed",$N153="Canceled"),IF($O153="","",MAX(0,$O153-$H153)),MAX(0,TODAY()-$H153))),"")</f>
        <v/>
      </c>
      <c r="AN153" s="24">
        <f>IFERROR(IF($A153="","",IF($AA153&gt;$R153,"Over Received",IF(AND($J153="Approved",OR($K153="",$L153="")),"Approval Missing",IF(AND($J153="Pending",$AM153&gt;'Settings'!$B$7),"Approval Follow-Up",IF(AND($N153="Open",$I153&lt;&gt;"",$I153+'Settings'!$B$8&lt;TODAY(),$AA153&lt;$R153),"Delivery Overdue",IF(AND($AG153&lt;&gt;"",OR(ABS($AH153)&gt;'Settings'!$B$9,ABS($AI153)&gt;'Settings'!$B$10)),"Invoice Variance",IF(AND($N153="Open",$AM153&gt;'Settings'!$B$11),"Aging Open PO",""))))))),"")</f>
        <v/>
      </c>
      <c r="AO153" s="25" t="n"/>
      <c r="AP153" s="24">
        <f>IFERROR(IF(AND($AN153&lt;&gt;"",$N153&lt;&gt;"Closed",$N153&lt;&gt;"Canceled",OR('Dashboard'!$B$4="All",$B153='Dashboard'!$B$4),OR('Dashboard'!$D$4="All",$C153='Dashboard'!$D$4)),COUNTIFS($AN$6:$AN153,"&lt;&gt;",$N$6:$N153,"&lt;&gt;Closed",$N$6:$N153,"&lt;&gt;Canceled",$B$6:$B153,IF('Dashboard'!$B$4="All","&lt;&gt;",'Dashboard'!$B$4),$C$6:$C153,IF('Dashboard'!$D$4="All","&lt;&gt;",'Dashboard'!$D$4)),""),"")</f>
        <v/>
      </c>
    </row>
    <row r="154">
      <c r="A154" s="23" t="n"/>
      <c r="B154" s="23" t="n"/>
      <c r="C154" s="23" t="n"/>
      <c r="D154" s="23" t="n"/>
      <c r="E154" s="23" t="n"/>
      <c r="F154" s="24">
        <f>IFERROR(IF($E154="","",VLOOKUP($E154,'Settings'!$G$16:$M$115,2,0)),"")</f>
        <v/>
      </c>
      <c r="G154" s="25" t="n"/>
      <c r="H154" s="51" t="n"/>
      <c r="I154" s="51" t="n"/>
      <c r="J154" s="23" t="n"/>
      <c r="K154" s="23" t="n"/>
      <c r="L154" s="51" t="n"/>
      <c r="M154" s="27">
        <f>IFERROR(IF($A154="","",IF($J154="Approved",MAX(0,$L154-$H154),"")),"")</f>
        <v/>
      </c>
      <c r="N154" s="23" t="n"/>
      <c r="O154" s="51" t="n"/>
      <c r="P154" s="23" t="n"/>
      <c r="Q154" s="25" t="n"/>
      <c r="R154" s="28" t="n"/>
      <c r="S154" s="52" t="n"/>
      <c r="T154" s="52" t="n"/>
      <c r="U154" s="23" t="n"/>
      <c r="V154" s="30" t="n"/>
      <c r="W154" s="52" t="n"/>
      <c r="X154" s="53">
        <f>IFERROR(IF($A154="","",MAX(0,$R154*$S154-$T154)),"")</f>
        <v/>
      </c>
      <c r="Y154" s="53">
        <f>IFERROR(IF($A154="","",IF($U154="Yes",$X154*$V154,0)),"")</f>
        <v/>
      </c>
      <c r="Z154" s="53">
        <f>IFERROR(IF($A154="","",$X154+$Y154+$W154),"")</f>
        <v/>
      </c>
      <c r="AA154" s="28" t="n"/>
      <c r="AB154" s="51" t="n"/>
      <c r="AC154" s="24">
        <f>IFERROR(IF($A154="","",IF($N154="Canceled","Canceled",IF($AA154=0,"Not Received",IF($AA154&lt;$R154,"Partially Received",IF($AA154=$R154,"Fully Received","Over Received"))))),"")</f>
        <v/>
      </c>
      <c r="AD154" s="25" t="n"/>
      <c r="AE154" s="23" t="n"/>
      <c r="AF154" s="51" t="n"/>
      <c r="AG154" s="52" t="n"/>
      <c r="AH154" s="53">
        <f>IFERROR(IF($A154="","",IF($AG154="","",$AG154-$Z154)),"")</f>
        <v/>
      </c>
      <c r="AI154" s="32">
        <f>IFERROR(IF($A154="","",IF(OR($AG154="",$Z154=0),"",($AG154-$Z154)/$Z154)),"")</f>
        <v/>
      </c>
      <c r="AJ154" s="23" t="n"/>
      <c r="AK154" s="51" t="n"/>
      <c r="AL154" s="53">
        <f>IFERROR(IF($A154="","",IF(OR($N154="Canceled",$N154="Closed"),0,MAX($Z154-IF($AG154="",0,$AG154),0))),"")</f>
        <v/>
      </c>
      <c r="AM154" s="27">
        <f>IFERROR(IF($A154="","",IF(OR($N154="Closed",$N154="Canceled"),IF($O154="","",MAX(0,$O154-$H154)),MAX(0,TODAY()-$H154))),"")</f>
        <v/>
      </c>
      <c r="AN154" s="24">
        <f>IFERROR(IF($A154="","",IF($AA154&gt;$R154,"Over Received",IF(AND($J154="Approved",OR($K154="",$L154="")),"Approval Missing",IF(AND($J154="Pending",$AM154&gt;'Settings'!$B$7),"Approval Follow-Up",IF(AND($N154="Open",$I154&lt;&gt;"",$I154+'Settings'!$B$8&lt;TODAY(),$AA154&lt;$R154),"Delivery Overdue",IF(AND($AG154&lt;&gt;"",OR(ABS($AH154)&gt;'Settings'!$B$9,ABS($AI154)&gt;'Settings'!$B$10)),"Invoice Variance",IF(AND($N154="Open",$AM154&gt;'Settings'!$B$11),"Aging Open PO",""))))))),"")</f>
        <v/>
      </c>
      <c r="AO154" s="25" t="n"/>
      <c r="AP154" s="24">
        <f>IFERROR(IF(AND($AN154&lt;&gt;"",$N154&lt;&gt;"Closed",$N154&lt;&gt;"Canceled",OR('Dashboard'!$B$4="All",$B154='Dashboard'!$B$4),OR('Dashboard'!$D$4="All",$C154='Dashboard'!$D$4)),COUNTIFS($AN$6:$AN154,"&lt;&gt;",$N$6:$N154,"&lt;&gt;Closed",$N$6:$N154,"&lt;&gt;Canceled",$B$6:$B154,IF('Dashboard'!$B$4="All","&lt;&gt;",'Dashboard'!$B$4),$C$6:$C154,IF('Dashboard'!$D$4="All","&lt;&gt;",'Dashboard'!$D$4)),""),"")</f>
        <v/>
      </c>
    </row>
    <row r="155">
      <c r="A155" s="23" t="n"/>
      <c r="B155" s="23" t="n"/>
      <c r="C155" s="23" t="n"/>
      <c r="D155" s="23" t="n"/>
      <c r="E155" s="23" t="n"/>
      <c r="F155" s="24">
        <f>IFERROR(IF($E155="","",VLOOKUP($E155,'Settings'!$G$16:$M$115,2,0)),"")</f>
        <v/>
      </c>
      <c r="G155" s="25" t="n"/>
      <c r="H155" s="51" t="n"/>
      <c r="I155" s="51" t="n"/>
      <c r="J155" s="23" t="n"/>
      <c r="K155" s="23" t="n"/>
      <c r="L155" s="51" t="n"/>
      <c r="M155" s="27">
        <f>IFERROR(IF($A155="","",IF($J155="Approved",MAX(0,$L155-$H155),"")),"")</f>
        <v/>
      </c>
      <c r="N155" s="23" t="n"/>
      <c r="O155" s="51" t="n"/>
      <c r="P155" s="23" t="n"/>
      <c r="Q155" s="25" t="n"/>
      <c r="R155" s="28" t="n"/>
      <c r="S155" s="52" t="n"/>
      <c r="T155" s="52" t="n"/>
      <c r="U155" s="23" t="n"/>
      <c r="V155" s="30" t="n"/>
      <c r="W155" s="52" t="n"/>
      <c r="X155" s="53">
        <f>IFERROR(IF($A155="","",MAX(0,$R155*$S155-$T155)),"")</f>
        <v/>
      </c>
      <c r="Y155" s="53">
        <f>IFERROR(IF($A155="","",IF($U155="Yes",$X155*$V155,0)),"")</f>
        <v/>
      </c>
      <c r="Z155" s="53">
        <f>IFERROR(IF($A155="","",$X155+$Y155+$W155),"")</f>
        <v/>
      </c>
      <c r="AA155" s="28" t="n"/>
      <c r="AB155" s="51" t="n"/>
      <c r="AC155" s="24">
        <f>IFERROR(IF($A155="","",IF($N155="Canceled","Canceled",IF($AA155=0,"Not Received",IF($AA155&lt;$R155,"Partially Received",IF($AA155=$R155,"Fully Received","Over Received"))))),"")</f>
        <v/>
      </c>
      <c r="AD155" s="25" t="n"/>
      <c r="AE155" s="23" t="n"/>
      <c r="AF155" s="51" t="n"/>
      <c r="AG155" s="52" t="n"/>
      <c r="AH155" s="53">
        <f>IFERROR(IF($A155="","",IF($AG155="","",$AG155-$Z155)),"")</f>
        <v/>
      </c>
      <c r="AI155" s="32">
        <f>IFERROR(IF($A155="","",IF(OR($AG155="",$Z155=0),"",($AG155-$Z155)/$Z155)),"")</f>
        <v/>
      </c>
      <c r="AJ155" s="23" t="n"/>
      <c r="AK155" s="51" t="n"/>
      <c r="AL155" s="53">
        <f>IFERROR(IF($A155="","",IF(OR($N155="Canceled",$N155="Closed"),0,MAX($Z155-IF($AG155="",0,$AG155),0))),"")</f>
        <v/>
      </c>
      <c r="AM155" s="27">
        <f>IFERROR(IF($A155="","",IF(OR($N155="Closed",$N155="Canceled"),IF($O155="","",MAX(0,$O155-$H155)),MAX(0,TODAY()-$H155))),"")</f>
        <v/>
      </c>
      <c r="AN155" s="24">
        <f>IFERROR(IF($A155="","",IF($AA155&gt;$R155,"Over Received",IF(AND($J155="Approved",OR($K155="",$L155="")),"Approval Missing",IF(AND($J155="Pending",$AM155&gt;'Settings'!$B$7),"Approval Follow-Up",IF(AND($N155="Open",$I155&lt;&gt;"",$I155+'Settings'!$B$8&lt;TODAY(),$AA155&lt;$R155),"Delivery Overdue",IF(AND($AG155&lt;&gt;"",OR(ABS($AH155)&gt;'Settings'!$B$9,ABS($AI155)&gt;'Settings'!$B$10)),"Invoice Variance",IF(AND($N155="Open",$AM155&gt;'Settings'!$B$11),"Aging Open PO",""))))))),"")</f>
        <v/>
      </c>
      <c r="AO155" s="25" t="n"/>
      <c r="AP155" s="24">
        <f>IFERROR(IF(AND($AN155&lt;&gt;"",$N155&lt;&gt;"Closed",$N155&lt;&gt;"Canceled",OR('Dashboard'!$B$4="All",$B155='Dashboard'!$B$4),OR('Dashboard'!$D$4="All",$C155='Dashboard'!$D$4)),COUNTIFS($AN$6:$AN155,"&lt;&gt;",$N$6:$N155,"&lt;&gt;Closed",$N$6:$N155,"&lt;&gt;Canceled",$B$6:$B155,IF('Dashboard'!$B$4="All","&lt;&gt;",'Dashboard'!$B$4),$C$6:$C155,IF('Dashboard'!$D$4="All","&lt;&gt;",'Dashboard'!$D$4)),""),"")</f>
        <v/>
      </c>
    </row>
    <row r="156">
      <c r="A156" s="23" t="n"/>
      <c r="B156" s="23" t="n"/>
      <c r="C156" s="23" t="n"/>
      <c r="D156" s="23" t="n"/>
      <c r="E156" s="23" t="n"/>
      <c r="F156" s="24">
        <f>IFERROR(IF($E156="","",VLOOKUP($E156,'Settings'!$G$16:$M$115,2,0)),"")</f>
        <v/>
      </c>
      <c r="G156" s="25" t="n"/>
      <c r="H156" s="51" t="n"/>
      <c r="I156" s="51" t="n"/>
      <c r="J156" s="23" t="n"/>
      <c r="K156" s="23" t="n"/>
      <c r="L156" s="51" t="n"/>
      <c r="M156" s="27">
        <f>IFERROR(IF($A156="","",IF($J156="Approved",MAX(0,$L156-$H156),"")),"")</f>
        <v/>
      </c>
      <c r="N156" s="23" t="n"/>
      <c r="O156" s="51" t="n"/>
      <c r="P156" s="23" t="n"/>
      <c r="Q156" s="25" t="n"/>
      <c r="R156" s="28" t="n"/>
      <c r="S156" s="52" t="n"/>
      <c r="T156" s="52" t="n"/>
      <c r="U156" s="23" t="n"/>
      <c r="V156" s="30" t="n"/>
      <c r="W156" s="52" t="n"/>
      <c r="X156" s="53">
        <f>IFERROR(IF($A156="","",MAX(0,$R156*$S156-$T156)),"")</f>
        <v/>
      </c>
      <c r="Y156" s="53">
        <f>IFERROR(IF($A156="","",IF($U156="Yes",$X156*$V156,0)),"")</f>
        <v/>
      </c>
      <c r="Z156" s="53">
        <f>IFERROR(IF($A156="","",$X156+$Y156+$W156),"")</f>
        <v/>
      </c>
      <c r="AA156" s="28" t="n"/>
      <c r="AB156" s="51" t="n"/>
      <c r="AC156" s="24">
        <f>IFERROR(IF($A156="","",IF($N156="Canceled","Canceled",IF($AA156=0,"Not Received",IF($AA156&lt;$R156,"Partially Received",IF($AA156=$R156,"Fully Received","Over Received"))))),"")</f>
        <v/>
      </c>
      <c r="AD156" s="25" t="n"/>
      <c r="AE156" s="23" t="n"/>
      <c r="AF156" s="51" t="n"/>
      <c r="AG156" s="52" t="n"/>
      <c r="AH156" s="53">
        <f>IFERROR(IF($A156="","",IF($AG156="","",$AG156-$Z156)),"")</f>
        <v/>
      </c>
      <c r="AI156" s="32">
        <f>IFERROR(IF($A156="","",IF(OR($AG156="",$Z156=0),"",($AG156-$Z156)/$Z156)),"")</f>
        <v/>
      </c>
      <c r="AJ156" s="23" t="n"/>
      <c r="AK156" s="51" t="n"/>
      <c r="AL156" s="53">
        <f>IFERROR(IF($A156="","",IF(OR($N156="Canceled",$N156="Closed"),0,MAX($Z156-IF($AG156="",0,$AG156),0))),"")</f>
        <v/>
      </c>
      <c r="AM156" s="27">
        <f>IFERROR(IF($A156="","",IF(OR($N156="Closed",$N156="Canceled"),IF($O156="","",MAX(0,$O156-$H156)),MAX(0,TODAY()-$H156))),"")</f>
        <v/>
      </c>
      <c r="AN156" s="24">
        <f>IFERROR(IF($A156="","",IF($AA156&gt;$R156,"Over Received",IF(AND($J156="Approved",OR($K156="",$L156="")),"Approval Missing",IF(AND($J156="Pending",$AM156&gt;'Settings'!$B$7),"Approval Follow-Up",IF(AND($N156="Open",$I156&lt;&gt;"",$I156+'Settings'!$B$8&lt;TODAY(),$AA156&lt;$R156),"Delivery Overdue",IF(AND($AG156&lt;&gt;"",OR(ABS($AH156)&gt;'Settings'!$B$9,ABS($AI156)&gt;'Settings'!$B$10)),"Invoice Variance",IF(AND($N156="Open",$AM156&gt;'Settings'!$B$11),"Aging Open PO",""))))))),"")</f>
        <v/>
      </c>
      <c r="AO156" s="25" t="n"/>
      <c r="AP156" s="24">
        <f>IFERROR(IF(AND($AN156&lt;&gt;"",$N156&lt;&gt;"Closed",$N156&lt;&gt;"Canceled",OR('Dashboard'!$B$4="All",$B156='Dashboard'!$B$4),OR('Dashboard'!$D$4="All",$C156='Dashboard'!$D$4)),COUNTIFS($AN$6:$AN156,"&lt;&gt;",$N$6:$N156,"&lt;&gt;Closed",$N$6:$N156,"&lt;&gt;Canceled",$B$6:$B156,IF('Dashboard'!$B$4="All","&lt;&gt;",'Dashboard'!$B$4),$C$6:$C156,IF('Dashboard'!$D$4="All","&lt;&gt;",'Dashboard'!$D$4)),""),"")</f>
        <v/>
      </c>
    </row>
    <row r="157">
      <c r="A157" s="23" t="n"/>
      <c r="B157" s="23" t="n"/>
      <c r="C157" s="23" t="n"/>
      <c r="D157" s="23" t="n"/>
      <c r="E157" s="23" t="n"/>
      <c r="F157" s="24">
        <f>IFERROR(IF($E157="","",VLOOKUP($E157,'Settings'!$G$16:$M$115,2,0)),"")</f>
        <v/>
      </c>
      <c r="G157" s="25" t="n"/>
      <c r="H157" s="51" t="n"/>
      <c r="I157" s="51" t="n"/>
      <c r="J157" s="23" t="n"/>
      <c r="K157" s="23" t="n"/>
      <c r="L157" s="51" t="n"/>
      <c r="M157" s="27">
        <f>IFERROR(IF($A157="","",IF($J157="Approved",MAX(0,$L157-$H157),"")),"")</f>
        <v/>
      </c>
      <c r="N157" s="23" t="n"/>
      <c r="O157" s="51" t="n"/>
      <c r="P157" s="23" t="n"/>
      <c r="Q157" s="25" t="n"/>
      <c r="R157" s="28" t="n"/>
      <c r="S157" s="52" t="n"/>
      <c r="T157" s="52" t="n"/>
      <c r="U157" s="23" t="n"/>
      <c r="V157" s="30" t="n"/>
      <c r="W157" s="52" t="n"/>
      <c r="X157" s="53">
        <f>IFERROR(IF($A157="","",MAX(0,$R157*$S157-$T157)),"")</f>
        <v/>
      </c>
      <c r="Y157" s="53">
        <f>IFERROR(IF($A157="","",IF($U157="Yes",$X157*$V157,0)),"")</f>
        <v/>
      </c>
      <c r="Z157" s="53">
        <f>IFERROR(IF($A157="","",$X157+$Y157+$W157),"")</f>
        <v/>
      </c>
      <c r="AA157" s="28" t="n"/>
      <c r="AB157" s="51" t="n"/>
      <c r="AC157" s="24">
        <f>IFERROR(IF($A157="","",IF($N157="Canceled","Canceled",IF($AA157=0,"Not Received",IF($AA157&lt;$R157,"Partially Received",IF($AA157=$R157,"Fully Received","Over Received"))))),"")</f>
        <v/>
      </c>
      <c r="AD157" s="25" t="n"/>
      <c r="AE157" s="23" t="n"/>
      <c r="AF157" s="51" t="n"/>
      <c r="AG157" s="52" t="n"/>
      <c r="AH157" s="53">
        <f>IFERROR(IF($A157="","",IF($AG157="","",$AG157-$Z157)),"")</f>
        <v/>
      </c>
      <c r="AI157" s="32">
        <f>IFERROR(IF($A157="","",IF(OR($AG157="",$Z157=0),"",($AG157-$Z157)/$Z157)),"")</f>
        <v/>
      </c>
      <c r="AJ157" s="23" t="n"/>
      <c r="AK157" s="51" t="n"/>
      <c r="AL157" s="53">
        <f>IFERROR(IF($A157="","",IF(OR($N157="Canceled",$N157="Closed"),0,MAX($Z157-IF($AG157="",0,$AG157),0))),"")</f>
        <v/>
      </c>
      <c r="AM157" s="27">
        <f>IFERROR(IF($A157="","",IF(OR($N157="Closed",$N157="Canceled"),IF($O157="","",MAX(0,$O157-$H157)),MAX(0,TODAY()-$H157))),"")</f>
        <v/>
      </c>
      <c r="AN157" s="24">
        <f>IFERROR(IF($A157="","",IF($AA157&gt;$R157,"Over Received",IF(AND($J157="Approved",OR($K157="",$L157="")),"Approval Missing",IF(AND($J157="Pending",$AM157&gt;'Settings'!$B$7),"Approval Follow-Up",IF(AND($N157="Open",$I157&lt;&gt;"",$I157+'Settings'!$B$8&lt;TODAY(),$AA157&lt;$R157),"Delivery Overdue",IF(AND($AG157&lt;&gt;"",OR(ABS($AH157)&gt;'Settings'!$B$9,ABS($AI157)&gt;'Settings'!$B$10)),"Invoice Variance",IF(AND($N157="Open",$AM157&gt;'Settings'!$B$11),"Aging Open PO",""))))))),"")</f>
        <v/>
      </c>
      <c r="AO157" s="25" t="n"/>
      <c r="AP157" s="24">
        <f>IFERROR(IF(AND($AN157&lt;&gt;"",$N157&lt;&gt;"Closed",$N157&lt;&gt;"Canceled",OR('Dashboard'!$B$4="All",$B157='Dashboard'!$B$4),OR('Dashboard'!$D$4="All",$C157='Dashboard'!$D$4)),COUNTIFS($AN$6:$AN157,"&lt;&gt;",$N$6:$N157,"&lt;&gt;Closed",$N$6:$N157,"&lt;&gt;Canceled",$B$6:$B157,IF('Dashboard'!$B$4="All","&lt;&gt;",'Dashboard'!$B$4),$C$6:$C157,IF('Dashboard'!$D$4="All","&lt;&gt;",'Dashboard'!$D$4)),""),"")</f>
        <v/>
      </c>
    </row>
    <row r="158">
      <c r="A158" s="23" t="n"/>
      <c r="B158" s="23" t="n"/>
      <c r="C158" s="23" t="n"/>
      <c r="D158" s="23" t="n"/>
      <c r="E158" s="23" t="n"/>
      <c r="F158" s="24">
        <f>IFERROR(IF($E158="","",VLOOKUP($E158,'Settings'!$G$16:$M$115,2,0)),"")</f>
        <v/>
      </c>
      <c r="G158" s="25" t="n"/>
      <c r="H158" s="51" t="n"/>
      <c r="I158" s="51" t="n"/>
      <c r="J158" s="23" t="n"/>
      <c r="K158" s="23" t="n"/>
      <c r="L158" s="51" t="n"/>
      <c r="M158" s="27">
        <f>IFERROR(IF($A158="","",IF($J158="Approved",MAX(0,$L158-$H158),"")),"")</f>
        <v/>
      </c>
      <c r="N158" s="23" t="n"/>
      <c r="O158" s="51" t="n"/>
      <c r="P158" s="23" t="n"/>
      <c r="Q158" s="25" t="n"/>
      <c r="R158" s="28" t="n"/>
      <c r="S158" s="52" t="n"/>
      <c r="T158" s="52" t="n"/>
      <c r="U158" s="23" t="n"/>
      <c r="V158" s="30" t="n"/>
      <c r="W158" s="52" t="n"/>
      <c r="X158" s="53">
        <f>IFERROR(IF($A158="","",MAX(0,$R158*$S158-$T158)),"")</f>
        <v/>
      </c>
      <c r="Y158" s="53">
        <f>IFERROR(IF($A158="","",IF($U158="Yes",$X158*$V158,0)),"")</f>
        <v/>
      </c>
      <c r="Z158" s="53">
        <f>IFERROR(IF($A158="","",$X158+$Y158+$W158),"")</f>
        <v/>
      </c>
      <c r="AA158" s="28" t="n"/>
      <c r="AB158" s="51" t="n"/>
      <c r="AC158" s="24">
        <f>IFERROR(IF($A158="","",IF($N158="Canceled","Canceled",IF($AA158=0,"Not Received",IF($AA158&lt;$R158,"Partially Received",IF($AA158=$R158,"Fully Received","Over Received"))))),"")</f>
        <v/>
      </c>
      <c r="AD158" s="25" t="n"/>
      <c r="AE158" s="23" t="n"/>
      <c r="AF158" s="51" t="n"/>
      <c r="AG158" s="52" t="n"/>
      <c r="AH158" s="53">
        <f>IFERROR(IF($A158="","",IF($AG158="","",$AG158-$Z158)),"")</f>
        <v/>
      </c>
      <c r="AI158" s="32">
        <f>IFERROR(IF($A158="","",IF(OR($AG158="",$Z158=0),"",($AG158-$Z158)/$Z158)),"")</f>
        <v/>
      </c>
      <c r="AJ158" s="23" t="n"/>
      <c r="AK158" s="51" t="n"/>
      <c r="AL158" s="53">
        <f>IFERROR(IF($A158="","",IF(OR($N158="Canceled",$N158="Closed"),0,MAX($Z158-IF($AG158="",0,$AG158),0))),"")</f>
        <v/>
      </c>
      <c r="AM158" s="27">
        <f>IFERROR(IF($A158="","",IF(OR($N158="Closed",$N158="Canceled"),IF($O158="","",MAX(0,$O158-$H158)),MAX(0,TODAY()-$H158))),"")</f>
        <v/>
      </c>
      <c r="AN158" s="24">
        <f>IFERROR(IF($A158="","",IF($AA158&gt;$R158,"Over Received",IF(AND($J158="Approved",OR($K158="",$L158="")),"Approval Missing",IF(AND($J158="Pending",$AM158&gt;'Settings'!$B$7),"Approval Follow-Up",IF(AND($N158="Open",$I158&lt;&gt;"",$I158+'Settings'!$B$8&lt;TODAY(),$AA158&lt;$R158),"Delivery Overdue",IF(AND($AG158&lt;&gt;"",OR(ABS($AH158)&gt;'Settings'!$B$9,ABS($AI158)&gt;'Settings'!$B$10)),"Invoice Variance",IF(AND($N158="Open",$AM158&gt;'Settings'!$B$11),"Aging Open PO",""))))))),"")</f>
        <v/>
      </c>
      <c r="AO158" s="25" t="n"/>
      <c r="AP158" s="24">
        <f>IFERROR(IF(AND($AN158&lt;&gt;"",$N158&lt;&gt;"Closed",$N158&lt;&gt;"Canceled",OR('Dashboard'!$B$4="All",$B158='Dashboard'!$B$4),OR('Dashboard'!$D$4="All",$C158='Dashboard'!$D$4)),COUNTIFS($AN$6:$AN158,"&lt;&gt;",$N$6:$N158,"&lt;&gt;Closed",$N$6:$N158,"&lt;&gt;Canceled",$B$6:$B158,IF('Dashboard'!$B$4="All","&lt;&gt;",'Dashboard'!$B$4),$C$6:$C158,IF('Dashboard'!$D$4="All","&lt;&gt;",'Dashboard'!$D$4)),""),"")</f>
        <v/>
      </c>
    </row>
    <row r="159">
      <c r="A159" s="23" t="n"/>
      <c r="B159" s="23" t="n"/>
      <c r="C159" s="23" t="n"/>
      <c r="D159" s="23" t="n"/>
      <c r="E159" s="23" t="n"/>
      <c r="F159" s="24">
        <f>IFERROR(IF($E159="","",VLOOKUP($E159,'Settings'!$G$16:$M$115,2,0)),"")</f>
        <v/>
      </c>
      <c r="G159" s="25" t="n"/>
      <c r="H159" s="51" t="n"/>
      <c r="I159" s="51" t="n"/>
      <c r="J159" s="23" t="n"/>
      <c r="K159" s="23" t="n"/>
      <c r="L159" s="51" t="n"/>
      <c r="M159" s="27">
        <f>IFERROR(IF($A159="","",IF($J159="Approved",MAX(0,$L159-$H159),"")),"")</f>
        <v/>
      </c>
      <c r="N159" s="23" t="n"/>
      <c r="O159" s="51" t="n"/>
      <c r="P159" s="23" t="n"/>
      <c r="Q159" s="25" t="n"/>
      <c r="R159" s="28" t="n"/>
      <c r="S159" s="52" t="n"/>
      <c r="T159" s="52" t="n"/>
      <c r="U159" s="23" t="n"/>
      <c r="V159" s="30" t="n"/>
      <c r="W159" s="52" t="n"/>
      <c r="X159" s="53">
        <f>IFERROR(IF($A159="","",MAX(0,$R159*$S159-$T159)),"")</f>
        <v/>
      </c>
      <c r="Y159" s="53">
        <f>IFERROR(IF($A159="","",IF($U159="Yes",$X159*$V159,0)),"")</f>
        <v/>
      </c>
      <c r="Z159" s="53">
        <f>IFERROR(IF($A159="","",$X159+$Y159+$W159),"")</f>
        <v/>
      </c>
      <c r="AA159" s="28" t="n"/>
      <c r="AB159" s="51" t="n"/>
      <c r="AC159" s="24">
        <f>IFERROR(IF($A159="","",IF($N159="Canceled","Canceled",IF($AA159=0,"Not Received",IF($AA159&lt;$R159,"Partially Received",IF($AA159=$R159,"Fully Received","Over Received"))))),"")</f>
        <v/>
      </c>
      <c r="AD159" s="25" t="n"/>
      <c r="AE159" s="23" t="n"/>
      <c r="AF159" s="51" t="n"/>
      <c r="AG159" s="52" t="n"/>
      <c r="AH159" s="53">
        <f>IFERROR(IF($A159="","",IF($AG159="","",$AG159-$Z159)),"")</f>
        <v/>
      </c>
      <c r="AI159" s="32">
        <f>IFERROR(IF($A159="","",IF(OR($AG159="",$Z159=0),"",($AG159-$Z159)/$Z159)),"")</f>
        <v/>
      </c>
      <c r="AJ159" s="23" t="n"/>
      <c r="AK159" s="51" t="n"/>
      <c r="AL159" s="53">
        <f>IFERROR(IF($A159="","",IF(OR($N159="Canceled",$N159="Closed"),0,MAX($Z159-IF($AG159="",0,$AG159),0))),"")</f>
        <v/>
      </c>
      <c r="AM159" s="27">
        <f>IFERROR(IF($A159="","",IF(OR($N159="Closed",$N159="Canceled"),IF($O159="","",MAX(0,$O159-$H159)),MAX(0,TODAY()-$H159))),"")</f>
        <v/>
      </c>
      <c r="AN159" s="24">
        <f>IFERROR(IF($A159="","",IF($AA159&gt;$R159,"Over Received",IF(AND($J159="Approved",OR($K159="",$L159="")),"Approval Missing",IF(AND($J159="Pending",$AM159&gt;'Settings'!$B$7),"Approval Follow-Up",IF(AND($N159="Open",$I159&lt;&gt;"",$I159+'Settings'!$B$8&lt;TODAY(),$AA159&lt;$R159),"Delivery Overdue",IF(AND($AG159&lt;&gt;"",OR(ABS($AH159)&gt;'Settings'!$B$9,ABS($AI159)&gt;'Settings'!$B$10)),"Invoice Variance",IF(AND($N159="Open",$AM159&gt;'Settings'!$B$11),"Aging Open PO",""))))))),"")</f>
        <v/>
      </c>
      <c r="AO159" s="25" t="n"/>
      <c r="AP159" s="24">
        <f>IFERROR(IF(AND($AN159&lt;&gt;"",$N159&lt;&gt;"Closed",$N159&lt;&gt;"Canceled",OR('Dashboard'!$B$4="All",$B159='Dashboard'!$B$4),OR('Dashboard'!$D$4="All",$C159='Dashboard'!$D$4)),COUNTIFS($AN$6:$AN159,"&lt;&gt;",$N$6:$N159,"&lt;&gt;Closed",$N$6:$N159,"&lt;&gt;Canceled",$B$6:$B159,IF('Dashboard'!$B$4="All","&lt;&gt;",'Dashboard'!$B$4),$C$6:$C159,IF('Dashboard'!$D$4="All","&lt;&gt;",'Dashboard'!$D$4)),""),"")</f>
        <v/>
      </c>
    </row>
    <row r="160">
      <c r="A160" s="23" t="n"/>
      <c r="B160" s="23" t="n"/>
      <c r="C160" s="23" t="n"/>
      <c r="D160" s="23" t="n"/>
      <c r="E160" s="23" t="n"/>
      <c r="F160" s="24">
        <f>IFERROR(IF($E160="","",VLOOKUP($E160,'Settings'!$G$16:$M$115,2,0)),"")</f>
        <v/>
      </c>
      <c r="G160" s="25" t="n"/>
      <c r="H160" s="51" t="n"/>
      <c r="I160" s="51" t="n"/>
      <c r="J160" s="23" t="n"/>
      <c r="K160" s="23" t="n"/>
      <c r="L160" s="51" t="n"/>
      <c r="M160" s="27">
        <f>IFERROR(IF($A160="","",IF($J160="Approved",MAX(0,$L160-$H160),"")),"")</f>
        <v/>
      </c>
      <c r="N160" s="23" t="n"/>
      <c r="O160" s="51" t="n"/>
      <c r="P160" s="23" t="n"/>
      <c r="Q160" s="25" t="n"/>
      <c r="R160" s="28" t="n"/>
      <c r="S160" s="52" t="n"/>
      <c r="T160" s="52" t="n"/>
      <c r="U160" s="23" t="n"/>
      <c r="V160" s="30" t="n"/>
      <c r="W160" s="52" t="n"/>
      <c r="X160" s="53">
        <f>IFERROR(IF($A160="","",MAX(0,$R160*$S160-$T160)),"")</f>
        <v/>
      </c>
      <c r="Y160" s="53">
        <f>IFERROR(IF($A160="","",IF($U160="Yes",$X160*$V160,0)),"")</f>
        <v/>
      </c>
      <c r="Z160" s="53">
        <f>IFERROR(IF($A160="","",$X160+$Y160+$W160),"")</f>
        <v/>
      </c>
      <c r="AA160" s="28" t="n"/>
      <c r="AB160" s="51" t="n"/>
      <c r="AC160" s="24">
        <f>IFERROR(IF($A160="","",IF($N160="Canceled","Canceled",IF($AA160=0,"Not Received",IF($AA160&lt;$R160,"Partially Received",IF($AA160=$R160,"Fully Received","Over Received"))))),"")</f>
        <v/>
      </c>
      <c r="AD160" s="25" t="n"/>
      <c r="AE160" s="23" t="n"/>
      <c r="AF160" s="51" t="n"/>
      <c r="AG160" s="52" t="n"/>
      <c r="AH160" s="53">
        <f>IFERROR(IF($A160="","",IF($AG160="","",$AG160-$Z160)),"")</f>
        <v/>
      </c>
      <c r="AI160" s="32">
        <f>IFERROR(IF($A160="","",IF(OR($AG160="",$Z160=0),"",($AG160-$Z160)/$Z160)),"")</f>
        <v/>
      </c>
      <c r="AJ160" s="23" t="n"/>
      <c r="AK160" s="51" t="n"/>
      <c r="AL160" s="53">
        <f>IFERROR(IF($A160="","",IF(OR($N160="Canceled",$N160="Closed"),0,MAX($Z160-IF($AG160="",0,$AG160),0))),"")</f>
        <v/>
      </c>
      <c r="AM160" s="27">
        <f>IFERROR(IF($A160="","",IF(OR($N160="Closed",$N160="Canceled"),IF($O160="","",MAX(0,$O160-$H160)),MAX(0,TODAY()-$H160))),"")</f>
        <v/>
      </c>
      <c r="AN160" s="24">
        <f>IFERROR(IF($A160="","",IF($AA160&gt;$R160,"Over Received",IF(AND($J160="Approved",OR($K160="",$L160="")),"Approval Missing",IF(AND($J160="Pending",$AM160&gt;'Settings'!$B$7),"Approval Follow-Up",IF(AND($N160="Open",$I160&lt;&gt;"",$I160+'Settings'!$B$8&lt;TODAY(),$AA160&lt;$R160),"Delivery Overdue",IF(AND($AG160&lt;&gt;"",OR(ABS($AH160)&gt;'Settings'!$B$9,ABS($AI160)&gt;'Settings'!$B$10)),"Invoice Variance",IF(AND($N160="Open",$AM160&gt;'Settings'!$B$11),"Aging Open PO",""))))))),"")</f>
        <v/>
      </c>
      <c r="AO160" s="25" t="n"/>
      <c r="AP160" s="24">
        <f>IFERROR(IF(AND($AN160&lt;&gt;"",$N160&lt;&gt;"Closed",$N160&lt;&gt;"Canceled",OR('Dashboard'!$B$4="All",$B160='Dashboard'!$B$4),OR('Dashboard'!$D$4="All",$C160='Dashboard'!$D$4)),COUNTIFS($AN$6:$AN160,"&lt;&gt;",$N$6:$N160,"&lt;&gt;Closed",$N$6:$N160,"&lt;&gt;Canceled",$B$6:$B160,IF('Dashboard'!$B$4="All","&lt;&gt;",'Dashboard'!$B$4),$C$6:$C160,IF('Dashboard'!$D$4="All","&lt;&gt;",'Dashboard'!$D$4)),""),"")</f>
        <v/>
      </c>
    </row>
    <row r="161">
      <c r="A161" s="23" t="n"/>
      <c r="B161" s="23" t="n"/>
      <c r="C161" s="23" t="n"/>
      <c r="D161" s="23" t="n"/>
      <c r="E161" s="23" t="n"/>
      <c r="F161" s="24">
        <f>IFERROR(IF($E161="","",VLOOKUP($E161,'Settings'!$G$16:$M$115,2,0)),"")</f>
        <v/>
      </c>
      <c r="G161" s="25" t="n"/>
      <c r="H161" s="51" t="n"/>
      <c r="I161" s="51" t="n"/>
      <c r="J161" s="23" t="n"/>
      <c r="K161" s="23" t="n"/>
      <c r="L161" s="51" t="n"/>
      <c r="M161" s="27">
        <f>IFERROR(IF($A161="","",IF($J161="Approved",MAX(0,$L161-$H161),"")),"")</f>
        <v/>
      </c>
      <c r="N161" s="23" t="n"/>
      <c r="O161" s="51" t="n"/>
      <c r="P161" s="23" t="n"/>
      <c r="Q161" s="25" t="n"/>
      <c r="R161" s="28" t="n"/>
      <c r="S161" s="52" t="n"/>
      <c r="T161" s="52" t="n"/>
      <c r="U161" s="23" t="n"/>
      <c r="V161" s="30" t="n"/>
      <c r="W161" s="52" t="n"/>
      <c r="X161" s="53">
        <f>IFERROR(IF($A161="","",MAX(0,$R161*$S161-$T161)),"")</f>
        <v/>
      </c>
      <c r="Y161" s="53">
        <f>IFERROR(IF($A161="","",IF($U161="Yes",$X161*$V161,0)),"")</f>
        <v/>
      </c>
      <c r="Z161" s="53">
        <f>IFERROR(IF($A161="","",$X161+$Y161+$W161),"")</f>
        <v/>
      </c>
      <c r="AA161" s="28" t="n"/>
      <c r="AB161" s="51" t="n"/>
      <c r="AC161" s="24">
        <f>IFERROR(IF($A161="","",IF($N161="Canceled","Canceled",IF($AA161=0,"Not Received",IF($AA161&lt;$R161,"Partially Received",IF($AA161=$R161,"Fully Received","Over Received"))))),"")</f>
        <v/>
      </c>
      <c r="AD161" s="25" t="n"/>
      <c r="AE161" s="23" t="n"/>
      <c r="AF161" s="51" t="n"/>
      <c r="AG161" s="52" t="n"/>
      <c r="AH161" s="53">
        <f>IFERROR(IF($A161="","",IF($AG161="","",$AG161-$Z161)),"")</f>
        <v/>
      </c>
      <c r="AI161" s="32">
        <f>IFERROR(IF($A161="","",IF(OR($AG161="",$Z161=0),"",($AG161-$Z161)/$Z161)),"")</f>
        <v/>
      </c>
      <c r="AJ161" s="23" t="n"/>
      <c r="AK161" s="51" t="n"/>
      <c r="AL161" s="53">
        <f>IFERROR(IF($A161="","",IF(OR($N161="Canceled",$N161="Closed"),0,MAX($Z161-IF($AG161="",0,$AG161),0))),"")</f>
        <v/>
      </c>
      <c r="AM161" s="27">
        <f>IFERROR(IF($A161="","",IF(OR($N161="Closed",$N161="Canceled"),IF($O161="","",MAX(0,$O161-$H161)),MAX(0,TODAY()-$H161))),"")</f>
        <v/>
      </c>
      <c r="AN161" s="24">
        <f>IFERROR(IF($A161="","",IF($AA161&gt;$R161,"Over Received",IF(AND($J161="Approved",OR($K161="",$L161="")),"Approval Missing",IF(AND($J161="Pending",$AM161&gt;'Settings'!$B$7),"Approval Follow-Up",IF(AND($N161="Open",$I161&lt;&gt;"",$I161+'Settings'!$B$8&lt;TODAY(),$AA161&lt;$R161),"Delivery Overdue",IF(AND($AG161&lt;&gt;"",OR(ABS($AH161)&gt;'Settings'!$B$9,ABS($AI161)&gt;'Settings'!$B$10)),"Invoice Variance",IF(AND($N161="Open",$AM161&gt;'Settings'!$B$11),"Aging Open PO",""))))))),"")</f>
        <v/>
      </c>
      <c r="AO161" s="25" t="n"/>
      <c r="AP161" s="24">
        <f>IFERROR(IF(AND($AN161&lt;&gt;"",$N161&lt;&gt;"Closed",$N161&lt;&gt;"Canceled",OR('Dashboard'!$B$4="All",$B161='Dashboard'!$B$4),OR('Dashboard'!$D$4="All",$C161='Dashboard'!$D$4)),COUNTIFS($AN$6:$AN161,"&lt;&gt;",$N$6:$N161,"&lt;&gt;Closed",$N$6:$N161,"&lt;&gt;Canceled",$B$6:$B161,IF('Dashboard'!$B$4="All","&lt;&gt;",'Dashboard'!$B$4),$C$6:$C161,IF('Dashboard'!$D$4="All","&lt;&gt;",'Dashboard'!$D$4)),""),"")</f>
        <v/>
      </c>
    </row>
    <row r="162">
      <c r="A162" s="23" t="n"/>
      <c r="B162" s="23" t="n"/>
      <c r="C162" s="23" t="n"/>
      <c r="D162" s="23" t="n"/>
      <c r="E162" s="23" t="n"/>
      <c r="F162" s="24">
        <f>IFERROR(IF($E162="","",VLOOKUP($E162,'Settings'!$G$16:$M$115,2,0)),"")</f>
        <v/>
      </c>
      <c r="G162" s="25" t="n"/>
      <c r="H162" s="51" t="n"/>
      <c r="I162" s="51" t="n"/>
      <c r="J162" s="23" t="n"/>
      <c r="K162" s="23" t="n"/>
      <c r="L162" s="51" t="n"/>
      <c r="M162" s="27">
        <f>IFERROR(IF($A162="","",IF($J162="Approved",MAX(0,$L162-$H162),"")),"")</f>
        <v/>
      </c>
      <c r="N162" s="23" t="n"/>
      <c r="O162" s="51" t="n"/>
      <c r="P162" s="23" t="n"/>
      <c r="Q162" s="25" t="n"/>
      <c r="R162" s="28" t="n"/>
      <c r="S162" s="52" t="n"/>
      <c r="T162" s="52" t="n"/>
      <c r="U162" s="23" t="n"/>
      <c r="V162" s="30" t="n"/>
      <c r="W162" s="52" t="n"/>
      <c r="X162" s="53">
        <f>IFERROR(IF($A162="","",MAX(0,$R162*$S162-$T162)),"")</f>
        <v/>
      </c>
      <c r="Y162" s="53">
        <f>IFERROR(IF($A162="","",IF($U162="Yes",$X162*$V162,0)),"")</f>
        <v/>
      </c>
      <c r="Z162" s="53">
        <f>IFERROR(IF($A162="","",$X162+$Y162+$W162),"")</f>
        <v/>
      </c>
      <c r="AA162" s="28" t="n"/>
      <c r="AB162" s="51" t="n"/>
      <c r="AC162" s="24">
        <f>IFERROR(IF($A162="","",IF($N162="Canceled","Canceled",IF($AA162=0,"Not Received",IF($AA162&lt;$R162,"Partially Received",IF($AA162=$R162,"Fully Received","Over Received"))))),"")</f>
        <v/>
      </c>
      <c r="AD162" s="25" t="n"/>
      <c r="AE162" s="23" t="n"/>
      <c r="AF162" s="51" t="n"/>
      <c r="AG162" s="52" t="n"/>
      <c r="AH162" s="53">
        <f>IFERROR(IF($A162="","",IF($AG162="","",$AG162-$Z162)),"")</f>
        <v/>
      </c>
      <c r="AI162" s="32">
        <f>IFERROR(IF($A162="","",IF(OR($AG162="",$Z162=0),"",($AG162-$Z162)/$Z162)),"")</f>
        <v/>
      </c>
      <c r="AJ162" s="23" t="n"/>
      <c r="AK162" s="51" t="n"/>
      <c r="AL162" s="53">
        <f>IFERROR(IF($A162="","",IF(OR($N162="Canceled",$N162="Closed"),0,MAX($Z162-IF($AG162="",0,$AG162),0))),"")</f>
        <v/>
      </c>
      <c r="AM162" s="27">
        <f>IFERROR(IF($A162="","",IF(OR($N162="Closed",$N162="Canceled"),IF($O162="","",MAX(0,$O162-$H162)),MAX(0,TODAY()-$H162))),"")</f>
        <v/>
      </c>
      <c r="AN162" s="24">
        <f>IFERROR(IF($A162="","",IF($AA162&gt;$R162,"Over Received",IF(AND($J162="Approved",OR($K162="",$L162="")),"Approval Missing",IF(AND($J162="Pending",$AM162&gt;'Settings'!$B$7),"Approval Follow-Up",IF(AND($N162="Open",$I162&lt;&gt;"",$I162+'Settings'!$B$8&lt;TODAY(),$AA162&lt;$R162),"Delivery Overdue",IF(AND($AG162&lt;&gt;"",OR(ABS($AH162)&gt;'Settings'!$B$9,ABS($AI162)&gt;'Settings'!$B$10)),"Invoice Variance",IF(AND($N162="Open",$AM162&gt;'Settings'!$B$11),"Aging Open PO",""))))))),"")</f>
        <v/>
      </c>
      <c r="AO162" s="25" t="n"/>
      <c r="AP162" s="24">
        <f>IFERROR(IF(AND($AN162&lt;&gt;"",$N162&lt;&gt;"Closed",$N162&lt;&gt;"Canceled",OR('Dashboard'!$B$4="All",$B162='Dashboard'!$B$4),OR('Dashboard'!$D$4="All",$C162='Dashboard'!$D$4)),COUNTIFS($AN$6:$AN162,"&lt;&gt;",$N$6:$N162,"&lt;&gt;Closed",$N$6:$N162,"&lt;&gt;Canceled",$B$6:$B162,IF('Dashboard'!$B$4="All","&lt;&gt;",'Dashboard'!$B$4),$C$6:$C162,IF('Dashboard'!$D$4="All","&lt;&gt;",'Dashboard'!$D$4)),""),"")</f>
        <v/>
      </c>
    </row>
    <row r="163">
      <c r="A163" s="23" t="n"/>
      <c r="B163" s="23" t="n"/>
      <c r="C163" s="23" t="n"/>
      <c r="D163" s="23" t="n"/>
      <c r="E163" s="23" t="n"/>
      <c r="F163" s="24">
        <f>IFERROR(IF($E163="","",VLOOKUP($E163,'Settings'!$G$16:$M$115,2,0)),"")</f>
        <v/>
      </c>
      <c r="G163" s="25" t="n"/>
      <c r="H163" s="51" t="n"/>
      <c r="I163" s="51" t="n"/>
      <c r="J163" s="23" t="n"/>
      <c r="K163" s="23" t="n"/>
      <c r="L163" s="51" t="n"/>
      <c r="M163" s="27">
        <f>IFERROR(IF($A163="","",IF($J163="Approved",MAX(0,$L163-$H163),"")),"")</f>
        <v/>
      </c>
      <c r="N163" s="23" t="n"/>
      <c r="O163" s="51" t="n"/>
      <c r="P163" s="23" t="n"/>
      <c r="Q163" s="25" t="n"/>
      <c r="R163" s="28" t="n"/>
      <c r="S163" s="52" t="n"/>
      <c r="T163" s="52" t="n"/>
      <c r="U163" s="23" t="n"/>
      <c r="V163" s="30" t="n"/>
      <c r="W163" s="52" t="n"/>
      <c r="X163" s="53">
        <f>IFERROR(IF($A163="","",MAX(0,$R163*$S163-$T163)),"")</f>
        <v/>
      </c>
      <c r="Y163" s="53">
        <f>IFERROR(IF($A163="","",IF($U163="Yes",$X163*$V163,0)),"")</f>
        <v/>
      </c>
      <c r="Z163" s="53">
        <f>IFERROR(IF($A163="","",$X163+$Y163+$W163),"")</f>
        <v/>
      </c>
      <c r="AA163" s="28" t="n"/>
      <c r="AB163" s="51" t="n"/>
      <c r="AC163" s="24">
        <f>IFERROR(IF($A163="","",IF($N163="Canceled","Canceled",IF($AA163=0,"Not Received",IF($AA163&lt;$R163,"Partially Received",IF($AA163=$R163,"Fully Received","Over Received"))))),"")</f>
        <v/>
      </c>
      <c r="AD163" s="25" t="n"/>
      <c r="AE163" s="23" t="n"/>
      <c r="AF163" s="51" t="n"/>
      <c r="AG163" s="52" t="n"/>
      <c r="AH163" s="53">
        <f>IFERROR(IF($A163="","",IF($AG163="","",$AG163-$Z163)),"")</f>
        <v/>
      </c>
      <c r="AI163" s="32">
        <f>IFERROR(IF($A163="","",IF(OR($AG163="",$Z163=0),"",($AG163-$Z163)/$Z163)),"")</f>
        <v/>
      </c>
      <c r="AJ163" s="23" t="n"/>
      <c r="AK163" s="51" t="n"/>
      <c r="AL163" s="53">
        <f>IFERROR(IF($A163="","",IF(OR($N163="Canceled",$N163="Closed"),0,MAX($Z163-IF($AG163="",0,$AG163),0))),"")</f>
        <v/>
      </c>
      <c r="AM163" s="27">
        <f>IFERROR(IF($A163="","",IF(OR($N163="Closed",$N163="Canceled"),IF($O163="","",MAX(0,$O163-$H163)),MAX(0,TODAY()-$H163))),"")</f>
        <v/>
      </c>
      <c r="AN163" s="24">
        <f>IFERROR(IF($A163="","",IF($AA163&gt;$R163,"Over Received",IF(AND($J163="Approved",OR($K163="",$L163="")),"Approval Missing",IF(AND($J163="Pending",$AM163&gt;'Settings'!$B$7),"Approval Follow-Up",IF(AND($N163="Open",$I163&lt;&gt;"",$I163+'Settings'!$B$8&lt;TODAY(),$AA163&lt;$R163),"Delivery Overdue",IF(AND($AG163&lt;&gt;"",OR(ABS($AH163)&gt;'Settings'!$B$9,ABS($AI163)&gt;'Settings'!$B$10)),"Invoice Variance",IF(AND($N163="Open",$AM163&gt;'Settings'!$B$11),"Aging Open PO",""))))))),"")</f>
        <v/>
      </c>
      <c r="AO163" s="25" t="n"/>
      <c r="AP163" s="24">
        <f>IFERROR(IF(AND($AN163&lt;&gt;"",$N163&lt;&gt;"Closed",$N163&lt;&gt;"Canceled",OR('Dashboard'!$B$4="All",$B163='Dashboard'!$B$4),OR('Dashboard'!$D$4="All",$C163='Dashboard'!$D$4)),COUNTIFS($AN$6:$AN163,"&lt;&gt;",$N$6:$N163,"&lt;&gt;Closed",$N$6:$N163,"&lt;&gt;Canceled",$B$6:$B163,IF('Dashboard'!$B$4="All","&lt;&gt;",'Dashboard'!$B$4),$C$6:$C163,IF('Dashboard'!$D$4="All","&lt;&gt;",'Dashboard'!$D$4)),""),"")</f>
        <v/>
      </c>
    </row>
    <row r="164">
      <c r="A164" s="23" t="n"/>
      <c r="B164" s="23" t="n"/>
      <c r="C164" s="23" t="n"/>
      <c r="D164" s="23" t="n"/>
      <c r="E164" s="23" t="n"/>
      <c r="F164" s="24">
        <f>IFERROR(IF($E164="","",VLOOKUP($E164,'Settings'!$G$16:$M$115,2,0)),"")</f>
        <v/>
      </c>
      <c r="G164" s="25" t="n"/>
      <c r="H164" s="51" t="n"/>
      <c r="I164" s="51" t="n"/>
      <c r="J164" s="23" t="n"/>
      <c r="K164" s="23" t="n"/>
      <c r="L164" s="51" t="n"/>
      <c r="M164" s="27">
        <f>IFERROR(IF($A164="","",IF($J164="Approved",MAX(0,$L164-$H164),"")),"")</f>
        <v/>
      </c>
      <c r="N164" s="23" t="n"/>
      <c r="O164" s="51" t="n"/>
      <c r="P164" s="23" t="n"/>
      <c r="Q164" s="25" t="n"/>
      <c r="R164" s="28" t="n"/>
      <c r="S164" s="52" t="n"/>
      <c r="T164" s="52" t="n"/>
      <c r="U164" s="23" t="n"/>
      <c r="V164" s="30" t="n"/>
      <c r="W164" s="52" t="n"/>
      <c r="X164" s="53">
        <f>IFERROR(IF($A164="","",MAX(0,$R164*$S164-$T164)),"")</f>
        <v/>
      </c>
      <c r="Y164" s="53">
        <f>IFERROR(IF($A164="","",IF($U164="Yes",$X164*$V164,0)),"")</f>
        <v/>
      </c>
      <c r="Z164" s="53">
        <f>IFERROR(IF($A164="","",$X164+$Y164+$W164),"")</f>
        <v/>
      </c>
      <c r="AA164" s="28" t="n"/>
      <c r="AB164" s="51" t="n"/>
      <c r="AC164" s="24">
        <f>IFERROR(IF($A164="","",IF($N164="Canceled","Canceled",IF($AA164=0,"Not Received",IF($AA164&lt;$R164,"Partially Received",IF($AA164=$R164,"Fully Received","Over Received"))))),"")</f>
        <v/>
      </c>
      <c r="AD164" s="25" t="n"/>
      <c r="AE164" s="23" t="n"/>
      <c r="AF164" s="51" t="n"/>
      <c r="AG164" s="52" t="n"/>
      <c r="AH164" s="53">
        <f>IFERROR(IF($A164="","",IF($AG164="","",$AG164-$Z164)),"")</f>
        <v/>
      </c>
      <c r="AI164" s="32">
        <f>IFERROR(IF($A164="","",IF(OR($AG164="",$Z164=0),"",($AG164-$Z164)/$Z164)),"")</f>
        <v/>
      </c>
      <c r="AJ164" s="23" t="n"/>
      <c r="AK164" s="51" t="n"/>
      <c r="AL164" s="53">
        <f>IFERROR(IF($A164="","",IF(OR($N164="Canceled",$N164="Closed"),0,MAX($Z164-IF($AG164="",0,$AG164),0))),"")</f>
        <v/>
      </c>
      <c r="AM164" s="27">
        <f>IFERROR(IF($A164="","",IF(OR($N164="Closed",$N164="Canceled"),IF($O164="","",MAX(0,$O164-$H164)),MAX(0,TODAY()-$H164))),"")</f>
        <v/>
      </c>
      <c r="AN164" s="24">
        <f>IFERROR(IF($A164="","",IF($AA164&gt;$R164,"Over Received",IF(AND($J164="Approved",OR($K164="",$L164="")),"Approval Missing",IF(AND($J164="Pending",$AM164&gt;'Settings'!$B$7),"Approval Follow-Up",IF(AND($N164="Open",$I164&lt;&gt;"",$I164+'Settings'!$B$8&lt;TODAY(),$AA164&lt;$R164),"Delivery Overdue",IF(AND($AG164&lt;&gt;"",OR(ABS($AH164)&gt;'Settings'!$B$9,ABS($AI164)&gt;'Settings'!$B$10)),"Invoice Variance",IF(AND($N164="Open",$AM164&gt;'Settings'!$B$11),"Aging Open PO",""))))))),"")</f>
        <v/>
      </c>
      <c r="AO164" s="25" t="n"/>
      <c r="AP164" s="24">
        <f>IFERROR(IF(AND($AN164&lt;&gt;"",$N164&lt;&gt;"Closed",$N164&lt;&gt;"Canceled",OR('Dashboard'!$B$4="All",$B164='Dashboard'!$B$4),OR('Dashboard'!$D$4="All",$C164='Dashboard'!$D$4)),COUNTIFS($AN$6:$AN164,"&lt;&gt;",$N$6:$N164,"&lt;&gt;Closed",$N$6:$N164,"&lt;&gt;Canceled",$B$6:$B164,IF('Dashboard'!$B$4="All","&lt;&gt;",'Dashboard'!$B$4),$C$6:$C164,IF('Dashboard'!$D$4="All","&lt;&gt;",'Dashboard'!$D$4)),""),"")</f>
        <v/>
      </c>
    </row>
    <row r="165">
      <c r="A165" s="23" t="n"/>
      <c r="B165" s="23" t="n"/>
      <c r="C165" s="23" t="n"/>
      <c r="D165" s="23" t="n"/>
      <c r="E165" s="23" t="n"/>
      <c r="F165" s="24">
        <f>IFERROR(IF($E165="","",VLOOKUP($E165,'Settings'!$G$16:$M$115,2,0)),"")</f>
        <v/>
      </c>
      <c r="G165" s="25" t="n"/>
      <c r="H165" s="51" t="n"/>
      <c r="I165" s="51" t="n"/>
      <c r="J165" s="23" t="n"/>
      <c r="K165" s="23" t="n"/>
      <c r="L165" s="51" t="n"/>
      <c r="M165" s="27">
        <f>IFERROR(IF($A165="","",IF($J165="Approved",MAX(0,$L165-$H165),"")),"")</f>
        <v/>
      </c>
      <c r="N165" s="23" t="n"/>
      <c r="O165" s="51" t="n"/>
      <c r="P165" s="23" t="n"/>
      <c r="Q165" s="25" t="n"/>
      <c r="R165" s="28" t="n"/>
      <c r="S165" s="52" t="n"/>
      <c r="T165" s="52" t="n"/>
      <c r="U165" s="23" t="n"/>
      <c r="V165" s="30" t="n"/>
      <c r="W165" s="52" t="n"/>
      <c r="X165" s="53">
        <f>IFERROR(IF($A165="","",MAX(0,$R165*$S165-$T165)),"")</f>
        <v/>
      </c>
      <c r="Y165" s="53">
        <f>IFERROR(IF($A165="","",IF($U165="Yes",$X165*$V165,0)),"")</f>
        <v/>
      </c>
      <c r="Z165" s="53">
        <f>IFERROR(IF($A165="","",$X165+$Y165+$W165),"")</f>
        <v/>
      </c>
      <c r="AA165" s="28" t="n"/>
      <c r="AB165" s="51" t="n"/>
      <c r="AC165" s="24">
        <f>IFERROR(IF($A165="","",IF($N165="Canceled","Canceled",IF($AA165=0,"Not Received",IF($AA165&lt;$R165,"Partially Received",IF($AA165=$R165,"Fully Received","Over Received"))))),"")</f>
        <v/>
      </c>
      <c r="AD165" s="25" t="n"/>
      <c r="AE165" s="23" t="n"/>
      <c r="AF165" s="51" t="n"/>
      <c r="AG165" s="52" t="n"/>
      <c r="AH165" s="53">
        <f>IFERROR(IF($A165="","",IF($AG165="","",$AG165-$Z165)),"")</f>
        <v/>
      </c>
      <c r="AI165" s="32">
        <f>IFERROR(IF($A165="","",IF(OR($AG165="",$Z165=0),"",($AG165-$Z165)/$Z165)),"")</f>
        <v/>
      </c>
      <c r="AJ165" s="23" t="n"/>
      <c r="AK165" s="51" t="n"/>
      <c r="AL165" s="53">
        <f>IFERROR(IF($A165="","",IF(OR($N165="Canceled",$N165="Closed"),0,MAX($Z165-IF($AG165="",0,$AG165),0))),"")</f>
        <v/>
      </c>
      <c r="AM165" s="27">
        <f>IFERROR(IF($A165="","",IF(OR($N165="Closed",$N165="Canceled"),IF($O165="","",MAX(0,$O165-$H165)),MAX(0,TODAY()-$H165))),"")</f>
        <v/>
      </c>
      <c r="AN165" s="24">
        <f>IFERROR(IF($A165="","",IF($AA165&gt;$R165,"Over Received",IF(AND($J165="Approved",OR($K165="",$L165="")),"Approval Missing",IF(AND($J165="Pending",$AM165&gt;'Settings'!$B$7),"Approval Follow-Up",IF(AND($N165="Open",$I165&lt;&gt;"",$I165+'Settings'!$B$8&lt;TODAY(),$AA165&lt;$R165),"Delivery Overdue",IF(AND($AG165&lt;&gt;"",OR(ABS($AH165)&gt;'Settings'!$B$9,ABS($AI165)&gt;'Settings'!$B$10)),"Invoice Variance",IF(AND($N165="Open",$AM165&gt;'Settings'!$B$11),"Aging Open PO",""))))))),"")</f>
        <v/>
      </c>
      <c r="AO165" s="25" t="n"/>
      <c r="AP165" s="24">
        <f>IFERROR(IF(AND($AN165&lt;&gt;"",$N165&lt;&gt;"Closed",$N165&lt;&gt;"Canceled",OR('Dashboard'!$B$4="All",$B165='Dashboard'!$B$4),OR('Dashboard'!$D$4="All",$C165='Dashboard'!$D$4)),COUNTIFS($AN$6:$AN165,"&lt;&gt;",$N$6:$N165,"&lt;&gt;Closed",$N$6:$N165,"&lt;&gt;Canceled",$B$6:$B165,IF('Dashboard'!$B$4="All","&lt;&gt;",'Dashboard'!$B$4),$C$6:$C165,IF('Dashboard'!$D$4="All","&lt;&gt;",'Dashboard'!$D$4)),""),"")</f>
        <v/>
      </c>
    </row>
    <row r="166">
      <c r="A166" s="23" t="n"/>
      <c r="B166" s="23" t="n"/>
      <c r="C166" s="23" t="n"/>
      <c r="D166" s="23" t="n"/>
      <c r="E166" s="23" t="n"/>
      <c r="F166" s="24">
        <f>IFERROR(IF($E166="","",VLOOKUP($E166,'Settings'!$G$16:$M$115,2,0)),"")</f>
        <v/>
      </c>
      <c r="G166" s="25" t="n"/>
      <c r="H166" s="51" t="n"/>
      <c r="I166" s="51" t="n"/>
      <c r="J166" s="23" t="n"/>
      <c r="K166" s="23" t="n"/>
      <c r="L166" s="51" t="n"/>
      <c r="M166" s="27">
        <f>IFERROR(IF($A166="","",IF($J166="Approved",MAX(0,$L166-$H166),"")),"")</f>
        <v/>
      </c>
      <c r="N166" s="23" t="n"/>
      <c r="O166" s="51" t="n"/>
      <c r="P166" s="23" t="n"/>
      <c r="Q166" s="25" t="n"/>
      <c r="R166" s="28" t="n"/>
      <c r="S166" s="52" t="n"/>
      <c r="T166" s="52" t="n"/>
      <c r="U166" s="23" t="n"/>
      <c r="V166" s="30" t="n"/>
      <c r="W166" s="52" t="n"/>
      <c r="X166" s="53">
        <f>IFERROR(IF($A166="","",MAX(0,$R166*$S166-$T166)),"")</f>
        <v/>
      </c>
      <c r="Y166" s="53">
        <f>IFERROR(IF($A166="","",IF($U166="Yes",$X166*$V166,0)),"")</f>
        <v/>
      </c>
      <c r="Z166" s="53">
        <f>IFERROR(IF($A166="","",$X166+$Y166+$W166),"")</f>
        <v/>
      </c>
      <c r="AA166" s="28" t="n"/>
      <c r="AB166" s="51" t="n"/>
      <c r="AC166" s="24">
        <f>IFERROR(IF($A166="","",IF($N166="Canceled","Canceled",IF($AA166=0,"Not Received",IF($AA166&lt;$R166,"Partially Received",IF($AA166=$R166,"Fully Received","Over Received"))))),"")</f>
        <v/>
      </c>
      <c r="AD166" s="25" t="n"/>
      <c r="AE166" s="23" t="n"/>
      <c r="AF166" s="51" t="n"/>
      <c r="AG166" s="52" t="n"/>
      <c r="AH166" s="53">
        <f>IFERROR(IF($A166="","",IF($AG166="","",$AG166-$Z166)),"")</f>
        <v/>
      </c>
      <c r="AI166" s="32">
        <f>IFERROR(IF($A166="","",IF(OR($AG166="",$Z166=0),"",($AG166-$Z166)/$Z166)),"")</f>
        <v/>
      </c>
      <c r="AJ166" s="23" t="n"/>
      <c r="AK166" s="51" t="n"/>
      <c r="AL166" s="53">
        <f>IFERROR(IF($A166="","",IF(OR($N166="Canceled",$N166="Closed"),0,MAX($Z166-IF($AG166="",0,$AG166),0))),"")</f>
        <v/>
      </c>
      <c r="AM166" s="27">
        <f>IFERROR(IF($A166="","",IF(OR($N166="Closed",$N166="Canceled"),IF($O166="","",MAX(0,$O166-$H166)),MAX(0,TODAY()-$H166))),"")</f>
        <v/>
      </c>
      <c r="AN166" s="24">
        <f>IFERROR(IF($A166="","",IF($AA166&gt;$R166,"Over Received",IF(AND($J166="Approved",OR($K166="",$L166="")),"Approval Missing",IF(AND($J166="Pending",$AM166&gt;'Settings'!$B$7),"Approval Follow-Up",IF(AND($N166="Open",$I166&lt;&gt;"",$I166+'Settings'!$B$8&lt;TODAY(),$AA166&lt;$R166),"Delivery Overdue",IF(AND($AG166&lt;&gt;"",OR(ABS($AH166)&gt;'Settings'!$B$9,ABS($AI166)&gt;'Settings'!$B$10)),"Invoice Variance",IF(AND($N166="Open",$AM166&gt;'Settings'!$B$11),"Aging Open PO",""))))))),"")</f>
        <v/>
      </c>
      <c r="AO166" s="25" t="n"/>
      <c r="AP166" s="24">
        <f>IFERROR(IF(AND($AN166&lt;&gt;"",$N166&lt;&gt;"Closed",$N166&lt;&gt;"Canceled",OR('Dashboard'!$B$4="All",$B166='Dashboard'!$B$4),OR('Dashboard'!$D$4="All",$C166='Dashboard'!$D$4)),COUNTIFS($AN$6:$AN166,"&lt;&gt;",$N$6:$N166,"&lt;&gt;Closed",$N$6:$N166,"&lt;&gt;Canceled",$B$6:$B166,IF('Dashboard'!$B$4="All","&lt;&gt;",'Dashboard'!$B$4),$C$6:$C166,IF('Dashboard'!$D$4="All","&lt;&gt;",'Dashboard'!$D$4)),""),"")</f>
        <v/>
      </c>
    </row>
    <row r="167">
      <c r="A167" s="23" t="n"/>
      <c r="B167" s="23" t="n"/>
      <c r="C167" s="23" t="n"/>
      <c r="D167" s="23" t="n"/>
      <c r="E167" s="23" t="n"/>
      <c r="F167" s="24">
        <f>IFERROR(IF($E167="","",VLOOKUP($E167,'Settings'!$G$16:$M$115,2,0)),"")</f>
        <v/>
      </c>
      <c r="G167" s="25" t="n"/>
      <c r="H167" s="51" t="n"/>
      <c r="I167" s="51" t="n"/>
      <c r="J167" s="23" t="n"/>
      <c r="K167" s="23" t="n"/>
      <c r="L167" s="51" t="n"/>
      <c r="M167" s="27">
        <f>IFERROR(IF($A167="","",IF($J167="Approved",MAX(0,$L167-$H167),"")),"")</f>
        <v/>
      </c>
      <c r="N167" s="23" t="n"/>
      <c r="O167" s="51" t="n"/>
      <c r="P167" s="23" t="n"/>
      <c r="Q167" s="25" t="n"/>
      <c r="R167" s="28" t="n"/>
      <c r="S167" s="52" t="n"/>
      <c r="T167" s="52" t="n"/>
      <c r="U167" s="23" t="n"/>
      <c r="V167" s="30" t="n"/>
      <c r="W167" s="52" t="n"/>
      <c r="X167" s="53">
        <f>IFERROR(IF($A167="","",MAX(0,$R167*$S167-$T167)),"")</f>
        <v/>
      </c>
      <c r="Y167" s="53">
        <f>IFERROR(IF($A167="","",IF($U167="Yes",$X167*$V167,0)),"")</f>
        <v/>
      </c>
      <c r="Z167" s="53">
        <f>IFERROR(IF($A167="","",$X167+$Y167+$W167),"")</f>
        <v/>
      </c>
      <c r="AA167" s="28" t="n"/>
      <c r="AB167" s="51" t="n"/>
      <c r="AC167" s="24">
        <f>IFERROR(IF($A167="","",IF($N167="Canceled","Canceled",IF($AA167=0,"Not Received",IF($AA167&lt;$R167,"Partially Received",IF($AA167=$R167,"Fully Received","Over Received"))))),"")</f>
        <v/>
      </c>
      <c r="AD167" s="25" t="n"/>
      <c r="AE167" s="23" t="n"/>
      <c r="AF167" s="51" t="n"/>
      <c r="AG167" s="52" t="n"/>
      <c r="AH167" s="53">
        <f>IFERROR(IF($A167="","",IF($AG167="","",$AG167-$Z167)),"")</f>
        <v/>
      </c>
      <c r="AI167" s="32">
        <f>IFERROR(IF($A167="","",IF(OR($AG167="",$Z167=0),"",($AG167-$Z167)/$Z167)),"")</f>
        <v/>
      </c>
      <c r="AJ167" s="23" t="n"/>
      <c r="AK167" s="51" t="n"/>
      <c r="AL167" s="53">
        <f>IFERROR(IF($A167="","",IF(OR($N167="Canceled",$N167="Closed"),0,MAX($Z167-IF($AG167="",0,$AG167),0))),"")</f>
        <v/>
      </c>
      <c r="AM167" s="27">
        <f>IFERROR(IF($A167="","",IF(OR($N167="Closed",$N167="Canceled"),IF($O167="","",MAX(0,$O167-$H167)),MAX(0,TODAY()-$H167))),"")</f>
        <v/>
      </c>
      <c r="AN167" s="24">
        <f>IFERROR(IF($A167="","",IF($AA167&gt;$R167,"Over Received",IF(AND($J167="Approved",OR($K167="",$L167="")),"Approval Missing",IF(AND($J167="Pending",$AM167&gt;'Settings'!$B$7),"Approval Follow-Up",IF(AND($N167="Open",$I167&lt;&gt;"",$I167+'Settings'!$B$8&lt;TODAY(),$AA167&lt;$R167),"Delivery Overdue",IF(AND($AG167&lt;&gt;"",OR(ABS($AH167)&gt;'Settings'!$B$9,ABS($AI167)&gt;'Settings'!$B$10)),"Invoice Variance",IF(AND($N167="Open",$AM167&gt;'Settings'!$B$11),"Aging Open PO",""))))))),"")</f>
        <v/>
      </c>
      <c r="AO167" s="25" t="n"/>
      <c r="AP167" s="24">
        <f>IFERROR(IF(AND($AN167&lt;&gt;"",$N167&lt;&gt;"Closed",$N167&lt;&gt;"Canceled",OR('Dashboard'!$B$4="All",$B167='Dashboard'!$B$4),OR('Dashboard'!$D$4="All",$C167='Dashboard'!$D$4)),COUNTIFS($AN$6:$AN167,"&lt;&gt;",$N$6:$N167,"&lt;&gt;Closed",$N$6:$N167,"&lt;&gt;Canceled",$B$6:$B167,IF('Dashboard'!$B$4="All","&lt;&gt;",'Dashboard'!$B$4),$C$6:$C167,IF('Dashboard'!$D$4="All","&lt;&gt;",'Dashboard'!$D$4)),""),"")</f>
        <v/>
      </c>
    </row>
    <row r="168">
      <c r="A168" s="23" t="n"/>
      <c r="B168" s="23" t="n"/>
      <c r="C168" s="23" t="n"/>
      <c r="D168" s="23" t="n"/>
      <c r="E168" s="23" t="n"/>
      <c r="F168" s="24">
        <f>IFERROR(IF($E168="","",VLOOKUP($E168,'Settings'!$G$16:$M$115,2,0)),"")</f>
        <v/>
      </c>
      <c r="G168" s="25" t="n"/>
      <c r="H168" s="51" t="n"/>
      <c r="I168" s="51" t="n"/>
      <c r="J168" s="23" t="n"/>
      <c r="K168" s="23" t="n"/>
      <c r="L168" s="51" t="n"/>
      <c r="M168" s="27">
        <f>IFERROR(IF($A168="","",IF($J168="Approved",MAX(0,$L168-$H168),"")),"")</f>
        <v/>
      </c>
      <c r="N168" s="23" t="n"/>
      <c r="O168" s="51" t="n"/>
      <c r="P168" s="23" t="n"/>
      <c r="Q168" s="25" t="n"/>
      <c r="R168" s="28" t="n"/>
      <c r="S168" s="52" t="n"/>
      <c r="T168" s="52" t="n"/>
      <c r="U168" s="23" t="n"/>
      <c r="V168" s="30" t="n"/>
      <c r="W168" s="52" t="n"/>
      <c r="X168" s="53">
        <f>IFERROR(IF($A168="","",MAX(0,$R168*$S168-$T168)),"")</f>
        <v/>
      </c>
      <c r="Y168" s="53">
        <f>IFERROR(IF($A168="","",IF($U168="Yes",$X168*$V168,0)),"")</f>
        <v/>
      </c>
      <c r="Z168" s="53">
        <f>IFERROR(IF($A168="","",$X168+$Y168+$W168),"")</f>
        <v/>
      </c>
      <c r="AA168" s="28" t="n"/>
      <c r="AB168" s="51" t="n"/>
      <c r="AC168" s="24">
        <f>IFERROR(IF($A168="","",IF($N168="Canceled","Canceled",IF($AA168=0,"Not Received",IF($AA168&lt;$R168,"Partially Received",IF($AA168=$R168,"Fully Received","Over Received"))))),"")</f>
        <v/>
      </c>
      <c r="AD168" s="25" t="n"/>
      <c r="AE168" s="23" t="n"/>
      <c r="AF168" s="51" t="n"/>
      <c r="AG168" s="52" t="n"/>
      <c r="AH168" s="53">
        <f>IFERROR(IF($A168="","",IF($AG168="","",$AG168-$Z168)),"")</f>
        <v/>
      </c>
      <c r="AI168" s="32">
        <f>IFERROR(IF($A168="","",IF(OR($AG168="",$Z168=0),"",($AG168-$Z168)/$Z168)),"")</f>
        <v/>
      </c>
      <c r="AJ168" s="23" t="n"/>
      <c r="AK168" s="51" t="n"/>
      <c r="AL168" s="53">
        <f>IFERROR(IF($A168="","",IF(OR($N168="Canceled",$N168="Closed"),0,MAX($Z168-IF($AG168="",0,$AG168),0))),"")</f>
        <v/>
      </c>
      <c r="AM168" s="27">
        <f>IFERROR(IF($A168="","",IF(OR($N168="Closed",$N168="Canceled"),IF($O168="","",MAX(0,$O168-$H168)),MAX(0,TODAY()-$H168))),"")</f>
        <v/>
      </c>
      <c r="AN168" s="24">
        <f>IFERROR(IF($A168="","",IF($AA168&gt;$R168,"Over Received",IF(AND($J168="Approved",OR($K168="",$L168="")),"Approval Missing",IF(AND($J168="Pending",$AM168&gt;'Settings'!$B$7),"Approval Follow-Up",IF(AND($N168="Open",$I168&lt;&gt;"",$I168+'Settings'!$B$8&lt;TODAY(),$AA168&lt;$R168),"Delivery Overdue",IF(AND($AG168&lt;&gt;"",OR(ABS($AH168)&gt;'Settings'!$B$9,ABS($AI168)&gt;'Settings'!$B$10)),"Invoice Variance",IF(AND($N168="Open",$AM168&gt;'Settings'!$B$11),"Aging Open PO",""))))))),"")</f>
        <v/>
      </c>
      <c r="AO168" s="25" t="n"/>
      <c r="AP168" s="24">
        <f>IFERROR(IF(AND($AN168&lt;&gt;"",$N168&lt;&gt;"Closed",$N168&lt;&gt;"Canceled",OR('Dashboard'!$B$4="All",$B168='Dashboard'!$B$4),OR('Dashboard'!$D$4="All",$C168='Dashboard'!$D$4)),COUNTIFS($AN$6:$AN168,"&lt;&gt;",$N$6:$N168,"&lt;&gt;Closed",$N$6:$N168,"&lt;&gt;Canceled",$B$6:$B168,IF('Dashboard'!$B$4="All","&lt;&gt;",'Dashboard'!$B$4),$C$6:$C168,IF('Dashboard'!$D$4="All","&lt;&gt;",'Dashboard'!$D$4)),""),"")</f>
        <v/>
      </c>
    </row>
    <row r="169">
      <c r="A169" s="23" t="n"/>
      <c r="B169" s="23" t="n"/>
      <c r="C169" s="23" t="n"/>
      <c r="D169" s="23" t="n"/>
      <c r="E169" s="23" t="n"/>
      <c r="F169" s="24">
        <f>IFERROR(IF($E169="","",VLOOKUP($E169,'Settings'!$G$16:$M$115,2,0)),"")</f>
        <v/>
      </c>
      <c r="G169" s="25" t="n"/>
      <c r="H169" s="51" t="n"/>
      <c r="I169" s="51" t="n"/>
      <c r="J169" s="23" t="n"/>
      <c r="K169" s="23" t="n"/>
      <c r="L169" s="51" t="n"/>
      <c r="M169" s="27">
        <f>IFERROR(IF($A169="","",IF($J169="Approved",MAX(0,$L169-$H169),"")),"")</f>
        <v/>
      </c>
      <c r="N169" s="23" t="n"/>
      <c r="O169" s="51" t="n"/>
      <c r="P169" s="23" t="n"/>
      <c r="Q169" s="25" t="n"/>
      <c r="R169" s="28" t="n"/>
      <c r="S169" s="52" t="n"/>
      <c r="T169" s="52" t="n"/>
      <c r="U169" s="23" t="n"/>
      <c r="V169" s="30" t="n"/>
      <c r="W169" s="52" t="n"/>
      <c r="X169" s="53">
        <f>IFERROR(IF($A169="","",MAX(0,$R169*$S169-$T169)),"")</f>
        <v/>
      </c>
      <c r="Y169" s="53">
        <f>IFERROR(IF($A169="","",IF($U169="Yes",$X169*$V169,0)),"")</f>
        <v/>
      </c>
      <c r="Z169" s="53">
        <f>IFERROR(IF($A169="","",$X169+$Y169+$W169),"")</f>
        <v/>
      </c>
      <c r="AA169" s="28" t="n"/>
      <c r="AB169" s="51" t="n"/>
      <c r="AC169" s="24">
        <f>IFERROR(IF($A169="","",IF($N169="Canceled","Canceled",IF($AA169=0,"Not Received",IF($AA169&lt;$R169,"Partially Received",IF($AA169=$R169,"Fully Received","Over Received"))))),"")</f>
        <v/>
      </c>
      <c r="AD169" s="25" t="n"/>
      <c r="AE169" s="23" t="n"/>
      <c r="AF169" s="51" t="n"/>
      <c r="AG169" s="52" t="n"/>
      <c r="AH169" s="53">
        <f>IFERROR(IF($A169="","",IF($AG169="","",$AG169-$Z169)),"")</f>
        <v/>
      </c>
      <c r="AI169" s="32">
        <f>IFERROR(IF($A169="","",IF(OR($AG169="",$Z169=0),"",($AG169-$Z169)/$Z169)),"")</f>
        <v/>
      </c>
      <c r="AJ169" s="23" t="n"/>
      <c r="AK169" s="51" t="n"/>
      <c r="AL169" s="53">
        <f>IFERROR(IF($A169="","",IF(OR($N169="Canceled",$N169="Closed"),0,MAX($Z169-IF($AG169="",0,$AG169),0))),"")</f>
        <v/>
      </c>
      <c r="AM169" s="27">
        <f>IFERROR(IF($A169="","",IF(OR($N169="Closed",$N169="Canceled"),IF($O169="","",MAX(0,$O169-$H169)),MAX(0,TODAY()-$H169))),"")</f>
        <v/>
      </c>
      <c r="AN169" s="24">
        <f>IFERROR(IF($A169="","",IF($AA169&gt;$R169,"Over Received",IF(AND($J169="Approved",OR($K169="",$L169="")),"Approval Missing",IF(AND($J169="Pending",$AM169&gt;'Settings'!$B$7),"Approval Follow-Up",IF(AND($N169="Open",$I169&lt;&gt;"",$I169+'Settings'!$B$8&lt;TODAY(),$AA169&lt;$R169),"Delivery Overdue",IF(AND($AG169&lt;&gt;"",OR(ABS($AH169)&gt;'Settings'!$B$9,ABS($AI169)&gt;'Settings'!$B$10)),"Invoice Variance",IF(AND($N169="Open",$AM169&gt;'Settings'!$B$11),"Aging Open PO",""))))))),"")</f>
        <v/>
      </c>
      <c r="AO169" s="25" t="n"/>
      <c r="AP169" s="24">
        <f>IFERROR(IF(AND($AN169&lt;&gt;"",$N169&lt;&gt;"Closed",$N169&lt;&gt;"Canceled",OR('Dashboard'!$B$4="All",$B169='Dashboard'!$B$4),OR('Dashboard'!$D$4="All",$C169='Dashboard'!$D$4)),COUNTIFS($AN$6:$AN169,"&lt;&gt;",$N$6:$N169,"&lt;&gt;Closed",$N$6:$N169,"&lt;&gt;Canceled",$B$6:$B169,IF('Dashboard'!$B$4="All","&lt;&gt;",'Dashboard'!$B$4),$C$6:$C169,IF('Dashboard'!$D$4="All","&lt;&gt;",'Dashboard'!$D$4)),""),"")</f>
        <v/>
      </c>
    </row>
    <row r="170">
      <c r="A170" s="23" t="n"/>
      <c r="B170" s="23" t="n"/>
      <c r="C170" s="23" t="n"/>
      <c r="D170" s="23" t="n"/>
      <c r="E170" s="23" t="n"/>
      <c r="F170" s="24">
        <f>IFERROR(IF($E170="","",VLOOKUP($E170,'Settings'!$G$16:$M$115,2,0)),"")</f>
        <v/>
      </c>
      <c r="G170" s="25" t="n"/>
      <c r="H170" s="51" t="n"/>
      <c r="I170" s="51" t="n"/>
      <c r="J170" s="23" t="n"/>
      <c r="K170" s="23" t="n"/>
      <c r="L170" s="51" t="n"/>
      <c r="M170" s="27">
        <f>IFERROR(IF($A170="","",IF($J170="Approved",MAX(0,$L170-$H170),"")),"")</f>
        <v/>
      </c>
      <c r="N170" s="23" t="n"/>
      <c r="O170" s="51" t="n"/>
      <c r="P170" s="23" t="n"/>
      <c r="Q170" s="25" t="n"/>
      <c r="R170" s="28" t="n"/>
      <c r="S170" s="52" t="n"/>
      <c r="T170" s="52" t="n"/>
      <c r="U170" s="23" t="n"/>
      <c r="V170" s="30" t="n"/>
      <c r="W170" s="52" t="n"/>
      <c r="X170" s="53">
        <f>IFERROR(IF($A170="","",MAX(0,$R170*$S170-$T170)),"")</f>
        <v/>
      </c>
      <c r="Y170" s="53">
        <f>IFERROR(IF($A170="","",IF($U170="Yes",$X170*$V170,0)),"")</f>
        <v/>
      </c>
      <c r="Z170" s="53">
        <f>IFERROR(IF($A170="","",$X170+$Y170+$W170),"")</f>
        <v/>
      </c>
      <c r="AA170" s="28" t="n"/>
      <c r="AB170" s="51" t="n"/>
      <c r="AC170" s="24">
        <f>IFERROR(IF($A170="","",IF($N170="Canceled","Canceled",IF($AA170=0,"Not Received",IF($AA170&lt;$R170,"Partially Received",IF($AA170=$R170,"Fully Received","Over Received"))))),"")</f>
        <v/>
      </c>
      <c r="AD170" s="25" t="n"/>
      <c r="AE170" s="23" t="n"/>
      <c r="AF170" s="51" t="n"/>
      <c r="AG170" s="52" t="n"/>
      <c r="AH170" s="53">
        <f>IFERROR(IF($A170="","",IF($AG170="","",$AG170-$Z170)),"")</f>
        <v/>
      </c>
      <c r="AI170" s="32">
        <f>IFERROR(IF($A170="","",IF(OR($AG170="",$Z170=0),"",($AG170-$Z170)/$Z170)),"")</f>
        <v/>
      </c>
      <c r="AJ170" s="23" t="n"/>
      <c r="AK170" s="51" t="n"/>
      <c r="AL170" s="53">
        <f>IFERROR(IF($A170="","",IF(OR($N170="Canceled",$N170="Closed"),0,MAX($Z170-IF($AG170="",0,$AG170),0))),"")</f>
        <v/>
      </c>
      <c r="AM170" s="27">
        <f>IFERROR(IF($A170="","",IF(OR($N170="Closed",$N170="Canceled"),IF($O170="","",MAX(0,$O170-$H170)),MAX(0,TODAY()-$H170))),"")</f>
        <v/>
      </c>
      <c r="AN170" s="24">
        <f>IFERROR(IF($A170="","",IF($AA170&gt;$R170,"Over Received",IF(AND($J170="Approved",OR($K170="",$L170="")),"Approval Missing",IF(AND($J170="Pending",$AM170&gt;'Settings'!$B$7),"Approval Follow-Up",IF(AND($N170="Open",$I170&lt;&gt;"",$I170+'Settings'!$B$8&lt;TODAY(),$AA170&lt;$R170),"Delivery Overdue",IF(AND($AG170&lt;&gt;"",OR(ABS($AH170)&gt;'Settings'!$B$9,ABS($AI170)&gt;'Settings'!$B$10)),"Invoice Variance",IF(AND($N170="Open",$AM170&gt;'Settings'!$B$11),"Aging Open PO",""))))))),"")</f>
        <v/>
      </c>
      <c r="AO170" s="25" t="n"/>
      <c r="AP170" s="24">
        <f>IFERROR(IF(AND($AN170&lt;&gt;"",$N170&lt;&gt;"Closed",$N170&lt;&gt;"Canceled",OR('Dashboard'!$B$4="All",$B170='Dashboard'!$B$4),OR('Dashboard'!$D$4="All",$C170='Dashboard'!$D$4)),COUNTIFS($AN$6:$AN170,"&lt;&gt;",$N$6:$N170,"&lt;&gt;Closed",$N$6:$N170,"&lt;&gt;Canceled",$B$6:$B170,IF('Dashboard'!$B$4="All","&lt;&gt;",'Dashboard'!$B$4),$C$6:$C170,IF('Dashboard'!$D$4="All","&lt;&gt;",'Dashboard'!$D$4)),""),"")</f>
        <v/>
      </c>
    </row>
    <row r="171">
      <c r="A171" s="23" t="n"/>
      <c r="B171" s="23" t="n"/>
      <c r="C171" s="23" t="n"/>
      <c r="D171" s="23" t="n"/>
      <c r="E171" s="23" t="n"/>
      <c r="F171" s="24">
        <f>IFERROR(IF($E171="","",VLOOKUP($E171,'Settings'!$G$16:$M$115,2,0)),"")</f>
        <v/>
      </c>
      <c r="G171" s="25" t="n"/>
      <c r="H171" s="51" t="n"/>
      <c r="I171" s="51" t="n"/>
      <c r="J171" s="23" t="n"/>
      <c r="K171" s="23" t="n"/>
      <c r="L171" s="51" t="n"/>
      <c r="M171" s="27">
        <f>IFERROR(IF($A171="","",IF($J171="Approved",MAX(0,$L171-$H171),"")),"")</f>
        <v/>
      </c>
      <c r="N171" s="23" t="n"/>
      <c r="O171" s="51" t="n"/>
      <c r="P171" s="23" t="n"/>
      <c r="Q171" s="25" t="n"/>
      <c r="R171" s="28" t="n"/>
      <c r="S171" s="52" t="n"/>
      <c r="T171" s="52" t="n"/>
      <c r="U171" s="23" t="n"/>
      <c r="V171" s="30" t="n"/>
      <c r="W171" s="52" t="n"/>
      <c r="X171" s="53">
        <f>IFERROR(IF($A171="","",MAX(0,$R171*$S171-$T171)),"")</f>
        <v/>
      </c>
      <c r="Y171" s="53">
        <f>IFERROR(IF($A171="","",IF($U171="Yes",$X171*$V171,0)),"")</f>
        <v/>
      </c>
      <c r="Z171" s="53">
        <f>IFERROR(IF($A171="","",$X171+$Y171+$W171),"")</f>
        <v/>
      </c>
      <c r="AA171" s="28" t="n"/>
      <c r="AB171" s="51" t="n"/>
      <c r="AC171" s="24">
        <f>IFERROR(IF($A171="","",IF($N171="Canceled","Canceled",IF($AA171=0,"Not Received",IF($AA171&lt;$R171,"Partially Received",IF($AA171=$R171,"Fully Received","Over Received"))))),"")</f>
        <v/>
      </c>
      <c r="AD171" s="25" t="n"/>
      <c r="AE171" s="23" t="n"/>
      <c r="AF171" s="51" t="n"/>
      <c r="AG171" s="52" t="n"/>
      <c r="AH171" s="53">
        <f>IFERROR(IF($A171="","",IF($AG171="","",$AG171-$Z171)),"")</f>
        <v/>
      </c>
      <c r="AI171" s="32">
        <f>IFERROR(IF($A171="","",IF(OR($AG171="",$Z171=0),"",($AG171-$Z171)/$Z171)),"")</f>
        <v/>
      </c>
      <c r="AJ171" s="23" t="n"/>
      <c r="AK171" s="51" t="n"/>
      <c r="AL171" s="53">
        <f>IFERROR(IF($A171="","",IF(OR($N171="Canceled",$N171="Closed"),0,MAX($Z171-IF($AG171="",0,$AG171),0))),"")</f>
        <v/>
      </c>
      <c r="AM171" s="27">
        <f>IFERROR(IF($A171="","",IF(OR($N171="Closed",$N171="Canceled"),IF($O171="","",MAX(0,$O171-$H171)),MAX(0,TODAY()-$H171))),"")</f>
        <v/>
      </c>
      <c r="AN171" s="24">
        <f>IFERROR(IF($A171="","",IF($AA171&gt;$R171,"Over Received",IF(AND($J171="Approved",OR($K171="",$L171="")),"Approval Missing",IF(AND($J171="Pending",$AM171&gt;'Settings'!$B$7),"Approval Follow-Up",IF(AND($N171="Open",$I171&lt;&gt;"",$I171+'Settings'!$B$8&lt;TODAY(),$AA171&lt;$R171),"Delivery Overdue",IF(AND($AG171&lt;&gt;"",OR(ABS($AH171)&gt;'Settings'!$B$9,ABS($AI171)&gt;'Settings'!$B$10)),"Invoice Variance",IF(AND($N171="Open",$AM171&gt;'Settings'!$B$11),"Aging Open PO",""))))))),"")</f>
        <v/>
      </c>
      <c r="AO171" s="25" t="n"/>
      <c r="AP171" s="24">
        <f>IFERROR(IF(AND($AN171&lt;&gt;"",$N171&lt;&gt;"Closed",$N171&lt;&gt;"Canceled",OR('Dashboard'!$B$4="All",$B171='Dashboard'!$B$4),OR('Dashboard'!$D$4="All",$C171='Dashboard'!$D$4)),COUNTIFS($AN$6:$AN171,"&lt;&gt;",$N$6:$N171,"&lt;&gt;Closed",$N$6:$N171,"&lt;&gt;Canceled",$B$6:$B171,IF('Dashboard'!$B$4="All","&lt;&gt;",'Dashboard'!$B$4),$C$6:$C171,IF('Dashboard'!$D$4="All","&lt;&gt;",'Dashboard'!$D$4)),""),"")</f>
        <v/>
      </c>
    </row>
    <row r="172">
      <c r="A172" s="23" t="n"/>
      <c r="B172" s="23" t="n"/>
      <c r="C172" s="23" t="n"/>
      <c r="D172" s="23" t="n"/>
      <c r="E172" s="23" t="n"/>
      <c r="F172" s="24">
        <f>IFERROR(IF($E172="","",VLOOKUP($E172,'Settings'!$G$16:$M$115,2,0)),"")</f>
        <v/>
      </c>
      <c r="G172" s="25" t="n"/>
      <c r="H172" s="51" t="n"/>
      <c r="I172" s="51" t="n"/>
      <c r="J172" s="23" t="n"/>
      <c r="K172" s="23" t="n"/>
      <c r="L172" s="51" t="n"/>
      <c r="M172" s="27">
        <f>IFERROR(IF($A172="","",IF($J172="Approved",MAX(0,$L172-$H172),"")),"")</f>
        <v/>
      </c>
      <c r="N172" s="23" t="n"/>
      <c r="O172" s="51" t="n"/>
      <c r="P172" s="23" t="n"/>
      <c r="Q172" s="25" t="n"/>
      <c r="R172" s="28" t="n"/>
      <c r="S172" s="52" t="n"/>
      <c r="T172" s="52" t="n"/>
      <c r="U172" s="23" t="n"/>
      <c r="V172" s="30" t="n"/>
      <c r="W172" s="52" t="n"/>
      <c r="X172" s="53">
        <f>IFERROR(IF($A172="","",MAX(0,$R172*$S172-$T172)),"")</f>
        <v/>
      </c>
      <c r="Y172" s="53">
        <f>IFERROR(IF($A172="","",IF($U172="Yes",$X172*$V172,0)),"")</f>
        <v/>
      </c>
      <c r="Z172" s="53">
        <f>IFERROR(IF($A172="","",$X172+$Y172+$W172),"")</f>
        <v/>
      </c>
      <c r="AA172" s="28" t="n"/>
      <c r="AB172" s="51" t="n"/>
      <c r="AC172" s="24">
        <f>IFERROR(IF($A172="","",IF($N172="Canceled","Canceled",IF($AA172=0,"Not Received",IF($AA172&lt;$R172,"Partially Received",IF($AA172=$R172,"Fully Received","Over Received"))))),"")</f>
        <v/>
      </c>
      <c r="AD172" s="25" t="n"/>
      <c r="AE172" s="23" t="n"/>
      <c r="AF172" s="51" t="n"/>
      <c r="AG172" s="52" t="n"/>
      <c r="AH172" s="53">
        <f>IFERROR(IF($A172="","",IF($AG172="","",$AG172-$Z172)),"")</f>
        <v/>
      </c>
      <c r="AI172" s="32">
        <f>IFERROR(IF($A172="","",IF(OR($AG172="",$Z172=0),"",($AG172-$Z172)/$Z172)),"")</f>
        <v/>
      </c>
      <c r="AJ172" s="23" t="n"/>
      <c r="AK172" s="51" t="n"/>
      <c r="AL172" s="53">
        <f>IFERROR(IF($A172="","",IF(OR($N172="Canceled",$N172="Closed"),0,MAX($Z172-IF($AG172="",0,$AG172),0))),"")</f>
        <v/>
      </c>
      <c r="AM172" s="27">
        <f>IFERROR(IF($A172="","",IF(OR($N172="Closed",$N172="Canceled"),IF($O172="","",MAX(0,$O172-$H172)),MAX(0,TODAY()-$H172))),"")</f>
        <v/>
      </c>
      <c r="AN172" s="24">
        <f>IFERROR(IF($A172="","",IF($AA172&gt;$R172,"Over Received",IF(AND($J172="Approved",OR($K172="",$L172="")),"Approval Missing",IF(AND($J172="Pending",$AM172&gt;'Settings'!$B$7),"Approval Follow-Up",IF(AND($N172="Open",$I172&lt;&gt;"",$I172+'Settings'!$B$8&lt;TODAY(),$AA172&lt;$R172),"Delivery Overdue",IF(AND($AG172&lt;&gt;"",OR(ABS($AH172)&gt;'Settings'!$B$9,ABS($AI172)&gt;'Settings'!$B$10)),"Invoice Variance",IF(AND($N172="Open",$AM172&gt;'Settings'!$B$11),"Aging Open PO",""))))))),"")</f>
        <v/>
      </c>
      <c r="AO172" s="25" t="n"/>
      <c r="AP172" s="24">
        <f>IFERROR(IF(AND($AN172&lt;&gt;"",$N172&lt;&gt;"Closed",$N172&lt;&gt;"Canceled",OR('Dashboard'!$B$4="All",$B172='Dashboard'!$B$4),OR('Dashboard'!$D$4="All",$C172='Dashboard'!$D$4)),COUNTIFS($AN$6:$AN172,"&lt;&gt;",$N$6:$N172,"&lt;&gt;Closed",$N$6:$N172,"&lt;&gt;Canceled",$B$6:$B172,IF('Dashboard'!$B$4="All","&lt;&gt;",'Dashboard'!$B$4),$C$6:$C172,IF('Dashboard'!$D$4="All","&lt;&gt;",'Dashboard'!$D$4)),""),"")</f>
        <v/>
      </c>
    </row>
    <row r="173">
      <c r="A173" s="23" t="n"/>
      <c r="B173" s="23" t="n"/>
      <c r="C173" s="23" t="n"/>
      <c r="D173" s="23" t="n"/>
      <c r="E173" s="23" t="n"/>
      <c r="F173" s="24">
        <f>IFERROR(IF($E173="","",VLOOKUP($E173,'Settings'!$G$16:$M$115,2,0)),"")</f>
        <v/>
      </c>
      <c r="G173" s="25" t="n"/>
      <c r="H173" s="51" t="n"/>
      <c r="I173" s="51" t="n"/>
      <c r="J173" s="23" t="n"/>
      <c r="K173" s="23" t="n"/>
      <c r="L173" s="51" t="n"/>
      <c r="M173" s="27">
        <f>IFERROR(IF($A173="","",IF($J173="Approved",MAX(0,$L173-$H173),"")),"")</f>
        <v/>
      </c>
      <c r="N173" s="23" t="n"/>
      <c r="O173" s="51" t="n"/>
      <c r="P173" s="23" t="n"/>
      <c r="Q173" s="25" t="n"/>
      <c r="R173" s="28" t="n"/>
      <c r="S173" s="52" t="n"/>
      <c r="T173" s="52" t="n"/>
      <c r="U173" s="23" t="n"/>
      <c r="V173" s="30" t="n"/>
      <c r="W173" s="52" t="n"/>
      <c r="X173" s="53">
        <f>IFERROR(IF($A173="","",MAX(0,$R173*$S173-$T173)),"")</f>
        <v/>
      </c>
      <c r="Y173" s="53">
        <f>IFERROR(IF($A173="","",IF($U173="Yes",$X173*$V173,0)),"")</f>
        <v/>
      </c>
      <c r="Z173" s="53">
        <f>IFERROR(IF($A173="","",$X173+$Y173+$W173),"")</f>
        <v/>
      </c>
      <c r="AA173" s="28" t="n"/>
      <c r="AB173" s="51" t="n"/>
      <c r="AC173" s="24">
        <f>IFERROR(IF($A173="","",IF($N173="Canceled","Canceled",IF($AA173=0,"Not Received",IF($AA173&lt;$R173,"Partially Received",IF($AA173=$R173,"Fully Received","Over Received"))))),"")</f>
        <v/>
      </c>
      <c r="AD173" s="25" t="n"/>
      <c r="AE173" s="23" t="n"/>
      <c r="AF173" s="51" t="n"/>
      <c r="AG173" s="52" t="n"/>
      <c r="AH173" s="53">
        <f>IFERROR(IF($A173="","",IF($AG173="","",$AG173-$Z173)),"")</f>
        <v/>
      </c>
      <c r="AI173" s="32">
        <f>IFERROR(IF($A173="","",IF(OR($AG173="",$Z173=0),"",($AG173-$Z173)/$Z173)),"")</f>
        <v/>
      </c>
      <c r="AJ173" s="23" t="n"/>
      <c r="AK173" s="51" t="n"/>
      <c r="AL173" s="53">
        <f>IFERROR(IF($A173="","",IF(OR($N173="Canceled",$N173="Closed"),0,MAX($Z173-IF($AG173="",0,$AG173),0))),"")</f>
        <v/>
      </c>
      <c r="AM173" s="27">
        <f>IFERROR(IF($A173="","",IF(OR($N173="Closed",$N173="Canceled"),IF($O173="","",MAX(0,$O173-$H173)),MAX(0,TODAY()-$H173))),"")</f>
        <v/>
      </c>
      <c r="AN173" s="24">
        <f>IFERROR(IF($A173="","",IF($AA173&gt;$R173,"Over Received",IF(AND($J173="Approved",OR($K173="",$L173="")),"Approval Missing",IF(AND($J173="Pending",$AM173&gt;'Settings'!$B$7),"Approval Follow-Up",IF(AND($N173="Open",$I173&lt;&gt;"",$I173+'Settings'!$B$8&lt;TODAY(),$AA173&lt;$R173),"Delivery Overdue",IF(AND($AG173&lt;&gt;"",OR(ABS($AH173)&gt;'Settings'!$B$9,ABS($AI173)&gt;'Settings'!$B$10)),"Invoice Variance",IF(AND($N173="Open",$AM173&gt;'Settings'!$B$11),"Aging Open PO",""))))))),"")</f>
        <v/>
      </c>
      <c r="AO173" s="25" t="n"/>
      <c r="AP173" s="24">
        <f>IFERROR(IF(AND($AN173&lt;&gt;"",$N173&lt;&gt;"Closed",$N173&lt;&gt;"Canceled",OR('Dashboard'!$B$4="All",$B173='Dashboard'!$B$4),OR('Dashboard'!$D$4="All",$C173='Dashboard'!$D$4)),COUNTIFS($AN$6:$AN173,"&lt;&gt;",$N$6:$N173,"&lt;&gt;Closed",$N$6:$N173,"&lt;&gt;Canceled",$B$6:$B173,IF('Dashboard'!$B$4="All","&lt;&gt;",'Dashboard'!$B$4),$C$6:$C173,IF('Dashboard'!$D$4="All","&lt;&gt;",'Dashboard'!$D$4)),""),"")</f>
        <v/>
      </c>
    </row>
    <row r="174">
      <c r="A174" s="23" t="n"/>
      <c r="B174" s="23" t="n"/>
      <c r="C174" s="23" t="n"/>
      <c r="D174" s="23" t="n"/>
      <c r="E174" s="23" t="n"/>
      <c r="F174" s="24">
        <f>IFERROR(IF($E174="","",VLOOKUP($E174,'Settings'!$G$16:$M$115,2,0)),"")</f>
        <v/>
      </c>
      <c r="G174" s="25" t="n"/>
      <c r="H174" s="51" t="n"/>
      <c r="I174" s="51" t="n"/>
      <c r="J174" s="23" t="n"/>
      <c r="K174" s="23" t="n"/>
      <c r="L174" s="51" t="n"/>
      <c r="M174" s="27">
        <f>IFERROR(IF($A174="","",IF($J174="Approved",MAX(0,$L174-$H174),"")),"")</f>
        <v/>
      </c>
      <c r="N174" s="23" t="n"/>
      <c r="O174" s="51" t="n"/>
      <c r="P174" s="23" t="n"/>
      <c r="Q174" s="25" t="n"/>
      <c r="R174" s="28" t="n"/>
      <c r="S174" s="52" t="n"/>
      <c r="T174" s="52" t="n"/>
      <c r="U174" s="23" t="n"/>
      <c r="V174" s="30" t="n"/>
      <c r="W174" s="52" t="n"/>
      <c r="X174" s="53">
        <f>IFERROR(IF($A174="","",MAX(0,$R174*$S174-$T174)),"")</f>
        <v/>
      </c>
      <c r="Y174" s="53">
        <f>IFERROR(IF($A174="","",IF($U174="Yes",$X174*$V174,0)),"")</f>
        <v/>
      </c>
      <c r="Z174" s="53">
        <f>IFERROR(IF($A174="","",$X174+$Y174+$W174),"")</f>
        <v/>
      </c>
      <c r="AA174" s="28" t="n"/>
      <c r="AB174" s="51" t="n"/>
      <c r="AC174" s="24">
        <f>IFERROR(IF($A174="","",IF($N174="Canceled","Canceled",IF($AA174=0,"Not Received",IF($AA174&lt;$R174,"Partially Received",IF($AA174=$R174,"Fully Received","Over Received"))))),"")</f>
        <v/>
      </c>
      <c r="AD174" s="25" t="n"/>
      <c r="AE174" s="23" t="n"/>
      <c r="AF174" s="51" t="n"/>
      <c r="AG174" s="52" t="n"/>
      <c r="AH174" s="53">
        <f>IFERROR(IF($A174="","",IF($AG174="","",$AG174-$Z174)),"")</f>
        <v/>
      </c>
      <c r="AI174" s="32">
        <f>IFERROR(IF($A174="","",IF(OR($AG174="",$Z174=0),"",($AG174-$Z174)/$Z174)),"")</f>
        <v/>
      </c>
      <c r="AJ174" s="23" t="n"/>
      <c r="AK174" s="51" t="n"/>
      <c r="AL174" s="53">
        <f>IFERROR(IF($A174="","",IF(OR($N174="Canceled",$N174="Closed"),0,MAX($Z174-IF($AG174="",0,$AG174),0))),"")</f>
        <v/>
      </c>
      <c r="AM174" s="27">
        <f>IFERROR(IF($A174="","",IF(OR($N174="Closed",$N174="Canceled"),IF($O174="","",MAX(0,$O174-$H174)),MAX(0,TODAY()-$H174))),"")</f>
        <v/>
      </c>
      <c r="AN174" s="24">
        <f>IFERROR(IF($A174="","",IF($AA174&gt;$R174,"Over Received",IF(AND($J174="Approved",OR($K174="",$L174="")),"Approval Missing",IF(AND($J174="Pending",$AM174&gt;'Settings'!$B$7),"Approval Follow-Up",IF(AND($N174="Open",$I174&lt;&gt;"",$I174+'Settings'!$B$8&lt;TODAY(),$AA174&lt;$R174),"Delivery Overdue",IF(AND($AG174&lt;&gt;"",OR(ABS($AH174)&gt;'Settings'!$B$9,ABS($AI174)&gt;'Settings'!$B$10)),"Invoice Variance",IF(AND($N174="Open",$AM174&gt;'Settings'!$B$11),"Aging Open PO",""))))))),"")</f>
        <v/>
      </c>
      <c r="AO174" s="25" t="n"/>
      <c r="AP174" s="24">
        <f>IFERROR(IF(AND($AN174&lt;&gt;"",$N174&lt;&gt;"Closed",$N174&lt;&gt;"Canceled",OR('Dashboard'!$B$4="All",$B174='Dashboard'!$B$4),OR('Dashboard'!$D$4="All",$C174='Dashboard'!$D$4)),COUNTIFS($AN$6:$AN174,"&lt;&gt;",$N$6:$N174,"&lt;&gt;Closed",$N$6:$N174,"&lt;&gt;Canceled",$B$6:$B174,IF('Dashboard'!$B$4="All","&lt;&gt;",'Dashboard'!$B$4),$C$6:$C174,IF('Dashboard'!$D$4="All","&lt;&gt;",'Dashboard'!$D$4)),""),"")</f>
        <v/>
      </c>
    </row>
    <row r="175">
      <c r="A175" s="23" t="n"/>
      <c r="B175" s="23" t="n"/>
      <c r="C175" s="23" t="n"/>
      <c r="D175" s="23" t="n"/>
      <c r="E175" s="23" t="n"/>
      <c r="F175" s="24">
        <f>IFERROR(IF($E175="","",VLOOKUP($E175,'Settings'!$G$16:$M$115,2,0)),"")</f>
        <v/>
      </c>
      <c r="G175" s="25" t="n"/>
      <c r="H175" s="51" t="n"/>
      <c r="I175" s="51" t="n"/>
      <c r="J175" s="23" t="n"/>
      <c r="K175" s="23" t="n"/>
      <c r="L175" s="51" t="n"/>
      <c r="M175" s="27">
        <f>IFERROR(IF($A175="","",IF($J175="Approved",MAX(0,$L175-$H175),"")),"")</f>
        <v/>
      </c>
      <c r="N175" s="23" t="n"/>
      <c r="O175" s="51" t="n"/>
      <c r="P175" s="23" t="n"/>
      <c r="Q175" s="25" t="n"/>
      <c r="R175" s="28" t="n"/>
      <c r="S175" s="52" t="n"/>
      <c r="T175" s="52" t="n"/>
      <c r="U175" s="23" t="n"/>
      <c r="V175" s="30" t="n"/>
      <c r="W175" s="52" t="n"/>
      <c r="X175" s="53">
        <f>IFERROR(IF($A175="","",MAX(0,$R175*$S175-$T175)),"")</f>
        <v/>
      </c>
      <c r="Y175" s="53">
        <f>IFERROR(IF($A175="","",IF($U175="Yes",$X175*$V175,0)),"")</f>
        <v/>
      </c>
      <c r="Z175" s="53">
        <f>IFERROR(IF($A175="","",$X175+$Y175+$W175),"")</f>
        <v/>
      </c>
      <c r="AA175" s="28" t="n"/>
      <c r="AB175" s="51" t="n"/>
      <c r="AC175" s="24">
        <f>IFERROR(IF($A175="","",IF($N175="Canceled","Canceled",IF($AA175=0,"Not Received",IF($AA175&lt;$R175,"Partially Received",IF($AA175=$R175,"Fully Received","Over Received"))))),"")</f>
        <v/>
      </c>
      <c r="AD175" s="25" t="n"/>
      <c r="AE175" s="23" t="n"/>
      <c r="AF175" s="51" t="n"/>
      <c r="AG175" s="52" t="n"/>
      <c r="AH175" s="53">
        <f>IFERROR(IF($A175="","",IF($AG175="","",$AG175-$Z175)),"")</f>
        <v/>
      </c>
      <c r="AI175" s="32">
        <f>IFERROR(IF($A175="","",IF(OR($AG175="",$Z175=0),"",($AG175-$Z175)/$Z175)),"")</f>
        <v/>
      </c>
      <c r="AJ175" s="23" t="n"/>
      <c r="AK175" s="51" t="n"/>
      <c r="AL175" s="53">
        <f>IFERROR(IF($A175="","",IF(OR($N175="Canceled",$N175="Closed"),0,MAX($Z175-IF($AG175="",0,$AG175),0))),"")</f>
        <v/>
      </c>
      <c r="AM175" s="27">
        <f>IFERROR(IF($A175="","",IF(OR($N175="Closed",$N175="Canceled"),IF($O175="","",MAX(0,$O175-$H175)),MAX(0,TODAY()-$H175))),"")</f>
        <v/>
      </c>
      <c r="AN175" s="24">
        <f>IFERROR(IF($A175="","",IF($AA175&gt;$R175,"Over Received",IF(AND($J175="Approved",OR($K175="",$L175="")),"Approval Missing",IF(AND($J175="Pending",$AM175&gt;'Settings'!$B$7),"Approval Follow-Up",IF(AND($N175="Open",$I175&lt;&gt;"",$I175+'Settings'!$B$8&lt;TODAY(),$AA175&lt;$R175),"Delivery Overdue",IF(AND($AG175&lt;&gt;"",OR(ABS($AH175)&gt;'Settings'!$B$9,ABS($AI175)&gt;'Settings'!$B$10)),"Invoice Variance",IF(AND($N175="Open",$AM175&gt;'Settings'!$B$11),"Aging Open PO",""))))))),"")</f>
        <v/>
      </c>
      <c r="AO175" s="25" t="n"/>
      <c r="AP175" s="24">
        <f>IFERROR(IF(AND($AN175&lt;&gt;"",$N175&lt;&gt;"Closed",$N175&lt;&gt;"Canceled",OR('Dashboard'!$B$4="All",$B175='Dashboard'!$B$4),OR('Dashboard'!$D$4="All",$C175='Dashboard'!$D$4)),COUNTIFS($AN$6:$AN175,"&lt;&gt;",$N$6:$N175,"&lt;&gt;Closed",$N$6:$N175,"&lt;&gt;Canceled",$B$6:$B175,IF('Dashboard'!$B$4="All","&lt;&gt;",'Dashboard'!$B$4),$C$6:$C175,IF('Dashboard'!$D$4="All","&lt;&gt;",'Dashboard'!$D$4)),""),"")</f>
        <v/>
      </c>
    </row>
    <row r="176">
      <c r="A176" s="23" t="n"/>
      <c r="B176" s="23" t="n"/>
      <c r="C176" s="23" t="n"/>
      <c r="D176" s="23" t="n"/>
      <c r="E176" s="23" t="n"/>
      <c r="F176" s="24">
        <f>IFERROR(IF($E176="","",VLOOKUP($E176,'Settings'!$G$16:$M$115,2,0)),"")</f>
        <v/>
      </c>
      <c r="G176" s="25" t="n"/>
      <c r="H176" s="51" t="n"/>
      <c r="I176" s="51" t="n"/>
      <c r="J176" s="23" t="n"/>
      <c r="K176" s="23" t="n"/>
      <c r="L176" s="51" t="n"/>
      <c r="M176" s="27">
        <f>IFERROR(IF($A176="","",IF($J176="Approved",MAX(0,$L176-$H176),"")),"")</f>
        <v/>
      </c>
      <c r="N176" s="23" t="n"/>
      <c r="O176" s="51" t="n"/>
      <c r="P176" s="23" t="n"/>
      <c r="Q176" s="25" t="n"/>
      <c r="R176" s="28" t="n"/>
      <c r="S176" s="52" t="n"/>
      <c r="T176" s="52" t="n"/>
      <c r="U176" s="23" t="n"/>
      <c r="V176" s="30" t="n"/>
      <c r="W176" s="52" t="n"/>
      <c r="X176" s="53">
        <f>IFERROR(IF($A176="","",MAX(0,$R176*$S176-$T176)),"")</f>
        <v/>
      </c>
      <c r="Y176" s="53">
        <f>IFERROR(IF($A176="","",IF($U176="Yes",$X176*$V176,0)),"")</f>
        <v/>
      </c>
      <c r="Z176" s="53">
        <f>IFERROR(IF($A176="","",$X176+$Y176+$W176),"")</f>
        <v/>
      </c>
      <c r="AA176" s="28" t="n"/>
      <c r="AB176" s="51" t="n"/>
      <c r="AC176" s="24">
        <f>IFERROR(IF($A176="","",IF($N176="Canceled","Canceled",IF($AA176=0,"Not Received",IF($AA176&lt;$R176,"Partially Received",IF($AA176=$R176,"Fully Received","Over Received"))))),"")</f>
        <v/>
      </c>
      <c r="AD176" s="25" t="n"/>
      <c r="AE176" s="23" t="n"/>
      <c r="AF176" s="51" t="n"/>
      <c r="AG176" s="52" t="n"/>
      <c r="AH176" s="53">
        <f>IFERROR(IF($A176="","",IF($AG176="","",$AG176-$Z176)),"")</f>
        <v/>
      </c>
      <c r="AI176" s="32">
        <f>IFERROR(IF($A176="","",IF(OR($AG176="",$Z176=0),"",($AG176-$Z176)/$Z176)),"")</f>
        <v/>
      </c>
      <c r="AJ176" s="23" t="n"/>
      <c r="AK176" s="51" t="n"/>
      <c r="AL176" s="53">
        <f>IFERROR(IF($A176="","",IF(OR($N176="Canceled",$N176="Closed"),0,MAX($Z176-IF($AG176="",0,$AG176),0))),"")</f>
        <v/>
      </c>
      <c r="AM176" s="27">
        <f>IFERROR(IF($A176="","",IF(OR($N176="Closed",$N176="Canceled"),IF($O176="","",MAX(0,$O176-$H176)),MAX(0,TODAY()-$H176))),"")</f>
        <v/>
      </c>
      <c r="AN176" s="24">
        <f>IFERROR(IF($A176="","",IF($AA176&gt;$R176,"Over Received",IF(AND($J176="Approved",OR($K176="",$L176="")),"Approval Missing",IF(AND($J176="Pending",$AM176&gt;'Settings'!$B$7),"Approval Follow-Up",IF(AND($N176="Open",$I176&lt;&gt;"",$I176+'Settings'!$B$8&lt;TODAY(),$AA176&lt;$R176),"Delivery Overdue",IF(AND($AG176&lt;&gt;"",OR(ABS($AH176)&gt;'Settings'!$B$9,ABS($AI176)&gt;'Settings'!$B$10)),"Invoice Variance",IF(AND($N176="Open",$AM176&gt;'Settings'!$B$11),"Aging Open PO",""))))))),"")</f>
        <v/>
      </c>
      <c r="AO176" s="25" t="n"/>
      <c r="AP176" s="24">
        <f>IFERROR(IF(AND($AN176&lt;&gt;"",$N176&lt;&gt;"Closed",$N176&lt;&gt;"Canceled",OR('Dashboard'!$B$4="All",$B176='Dashboard'!$B$4),OR('Dashboard'!$D$4="All",$C176='Dashboard'!$D$4)),COUNTIFS($AN$6:$AN176,"&lt;&gt;",$N$6:$N176,"&lt;&gt;Closed",$N$6:$N176,"&lt;&gt;Canceled",$B$6:$B176,IF('Dashboard'!$B$4="All","&lt;&gt;",'Dashboard'!$B$4),$C$6:$C176,IF('Dashboard'!$D$4="All","&lt;&gt;",'Dashboard'!$D$4)),""),"")</f>
        <v/>
      </c>
    </row>
    <row r="177">
      <c r="A177" s="23" t="n"/>
      <c r="B177" s="23" t="n"/>
      <c r="C177" s="23" t="n"/>
      <c r="D177" s="23" t="n"/>
      <c r="E177" s="23" t="n"/>
      <c r="F177" s="24">
        <f>IFERROR(IF($E177="","",VLOOKUP($E177,'Settings'!$G$16:$M$115,2,0)),"")</f>
        <v/>
      </c>
      <c r="G177" s="25" t="n"/>
      <c r="H177" s="51" t="n"/>
      <c r="I177" s="51" t="n"/>
      <c r="J177" s="23" t="n"/>
      <c r="K177" s="23" t="n"/>
      <c r="L177" s="51" t="n"/>
      <c r="M177" s="27">
        <f>IFERROR(IF($A177="","",IF($J177="Approved",MAX(0,$L177-$H177),"")),"")</f>
        <v/>
      </c>
      <c r="N177" s="23" t="n"/>
      <c r="O177" s="51" t="n"/>
      <c r="P177" s="23" t="n"/>
      <c r="Q177" s="25" t="n"/>
      <c r="R177" s="28" t="n"/>
      <c r="S177" s="52" t="n"/>
      <c r="T177" s="52" t="n"/>
      <c r="U177" s="23" t="n"/>
      <c r="V177" s="30" t="n"/>
      <c r="W177" s="52" t="n"/>
      <c r="X177" s="53">
        <f>IFERROR(IF($A177="","",MAX(0,$R177*$S177-$T177)),"")</f>
        <v/>
      </c>
      <c r="Y177" s="53">
        <f>IFERROR(IF($A177="","",IF($U177="Yes",$X177*$V177,0)),"")</f>
        <v/>
      </c>
      <c r="Z177" s="53">
        <f>IFERROR(IF($A177="","",$X177+$Y177+$W177),"")</f>
        <v/>
      </c>
      <c r="AA177" s="28" t="n"/>
      <c r="AB177" s="51" t="n"/>
      <c r="AC177" s="24">
        <f>IFERROR(IF($A177="","",IF($N177="Canceled","Canceled",IF($AA177=0,"Not Received",IF($AA177&lt;$R177,"Partially Received",IF($AA177=$R177,"Fully Received","Over Received"))))),"")</f>
        <v/>
      </c>
      <c r="AD177" s="25" t="n"/>
      <c r="AE177" s="23" t="n"/>
      <c r="AF177" s="51" t="n"/>
      <c r="AG177" s="52" t="n"/>
      <c r="AH177" s="53">
        <f>IFERROR(IF($A177="","",IF($AG177="","",$AG177-$Z177)),"")</f>
        <v/>
      </c>
      <c r="AI177" s="32">
        <f>IFERROR(IF($A177="","",IF(OR($AG177="",$Z177=0),"",($AG177-$Z177)/$Z177)),"")</f>
        <v/>
      </c>
      <c r="AJ177" s="23" t="n"/>
      <c r="AK177" s="51" t="n"/>
      <c r="AL177" s="53">
        <f>IFERROR(IF($A177="","",IF(OR($N177="Canceled",$N177="Closed"),0,MAX($Z177-IF($AG177="",0,$AG177),0))),"")</f>
        <v/>
      </c>
      <c r="AM177" s="27">
        <f>IFERROR(IF($A177="","",IF(OR($N177="Closed",$N177="Canceled"),IF($O177="","",MAX(0,$O177-$H177)),MAX(0,TODAY()-$H177))),"")</f>
        <v/>
      </c>
      <c r="AN177" s="24">
        <f>IFERROR(IF($A177="","",IF($AA177&gt;$R177,"Over Received",IF(AND($J177="Approved",OR($K177="",$L177="")),"Approval Missing",IF(AND($J177="Pending",$AM177&gt;'Settings'!$B$7),"Approval Follow-Up",IF(AND($N177="Open",$I177&lt;&gt;"",$I177+'Settings'!$B$8&lt;TODAY(),$AA177&lt;$R177),"Delivery Overdue",IF(AND($AG177&lt;&gt;"",OR(ABS($AH177)&gt;'Settings'!$B$9,ABS($AI177)&gt;'Settings'!$B$10)),"Invoice Variance",IF(AND($N177="Open",$AM177&gt;'Settings'!$B$11),"Aging Open PO",""))))))),"")</f>
        <v/>
      </c>
      <c r="AO177" s="25" t="n"/>
      <c r="AP177" s="24">
        <f>IFERROR(IF(AND($AN177&lt;&gt;"",$N177&lt;&gt;"Closed",$N177&lt;&gt;"Canceled",OR('Dashboard'!$B$4="All",$B177='Dashboard'!$B$4),OR('Dashboard'!$D$4="All",$C177='Dashboard'!$D$4)),COUNTIFS($AN$6:$AN177,"&lt;&gt;",$N$6:$N177,"&lt;&gt;Closed",$N$6:$N177,"&lt;&gt;Canceled",$B$6:$B177,IF('Dashboard'!$B$4="All","&lt;&gt;",'Dashboard'!$B$4),$C$6:$C177,IF('Dashboard'!$D$4="All","&lt;&gt;",'Dashboard'!$D$4)),""),"")</f>
        <v/>
      </c>
    </row>
    <row r="178">
      <c r="A178" s="23" t="n"/>
      <c r="B178" s="23" t="n"/>
      <c r="C178" s="23" t="n"/>
      <c r="D178" s="23" t="n"/>
      <c r="E178" s="23" t="n"/>
      <c r="F178" s="24">
        <f>IFERROR(IF($E178="","",VLOOKUP($E178,'Settings'!$G$16:$M$115,2,0)),"")</f>
        <v/>
      </c>
      <c r="G178" s="25" t="n"/>
      <c r="H178" s="51" t="n"/>
      <c r="I178" s="51" t="n"/>
      <c r="J178" s="23" t="n"/>
      <c r="K178" s="23" t="n"/>
      <c r="L178" s="51" t="n"/>
      <c r="M178" s="27">
        <f>IFERROR(IF($A178="","",IF($J178="Approved",MAX(0,$L178-$H178),"")),"")</f>
        <v/>
      </c>
      <c r="N178" s="23" t="n"/>
      <c r="O178" s="51" t="n"/>
      <c r="P178" s="23" t="n"/>
      <c r="Q178" s="25" t="n"/>
      <c r="R178" s="28" t="n"/>
      <c r="S178" s="52" t="n"/>
      <c r="T178" s="52" t="n"/>
      <c r="U178" s="23" t="n"/>
      <c r="V178" s="30" t="n"/>
      <c r="W178" s="52" t="n"/>
      <c r="X178" s="53">
        <f>IFERROR(IF($A178="","",MAX(0,$R178*$S178-$T178)),"")</f>
        <v/>
      </c>
      <c r="Y178" s="53">
        <f>IFERROR(IF($A178="","",IF($U178="Yes",$X178*$V178,0)),"")</f>
        <v/>
      </c>
      <c r="Z178" s="53">
        <f>IFERROR(IF($A178="","",$X178+$Y178+$W178),"")</f>
        <v/>
      </c>
      <c r="AA178" s="28" t="n"/>
      <c r="AB178" s="51" t="n"/>
      <c r="AC178" s="24">
        <f>IFERROR(IF($A178="","",IF($N178="Canceled","Canceled",IF($AA178=0,"Not Received",IF($AA178&lt;$R178,"Partially Received",IF($AA178=$R178,"Fully Received","Over Received"))))),"")</f>
        <v/>
      </c>
      <c r="AD178" s="25" t="n"/>
      <c r="AE178" s="23" t="n"/>
      <c r="AF178" s="51" t="n"/>
      <c r="AG178" s="52" t="n"/>
      <c r="AH178" s="53">
        <f>IFERROR(IF($A178="","",IF($AG178="","",$AG178-$Z178)),"")</f>
        <v/>
      </c>
      <c r="AI178" s="32">
        <f>IFERROR(IF($A178="","",IF(OR($AG178="",$Z178=0),"",($AG178-$Z178)/$Z178)),"")</f>
        <v/>
      </c>
      <c r="AJ178" s="23" t="n"/>
      <c r="AK178" s="51" t="n"/>
      <c r="AL178" s="53">
        <f>IFERROR(IF($A178="","",IF(OR($N178="Canceled",$N178="Closed"),0,MAX($Z178-IF($AG178="",0,$AG178),0))),"")</f>
        <v/>
      </c>
      <c r="AM178" s="27">
        <f>IFERROR(IF($A178="","",IF(OR($N178="Closed",$N178="Canceled"),IF($O178="","",MAX(0,$O178-$H178)),MAX(0,TODAY()-$H178))),"")</f>
        <v/>
      </c>
      <c r="AN178" s="24">
        <f>IFERROR(IF($A178="","",IF($AA178&gt;$R178,"Over Received",IF(AND($J178="Approved",OR($K178="",$L178="")),"Approval Missing",IF(AND($J178="Pending",$AM178&gt;'Settings'!$B$7),"Approval Follow-Up",IF(AND($N178="Open",$I178&lt;&gt;"",$I178+'Settings'!$B$8&lt;TODAY(),$AA178&lt;$R178),"Delivery Overdue",IF(AND($AG178&lt;&gt;"",OR(ABS($AH178)&gt;'Settings'!$B$9,ABS($AI178)&gt;'Settings'!$B$10)),"Invoice Variance",IF(AND($N178="Open",$AM178&gt;'Settings'!$B$11),"Aging Open PO",""))))))),"")</f>
        <v/>
      </c>
      <c r="AO178" s="25" t="n"/>
      <c r="AP178" s="24">
        <f>IFERROR(IF(AND($AN178&lt;&gt;"",$N178&lt;&gt;"Closed",$N178&lt;&gt;"Canceled",OR('Dashboard'!$B$4="All",$B178='Dashboard'!$B$4),OR('Dashboard'!$D$4="All",$C178='Dashboard'!$D$4)),COUNTIFS($AN$6:$AN178,"&lt;&gt;",$N$6:$N178,"&lt;&gt;Closed",$N$6:$N178,"&lt;&gt;Canceled",$B$6:$B178,IF('Dashboard'!$B$4="All","&lt;&gt;",'Dashboard'!$B$4),$C$6:$C178,IF('Dashboard'!$D$4="All","&lt;&gt;",'Dashboard'!$D$4)),""),"")</f>
        <v/>
      </c>
    </row>
    <row r="179">
      <c r="A179" s="23" t="n"/>
      <c r="B179" s="23" t="n"/>
      <c r="C179" s="23" t="n"/>
      <c r="D179" s="23" t="n"/>
      <c r="E179" s="23" t="n"/>
      <c r="F179" s="24">
        <f>IFERROR(IF($E179="","",VLOOKUP($E179,'Settings'!$G$16:$M$115,2,0)),"")</f>
        <v/>
      </c>
      <c r="G179" s="25" t="n"/>
      <c r="H179" s="51" t="n"/>
      <c r="I179" s="51" t="n"/>
      <c r="J179" s="23" t="n"/>
      <c r="K179" s="23" t="n"/>
      <c r="L179" s="51" t="n"/>
      <c r="M179" s="27">
        <f>IFERROR(IF($A179="","",IF($J179="Approved",MAX(0,$L179-$H179),"")),"")</f>
        <v/>
      </c>
      <c r="N179" s="23" t="n"/>
      <c r="O179" s="51" t="n"/>
      <c r="P179" s="23" t="n"/>
      <c r="Q179" s="25" t="n"/>
      <c r="R179" s="28" t="n"/>
      <c r="S179" s="52" t="n"/>
      <c r="T179" s="52" t="n"/>
      <c r="U179" s="23" t="n"/>
      <c r="V179" s="30" t="n"/>
      <c r="W179" s="52" t="n"/>
      <c r="X179" s="53">
        <f>IFERROR(IF($A179="","",MAX(0,$R179*$S179-$T179)),"")</f>
        <v/>
      </c>
      <c r="Y179" s="53">
        <f>IFERROR(IF($A179="","",IF($U179="Yes",$X179*$V179,0)),"")</f>
        <v/>
      </c>
      <c r="Z179" s="53">
        <f>IFERROR(IF($A179="","",$X179+$Y179+$W179),"")</f>
        <v/>
      </c>
      <c r="AA179" s="28" t="n"/>
      <c r="AB179" s="51" t="n"/>
      <c r="AC179" s="24">
        <f>IFERROR(IF($A179="","",IF($N179="Canceled","Canceled",IF($AA179=0,"Not Received",IF($AA179&lt;$R179,"Partially Received",IF($AA179=$R179,"Fully Received","Over Received"))))),"")</f>
        <v/>
      </c>
      <c r="AD179" s="25" t="n"/>
      <c r="AE179" s="23" t="n"/>
      <c r="AF179" s="51" t="n"/>
      <c r="AG179" s="52" t="n"/>
      <c r="AH179" s="53">
        <f>IFERROR(IF($A179="","",IF($AG179="","",$AG179-$Z179)),"")</f>
        <v/>
      </c>
      <c r="AI179" s="32">
        <f>IFERROR(IF($A179="","",IF(OR($AG179="",$Z179=0),"",($AG179-$Z179)/$Z179)),"")</f>
        <v/>
      </c>
      <c r="AJ179" s="23" t="n"/>
      <c r="AK179" s="51" t="n"/>
      <c r="AL179" s="53">
        <f>IFERROR(IF($A179="","",IF(OR($N179="Canceled",$N179="Closed"),0,MAX($Z179-IF($AG179="",0,$AG179),0))),"")</f>
        <v/>
      </c>
      <c r="AM179" s="27">
        <f>IFERROR(IF($A179="","",IF(OR($N179="Closed",$N179="Canceled"),IF($O179="","",MAX(0,$O179-$H179)),MAX(0,TODAY()-$H179))),"")</f>
        <v/>
      </c>
      <c r="AN179" s="24">
        <f>IFERROR(IF($A179="","",IF($AA179&gt;$R179,"Over Received",IF(AND($J179="Approved",OR($K179="",$L179="")),"Approval Missing",IF(AND($J179="Pending",$AM179&gt;'Settings'!$B$7),"Approval Follow-Up",IF(AND($N179="Open",$I179&lt;&gt;"",$I179+'Settings'!$B$8&lt;TODAY(),$AA179&lt;$R179),"Delivery Overdue",IF(AND($AG179&lt;&gt;"",OR(ABS($AH179)&gt;'Settings'!$B$9,ABS($AI179)&gt;'Settings'!$B$10)),"Invoice Variance",IF(AND($N179="Open",$AM179&gt;'Settings'!$B$11),"Aging Open PO",""))))))),"")</f>
        <v/>
      </c>
      <c r="AO179" s="25" t="n"/>
      <c r="AP179" s="24">
        <f>IFERROR(IF(AND($AN179&lt;&gt;"",$N179&lt;&gt;"Closed",$N179&lt;&gt;"Canceled",OR('Dashboard'!$B$4="All",$B179='Dashboard'!$B$4),OR('Dashboard'!$D$4="All",$C179='Dashboard'!$D$4)),COUNTIFS($AN$6:$AN179,"&lt;&gt;",$N$6:$N179,"&lt;&gt;Closed",$N$6:$N179,"&lt;&gt;Canceled",$B$6:$B179,IF('Dashboard'!$B$4="All","&lt;&gt;",'Dashboard'!$B$4),$C$6:$C179,IF('Dashboard'!$D$4="All","&lt;&gt;",'Dashboard'!$D$4)),""),"")</f>
        <v/>
      </c>
    </row>
    <row r="180">
      <c r="A180" s="23" t="n"/>
      <c r="B180" s="23" t="n"/>
      <c r="C180" s="23" t="n"/>
      <c r="D180" s="23" t="n"/>
      <c r="E180" s="23" t="n"/>
      <c r="F180" s="24">
        <f>IFERROR(IF($E180="","",VLOOKUP($E180,'Settings'!$G$16:$M$115,2,0)),"")</f>
        <v/>
      </c>
      <c r="G180" s="25" t="n"/>
      <c r="H180" s="51" t="n"/>
      <c r="I180" s="51" t="n"/>
      <c r="J180" s="23" t="n"/>
      <c r="K180" s="23" t="n"/>
      <c r="L180" s="51" t="n"/>
      <c r="M180" s="27">
        <f>IFERROR(IF($A180="","",IF($J180="Approved",MAX(0,$L180-$H180),"")),"")</f>
        <v/>
      </c>
      <c r="N180" s="23" t="n"/>
      <c r="O180" s="51" t="n"/>
      <c r="P180" s="23" t="n"/>
      <c r="Q180" s="25" t="n"/>
      <c r="R180" s="28" t="n"/>
      <c r="S180" s="52" t="n"/>
      <c r="T180" s="52" t="n"/>
      <c r="U180" s="23" t="n"/>
      <c r="V180" s="30" t="n"/>
      <c r="W180" s="52" t="n"/>
      <c r="X180" s="53">
        <f>IFERROR(IF($A180="","",MAX(0,$R180*$S180-$T180)),"")</f>
        <v/>
      </c>
      <c r="Y180" s="53">
        <f>IFERROR(IF($A180="","",IF($U180="Yes",$X180*$V180,0)),"")</f>
        <v/>
      </c>
      <c r="Z180" s="53">
        <f>IFERROR(IF($A180="","",$X180+$Y180+$W180),"")</f>
        <v/>
      </c>
      <c r="AA180" s="28" t="n"/>
      <c r="AB180" s="51" t="n"/>
      <c r="AC180" s="24">
        <f>IFERROR(IF($A180="","",IF($N180="Canceled","Canceled",IF($AA180=0,"Not Received",IF($AA180&lt;$R180,"Partially Received",IF($AA180=$R180,"Fully Received","Over Received"))))),"")</f>
        <v/>
      </c>
      <c r="AD180" s="25" t="n"/>
      <c r="AE180" s="23" t="n"/>
      <c r="AF180" s="51" t="n"/>
      <c r="AG180" s="52" t="n"/>
      <c r="AH180" s="53">
        <f>IFERROR(IF($A180="","",IF($AG180="","",$AG180-$Z180)),"")</f>
        <v/>
      </c>
      <c r="AI180" s="32">
        <f>IFERROR(IF($A180="","",IF(OR($AG180="",$Z180=0),"",($AG180-$Z180)/$Z180)),"")</f>
        <v/>
      </c>
      <c r="AJ180" s="23" t="n"/>
      <c r="AK180" s="51" t="n"/>
      <c r="AL180" s="53">
        <f>IFERROR(IF($A180="","",IF(OR($N180="Canceled",$N180="Closed"),0,MAX($Z180-IF($AG180="",0,$AG180),0))),"")</f>
        <v/>
      </c>
      <c r="AM180" s="27">
        <f>IFERROR(IF($A180="","",IF(OR($N180="Closed",$N180="Canceled"),IF($O180="","",MAX(0,$O180-$H180)),MAX(0,TODAY()-$H180))),"")</f>
        <v/>
      </c>
      <c r="AN180" s="24">
        <f>IFERROR(IF($A180="","",IF($AA180&gt;$R180,"Over Received",IF(AND($J180="Approved",OR($K180="",$L180="")),"Approval Missing",IF(AND($J180="Pending",$AM180&gt;'Settings'!$B$7),"Approval Follow-Up",IF(AND($N180="Open",$I180&lt;&gt;"",$I180+'Settings'!$B$8&lt;TODAY(),$AA180&lt;$R180),"Delivery Overdue",IF(AND($AG180&lt;&gt;"",OR(ABS($AH180)&gt;'Settings'!$B$9,ABS($AI180)&gt;'Settings'!$B$10)),"Invoice Variance",IF(AND($N180="Open",$AM180&gt;'Settings'!$B$11),"Aging Open PO",""))))))),"")</f>
        <v/>
      </c>
      <c r="AO180" s="25" t="n"/>
      <c r="AP180" s="24">
        <f>IFERROR(IF(AND($AN180&lt;&gt;"",$N180&lt;&gt;"Closed",$N180&lt;&gt;"Canceled",OR('Dashboard'!$B$4="All",$B180='Dashboard'!$B$4),OR('Dashboard'!$D$4="All",$C180='Dashboard'!$D$4)),COUNTIFS($AN$6:$AN180,"&lt;&gt;",$N$6:$N180,"&lt;&gt;Closed",$N$6:$N180,"&lt;&gt;Canceled",$B$6:$B180,IF('Dashboard'!$B$4="All","&lt;&gt;",'Dashboard'!$B$4),$C$6:$C180,IF('Dashboard'!$D$4="All","&lt;&gt;",'Dashboard'!$D$4)),""),"")</f>
        <v/>
      </c>
    </row>
    <row r="181">
      <c r="A181" s="23" t="n"/>
      <c r="B181" s="23" t="n"/>
      <c r="C181" s="23" t="n"/>
      <c r="D181" s="23" t="n"/>
      <c r="E181" s="23" t="n"/>
      <c r="F181" s="24">
        <f>IFERROR(IF($E181="","",VLOOKUP($E181,'Settings'!$G$16:$M$115,2,0)),"")</f>
        <v/>
      </c>
      <c r="G181" s="25" t="n"/>
      <c r="H181" s="51" t="n"/>
      <c r="I181" s="51" t="n"/>
      <c r="J181" s="23" t="n"/>
      <c r="K181" s="23" t="n"/>
      <c r="L181" s="51" t="n"/>
      <c r="M181" s="27">
        <f>IFERROR(IF($A181="","",IF($J181="Approved",MAX(0,$L181-$H181),"")),"")</f>
        <v/>
      </c>
      <c r="N181" s="23" t="n"/>
      <c r="O181" s="51" t="n"/>
      <c r="P181" s="23" t="n"/>
      <c r="Q181" s="25" t="n"/>
      <c r="R181" s="28" t="n"/>
      <c r="S181" s="52" t="n"/>
      <c r="T181" s="52" t="n"/>
      <c r="U181" s="23" t="n"/>
      <c r="V181" s="30" t="n"/>
      <c r="W181" s="52" t="n"/>
      <c r="X181" s="53">
        <f>IFERROR(IF($A181="","",MAX(0,$R181*$S181-$T181)),"")</f>
        <v/>
      </c>
      <c r="Y181" s="53">
        <f>IFERROR(IF($A181="","",IF($U181="Yes",$X181*$V181,0)),"")</f>
        <v/>
      </c>
      <c r="Z181" s="53">
        <f>IFERROR(IF($A181="","",$X181+$Y181+$W181),"")</f>
        <v/>
      </c>
      <c r="AA181" s="28" t="n"/>
      <c r="AB181" s="51" t="n"/>
      <c r="AC181" s="24">
        <f>IFERROR(IF($A181="","",IF($N181="Canceled","Canceled",IF($AA181=0,"Not Received",IF($AA181&lt;$R181,"Partially Received",IF($AA181=$R181,"Fully Received","Over Received"))))),"")</f>
        <v/>
      </c>
      <c r="AD181" s="25" t="n"/>
      <c r="AE181" s="23" t="n"/>
      <c r="AF181" s="51" t="n"/>
      <c r="AG181" s="52" t="n"/>
      <c r="AH181" s="53">
        <f>IFERROR(IF($A181="","",IF($AG181="","",$AG181-$Z181)),"")</f>
        <v/>
      </c>
      <c r="AI181" s="32">
        <f>IFERROR(IF($A181="","",IF(OR($AG181="",$Z181=0),"",($AG181-$Z181)/$Z181)),"")</f>
        <v/>
      </c>
      <c r="AJ181" s="23" t="n"/>
      <c r="AK181" s="51" t="n"/>
      <c r="AL181" s="53">
        <f>IFERROR(IF($A181="","",IF(OR($N181="Canceled",$N181="Closed"),0,MAX($Z181-IF($AG181="",0,$AG181),0))),"")</f>
        <v/>
      </c>
      <c r="AM181" s="27">
        <f>IFERROR(IF($A181="","",IF(OR($N181="Closed",$N181="Canceled"),IF($O181="","",MAX(0,$O181-$H181)),MAX(0,TODAY()-$H181))),"")</f>
        <v/>
      </c>
      <c r="AN181" s="24">
        <f>IFERROR(IF($A181="","",IF($AA181&gt;$R181,"Over Received",IF(AND($J181="Approved",OR($K181="",$L181="")),"Approval Missing",IF(AND($J181="Pending",$AM181&gt;'Settings'!$B$7),"Approval Follow-Up",IF(AND($N181="Open",$I181&lt;&gt;"",$I181+'Settings'!$B$8&lt;TODAY(),$AA181&lt;$R181),"Delivery Overdue",IF(AND($AG181&lt;&gt;"",OR(ABS($AH181)&gt;'Settings'!$B$9,ABS($AI181)&gt;'Settings'!$B$10)),"Invoice Variance",IF(AND($N181="Open",$AM181&gt;'Settings'!$B$11),"Aging Open PO",""))))))),"")</f>
        <v/>
      </c>
      <c r="AO181" s="25" t="n"/>
      <c r="AP181" s="24">
        <f>IFERROR(IF(AND($AN181&lt;&gt;"",$N181&lt;&gt;"Closed",$N181&lt;&gt;"Canceled",OR('Dashboard'!$B$4="All",$B181='Dashboard'!$B$4),OR('Dashboard'!$D$4="All",$C181='Dashboard'!$D$4)),COUNTIFS($AN$6:$AN181,"&lt;&gt;",$N$6:$N181,"&lt;&gt;Closed",$N$6:$N181,"&lt;&gt;Canceled",$B$6:$B181,IF('Dashboard'!$B$4="All","&lt;&gt;",'Dashboard'!$B$4),$C$6:$C181,IF('Dashboard'!$D$4="All","&lt;&gt;",'Dashboard'!$D$4)),""),"")</f>
        <v/>
      </c>
    </row>
    <row r="182">
      <c r="A182" s="23" t="n"/>
      <c r="B182" s="23" t="n"/>
      <c r="C182" s="23" t="n"/>
      <c r="D182" s="23" t="n"/>
      <c r="E182" s="23" t="n"/>
      <c r="F182" s="24">
        <f>IFERROR(IF($E182="","",VLOOKUP($E182,'Settings'!$G$16:$M$115,2,0)),"")</f>
        <v/>
      </c>
      <c r="G182" s="25" t="n"/>
      <c r="H182" s="51" t="n"/>
      <c r="I182" s="51" t="n"/>
      <c r="J182" s="23" t="n"/>
      <c r="K182" s="23" t="n"/>
      <c r="L182" s="51" t="n"/>
      <c r="M182" s="27">
        <f>IFERROR(IF($A182="","",IF($J182="Approved",MAX(0,$L182-$H182),"")),"")</f>
        <v/>
      </c>
      <c r="N182" s="23" t="n"/>
      <c r="O182" s="51" t="n"/>
      <c r="P182" s="23" t="n"/>
      <c r="Q182" s="25" t="n"/>
      <c r="R182" s="28" t="n"/>
      <c r="S182" s="52" t="n"/>
      <c r="T182" s="52" t="n"/>
      <c r="U182" s="23" t="n"/>
      <c r="V182" s="30" t="n"/>
      <c r="W182" s="52" t="n"/>
      <c r="X182" s="53">
        <f>IFERROR(IF($A182="","",MAX(0,$R182*$S182-$T182)),"")</f>
        <v/>
      </c>
      <c r="Y182" s="53">
        <f>IFERROR(IF($A182="","",IF($U182="Yes",$X182*$V182,0)),"")</f>
        <v/>
      </c>
      <c r="Z182" s="53">
        <f>IFERROR(IF($A182="","",$X182+$Y182+$W182),"")</f>
        <v/>
      </c>
      <c r="AA182" s="28" t="n"/>
      <c r="AB182" s="51" t="n"/>
      <c r="AC182" s="24">
        <f>IFERROR(IF($A182="","",IF($N182="Canceled","Canceled",IF($AA182=0,"Not Received",IF($AA182&lt;$R182,"Partially Received",IF($AA182=$R182,"Fully Received","Over Received"))))),"")</f>
        <v/>
      </c>
      <c r="AD182" s="25" t="n"/>
      <c r="AE182" s="23" t="n"/>
      <c r="AF182" s="51" t="n"/>
      <c r="AG182" s="52" t="n"/>
      <c r="AH182" s="53">
        <f>IFERROR(IF($A182="","",IF($AG182="","",$AG182-$Z182)),"")</f>
        <v/>
      </c>
      <c r="AI182" s="32">
        <f>IFERROR(IF($A182="","",IF(OR($AG182="",$Z182=0),"",($AG182-$Z182)/$Z182)),"")</f>
        <v/>
      </c>
      <c r="AJ182" s="23" t="n"/>
      <c r="AK182" s="51" t="n"/>
      <c r="AL182" s="53">
        <f>IFERROR(IF($A182="","",IF(OR($N182="Canceled",$N182="Closed"),0,MAX($Z182-IF($AG182="",0,$AG182),0))),"")</f>
        <v/>
      </c>
      <c r="AM182" s="27">
        <f>IFERROR(IF($A182="","",IF(OR($N182="Closed",$N182="Canceled"),IF($O182="","",MAX(0,$O182-$H182)),MAX(0,TODAY()-$H182))),"")</f>
        <v/>
      </c>
      <c r="AN182" s="24">
        <f>IFERROR(IF($A182="","",IF($AA182&gt;$R182,"Over Received",IF(AND($J182="Approved",OR($K182="",$L182="")),"Approval Missing",IF(AND($J182="Pending",$AM182&gt;'Settings'!$B$7),"Approval Follow-Up",IF(AND($N182="Open",$I182&lt;&gt;"",$I182+'Settings'!$B$8&lt;TODAY(),$AA182&lt;$R182),"Delivery Overdue",IF(AND($AG182&lt;&gt;"",OR(ABS($AH182)&gt;'Settings'!$B$9,ABS($AI182)&gt;'Settings'!$B$10)),"Invoice Variance",IF(AND($N182="Open",$AM182&gt;'Settings'!$B$11),"Aging Open PO",""))))))),"")</f>
        <v/>
      </c>
      <c r="AO182" s="25" t="n"/>
      <c r="AP182" s="24">
        <f>IFERROR(IF(AND($AN182&lt;&gt;"",$N182&lt;&gt;"Closed",$N182&lt;&gt;"Canceled",OR('Dashboard'!$B$4="All",$B182='Dashboard'!$B$4),OR('Dashboard'!$D$4="All",$C182='Dashboard'!$D$4)),COUNTIFS($AN$6:$AN182,"&lt;&gt;",$N$6:$N182,"&lt;&gt;Closed",$N$6:$N182,"&lt;&gt;Canceled",$B$6:$B182,IF('Dashboard'!$B$4="All","&lt;&gt;",'Dashboard'!$B$4),$C$6:$C182,IF('Dashboard'!$D$4="All","&lt;&gt;",'Dashboard'!$D$4)),""),"")</f>
        <v/>
      </c>
    </row>
    <row r="183">
      <c r="A183" s="23" t="n"/>
      <c r="B183" s="23" t="n"/>
      <c r="C183" s="23" t="n"/>
      <c r="D183" s="23" t="n"/>
      <c r="E183" s="23" t="n"/>
      <c r="F183" s="24">
        <f>IFERROR(IF($E183="","",VLOOKUP($E183,'Settings'!$G$16:$M$115,2,0)),"")</f>
        <v/>
      </c>
      <c r="G183" s="25" t="n"/>
      <c r="H183" s="51" t="n"/>
      <c r="I183" s="51" t="n"/>
      <c r="J183" s="23" t="n"/>
      <c r="K183" s="23" t="n"/>
      <c r="L183" s="51" t="n"/>
      <c r="M183" s="27">
        <f>IFERROR(IF($A183="","",IF($J183="Approved",MAX(0,$L183-$H183),"")),"")</f>
        <v/>
      </c>
      <c r="N183" s="23" t="n"/>
      <c r="O183" s="51" t="n"/>
      <c r="P183" s="23" t="n"/>
      <c r="Q183" s="25" t="n"/>
      <c r="R183" s="28" t="n"/>
      <c r="S183" s="52" t="n"/>
      <c r="T183" s="52" t="n"/>
      <c r="U183" s="23" t="n"/>
      <c r="V183" s="30" t="n"/>
      <c r="W183" s="52" t="n"/>
      <c r="X183" s="53">
        <f>IFERROR(IF($A183="","",MAX(0,$R183*$S183-$T183)),"")</f>
        <v/>
      </c>
      <c r="Y183" s="53">
        <f>IFERROR(IF($A183="","",IF($U183="Yes",$X183*$V183,0)),"")</f>
        <v/>
      </c>
      <c r="Z183" s="53">
        <f>IFERROR(IF($A183="","",$X183+$Y183+$W183),"")</f>
        <v/>
      </c>
      <c r="AA183" s="28" t="n"/>
      <c r="AB183" s="51" t="n"/>
      <c r="AC183" s="24">
        <f>IFERROR(IF($A183="","",IF($N183="Canceled","Canceled",IF($AA183=0,"Not Received",IF($AA183&lt;$R183,"Partially Received",IF($AA183=$R183,"Fully Received","Over Received"))))),"")</f>
        <v/>
      </c>
      <c r="AD183" s="25" t="n"/>
      <c r="AE183" s="23" t="n"/>
      <c r="AF183" s="51" t="n"/>
      <c r="AG183" s="52" t="n"/>
      <c r="AH183" s="53">
        <f>IFERROR(IF($A183="","",IF($AG183="","",$AG183-$Z183)),"")</f>
        <v/>
      </c>
      <c r="AI183" s="32">
        <f>IFERROR(IF($A183="","",IF(OR($AG183="",$Z183=0),"",($AG183-$Z183)/$Z183)),"")</f>
        <v/>
      </c>
      <c r="AJ183" s="23" t="n"/>
      <c r="AK183" s="51" t="n"/>
      <c r="AL183" s="53">
        <f>IFERROR(IF($A183="","",IF(OR($N183="Canceled",$N183="Closed"),0,MAX($Z183-IF($AG183="",0,$AG183),0))),"")</f>
        <v/>
      </c>
      <c r="AM183" s="27">
        <f>IFERROR(IF($A183="","",IF(OR($N183="Closed",$N183="Canceled"),IF($O183="","",MAX(0,$O183-$H183)),MAX(0,TODAY()-$H183))),"")</f>
        <v/>
      </c>
      <c r="AN183" s="24">
        <f>IFERROR(IF($A183="","",IF($AA183&gt;$R183,"Over Received",IF(AND($J183="Approved",OR($K183="",$L183="")),"Approval Missing",IF(AND($J183="Pending",$AM183&gt;'Settings'!$B$7),"Approval Follow-Up",IF(AND($N183="Open",$I183&lt;&gt;"",$I183+'Settings'!$B$8&lt;TODAY(),$AA183&lt;$R183),"Delivery Overdue",IF(AND($AG183&lt;&gt;"",OR(ABS($AH183)&gt;'Settings'!$B$9,ABS($AI183)&gt;'Settings'!$B$10)),"Invoice Variance",IF(AND($N183="Open",$AM183&gt;'Settings'!$B$11),"Aging Open PO",""))))))),"")</f>
        <v/>
      </c>
      <c r="AO183" s="25" t="n"/>
      <c r="AP183" s="24">
        <f>IFERROR(IF(AND($AN183&lt;&gt;"",$N183&lt;&gt;"Closed",$N183&lt;&gt;"Canceled",OR('Dashboard'!$B$4="All",$B183='Dashboard'!$B$4),OR('Dashboard'!$D$4="All",$C183='Dashboard'!$D$4)),COUNTIFS($AN$6:$AN183,"&lt;&gt;",$N$6:$N183,"&lt;&gt;Closed",$N$6:$N183,"&lt;&gt;Canceled",$B$6:$B183,IF('Dashboard'!$B$4="All","&lt;&gt;",'Dashboard'!$B$4),$C$6:$C183,IF('Dashboard'!$D$4="All","&lt;&gt;",'Dashboard'!$D$4)),""),"")</f>
        <v/>
      </c>
    </row>
    <row r="184">
      <c r="A184" s="23" t="n"/>
      <c r="B184" s="23" t="n"/>
      <c r="C184" s="23" t="n"/>
      <c r="D184" s="23" t="n"/>
      <c r="E184" s="23" t="n"/>
      <c r="F184" s="24">
        <f>IFERROR(IF($E184="","",VLOOKUP($E184,'Settings'!$G$16:$M$115,2,0)),"")</f>
        <v/>
      </c>
      <c r="G184" s="25" t="n"/>
      <c r="H184" s="51" t="n"/>
      <c r="I184" s="51" t="n"/>
      <c r="J184" s="23" t="n"/>
      <c r="K184" s="23" t="n"/>
      <c r="L184" s="51" t="n"/>
      <c r="M184" s="27">
        <f>IFERROR(IF($A184="","",IF($J184="Approved",MAX(0,$L184-$H184),"")),"")</f>
        <v/>
      </c>
      <c r="N184" s="23" t="n"/>
      <c r="O184" s="51" t="n"/>
      <c r="P184" s="23" t="n"/>
      <c r="Q184" s="25" t="n"/>
      <c r="R184" s="28" t="n"/>
      <c r="S184" s="52" t="n"/>
      <c r="T184" s="52" t="n"/>
      <c r="U184" s="23" t="n"/>
      <c r="V184" s="30" t="n"/>
      <c r="W184" s="52" t="n"/>
      <c r="X184" s="53">
        <f>IFERROR(IF($A184="","",MAX(0,$R184*$S184-$T184)),"")</f>
        <v/>
      </c>
      <c r="Y184" s="53">
        <f>IFERROR(IF($A184="","",IF($U184="Yes",$X184*$V184,0)),"")</f>
        <v/>
      </c>
      <c r="Z184" s="53">
        <f>IFERROR(IF($A184="","",$X184+$Y184+$W184),"")</f>
        <v/>
      </c>
      <c r="AA184" s="28" t="n"/>
      <c r="AB184" s="51" t="n"/>
      <c r="AC184" s="24">
        <f>IFERROR(IF($A184="","",IF($N184="Canceled","Canceled",IF($AA184=0,"Not Received",IF($AA184&lt;$R184,"Partially Received",IF($AA184=$R184,"Fully Received","Over Received"))))),"")</f>
        <v/>
      </c>
      <c r="AD184" s="25" t="n"/>
      <c r="AE184" s="23" t="n"/>
      <c r="AF184" s="51" t="n"/>
      <c r="AG184" s="52" t="n"/>
      <c r="AH184" s="53">
        <f>IFERROR(IF($A184="","",IF($AG184="","",$AG184-$Z184)),"")</f>
        <v/>
      </c>
      <c r="AI184" s="32">
        <f>IFERROR(IF($A184="","",IF(OR($AG184="",$Z184=0),"",($AG184-$Z184)/$Z184)),"")</f>
        <v/>
      </c>
      <c r="AJ184" s="23" t="n"/>
      <c r="AK184" s="51" t="n"/>
      <c r="AL184" s="53">
        <f>IFERROR(IF($A184="","",IF(OR($N184="Canceled",$N184="Closed"),0,MAX($Z184-IF($AG184="",0,$AG184),0))),"")</f>
        <v/>
      </c>
      <c r="AM184" s="27">
        <f>IFERROR(IF($A184="","",IF(OR($N184="Closed",$N184="Canceled"),IF($O184="","",MAX(0,$O184-$H184)),MAX(0,TODAY()-$H184))),"")</f>
        <v/>
      </c>
      <c r="AN184" s="24">
        <f>IFERROR(IF($A184="","",IF($AA184&gt;$R184,"Over Received",IF(AND($J184="Approved",OR($K184="",$L184="")),"Approval Missing",IF(AND($J184="Pending",$AM184&gt;'Settings'!$B$7),"Approval Follow-Up",IF(AND($N184="Open",$I184&lt;&gt;"",$I184+'Settings'!$B$8&lt;TODAY(),$AA184&lt;$R184),"Delivery Overdue",IF(AND($AG184&lt;&gt;"",OR(ABS($AH184)&gt;'Settings'!$B$9,ABS($AI184)&gt;'Settings'!$B$10)),"Invoice Variance",IF(AND($N184="Open",$AM184&gt;'Settings'!$B$11),"Aging Open PO",""))))))),"")</f>
        <v/>
      </c>
      <c r="AO184" s="25" t="n"/>
      <c r="AP184" s="24">
        <f>IFERROR(IF(AND($AN184&lt;&gt;"",$N184&lt;&gt;"Closed",$N184&lt;&gt;"Canceled",OR('Dashboard'!$B$4="All",$B184='Dashboard'!$B$4),OR('Dashboard'!$D$4="All",$C184='Dashboard'!$D$4)),COUNTIFS($AN$6:$AN184,"&lt;&gt;",$N$6:$N184,"&lt;&gt;Closed",$N$6:$N184,"&lt;&gt;Canceled",$B$6:$B184,IF('Dashboard'!$B$4="All","&lt;&gt;",'Dashboard'!$B$4),$C$6:$C184,IF('Dashboard'!$D$4="All","&lt;&gt;",'Dashboard'!$D$4)),""),"")</f>
        <v/>
      </c>
    </row>
    <row r="185">
      <c r="A185" s="23" t="n"/>
      <c r="B185" s="23" t="n"/>
      <c r="C185" s="23" t="n"/>
      <c r="D185" s="23" t="n"/>
      <c r="E185" s="23" t="n"/>
      <c r="F185" s="24">
        <f>IFERROR(IF($E185="","",VLOOKUP($E185,'Settings'!$G$16:$M$115,2,0)),"")</f>
        <v/>
      </c>
      <c r="G185" s="25" t="n"/>
      <c r="H185" s="51" t="n"/>
      <c r="I185" s="51" t="n"/>
      <c r="J185" s="23" t="n"/>
      <c r="K185" s="23" t="n"/>
      <c r="L185" s="51" t="n"/>
      <c r="M185" s="27">
        <f>IFERROR(IF($A185="","",IF($J185="Approved",MAX(0,$L185-$H185),"")),"")</f>
        <v/>
      </c>
      <c r="N185" s="23" t="n"/>
      <c r="O185" s="51" t="n"/>
      <c r="P185" s="23" t="n"/>
      <c r="Q185" s="25" t="n"/>
      <c r="R185" s="28" t="n"/>
      <c r="S185" s="52" t="n"/>
      <c r="T185" s="52" t="n"/>
      <c r="U185" s="23" t="n"/>
      <c r="V185" s="30" t="n"/>
      <c r="W185" s="52" t="n"/>
      <c r="X185" s="53">
        <f>IFERROR(IF($A185="","",MAX(0,$R185*$S185-$T185)),"")</f>
        <v/>
      </c>
      <c r="Y185" s="53">
        <f>IFERROR(IF($A185="","",IF($U185="Yes",$X185*$V185,0)),"")</f>
        <v/>
      </c>
      <c r="Z185" s="53">
        <f>IFERROR(IF($A185="","",$X185+$Y185+$W185),"")</f>
        <v/>
      </c>
      <c r="AA185" s="28" t="n"/>
      <c r="AB185" s="51" t="n"/>
      <c r="AC185" s="24">
        <f>IFERROR(IF($A185="","",IF($N185="Canceled","Canceled",IF($AA185=0,"Not Received",IF($AA185&lt;$R185,"Partially Received",IF($AA185=$R185,"Fully Received","Over Received"))))),"")</f>
        <v/>
      </c>
      <c r="AD185" s="25" t="n"/>
      <c r="AE185" s="23" t="n"/>
      <c r="AF185" s="51" t="n"/>
      <c r="AG185" s="52" t="n"/>
      <c r="AH185" s="53">
        <f>IFERROR(IF($A185="","",IF($AG185="","",$AG185-$Z185)),"")</f>
        <v/>
      </c>
      <c r="AI185" s="32">
        <f>IFERROR(IF($A185="","",IF(OR($AG185="",$Z185=0),"",($AG185-$Z185)/$Z185)),"")</f>
        <v/>
      </c>
      <c r="AJ185" s="23" t="n"/>
      <c r="AK185" s="51" t="n"/>
      <c r="AL185" s="53">
        <f>IFERROR(IF($A185="","",IF(OR($N185="Canceled",$N185="Closed"),0,MAX($Z185-IF($AG185="",0,$AG185),0))),"")</f>
        <v/>
      </c>
      <c r="AM185" s="27">
        <f>IFERROR(IF($A185="","",IF(OR($N185="Closed",$N185="Canceled"),IF($O185="","",MAX(0,$O185-$H185)),MAX(0,TODAY()-$H185))),"")</f>
        <v/>
      </c>
      <c r="AN185" s="24">
        <f>IFERROR(IF($A185="","",IF($AA185&gt;$R185,"Over Received",IF(AND($J185="Approved",OR($K185="",$L185="")),"Approval Missing",IF(AND($J185="Pending",$AM185&gt;'Settings'!$B$7),"Approval Follow-Up",IF(AND($N185="Open",$I185&lt;&gt;"",$I185+'Settings'!$B$8&lt;TODAY(),$AA185&lt;$R185),"Delivery Overdue",IF(AND($AG185&lt;&gt;"",OR(ABS($AH185)&gt;'Settings'!$B$9,ABS($AI185)&gt;'Settings'!$B$10)),"Invoice Variance",IF(AND($N185="Open",$AM185&gt;'Settings'!$B$11),"Aging Open PO",""))))))),"")</f>
        <v/>
      </c>
      <c r="AO185" s="25" t="n"/>
      <c r="AP185" s="24">
        <f>IFERROR(IF(AND($AN185&lt;&gt;"",$N185&lt;&gt;"Closed",$N185&lt;&gt;"Canceled",OR('Dashboard'!$B$4="All",$B185='Dashboard'!$B$4),OR('Dashboard'!$D$4="All",$C185='Dashboard'!$D$4)),COUNTIFS($AN$6:$AN185,"&lt;&gt;",$N$6:$N185,"&lt;&gt;Closed",$N$6:$N185,"&lt;&gt;Canceled",$B$6:$B185,IF('Dashboard'!$B$4="All","&lt;&gt;",'Dashboard'!$B$4),$C$6:$C185,IF('Dashboard'!$D$4="All","&lt;&gt;",'Dashboard'!$D$4)),""),"")</f>
        <v/>
      </c>
    </row>
    <row r="186">
      <c r="A186" s="23" t="n"/>
      <c r="B186" s="23" t="n"/>
      <c r="C186" s="23" t="n"/>
      <c r="D186" s="23" t="n"/>
      <c r="E186" s="23" t="n"/>
      <c r="F186" s="24">
        <f>IFERROR(IF($E186="","",VLOOKUP($E186,'Settings'!$G$16:$M$115,2,0)),"")</f>
        <v/>
      </c>
      <c r="G186" s="25" t="n"/>
      <c r="H186" s="51" t="n"/>
      <c r="I186" s="51" t="n"/>
      <c r="J186" s="23" t="n"/>
      <c r="K186" s="23" t="n"/>
      <c r="L186" s="51" t="n"/>
      <c r="M186" s="27">
        <f>IFERROR(IF($A186="","",IF($J186="Approved",MAX(0,$L186-$H186),"")),"")</f>
        <v/>
      </c>
      <c r="N186" s="23" t="n"/>
      <c r="O186" s="51" t="n"/>
      <c r="P186" s="23" t="n"/>
      <c r="Q186" s="25" t="n"/>
      <c r="R186" s="28" t="n"/>
      <c r="S186" s="52" t="n"/>
      <c r="T186" s="52" t="n"/>
      <c r="U186" s="23" t="n"/>
      <c r="V186" s="30" t="n"/>
      <c r="W186" s="52" t="n"/>
      <c r="X186" s="53">
        <f>IFERROR(IF($A186="","",MAX(0,$R186*$S186-$T186)),"")</f>
        <v/>
      </c>
      <c r="Y186" s="53">
        <f>IFERROR(IF($A186="","",IF($U186="Yes",$X186*$V186,0)),"")</f>
        <v/>
      </c>
      <c r="Z186" s="53">
        <f>IFERROR(IF($A186="","",$X186+$Y186+$W186),"")</f>
        <v/>
      </c>
      <c r="AA186" s="28" t="n"/>
      <c r="AB186" s="51" t="n"/>
      <c r="AC186" s="24">
        <f>IFERROR(IF($A186="","",IF($N186="Canceled","Canceled",IF($AA186=0,"Not Received",IF($AA186&lt;$R186,"Partially Received",IF($AA186=$R186,"Fully Received","Over Received"))))),"")</f>
        <v/>
      </c>
      <c r="AD186" s="25" t="n"/>
      <c r="AE186" s="23" t="n"/>
      <c r="AF186" s="51" t="n"/>
      <c r="AG186" s="52" t="n"/>
      <c r="AH186" s="53">
        <f>IFERROR(IF($A186="","",IF($AG186="","",$AG186-$Z186)),"")</f>
        <v/>
      </c>
      <c r="AI186" s="32">
        <f>IFERROR(IF($A186="","",IF(OR($AG186="",$Z186=0),"",($AG186-$Z186)/$Z186)),"")</f>
        <v/>
      </c>
      <c r="AJ186" s="23" t="n"/>
      <c r="AK186" s="51" t="n"/>
      <c r="AL186" s="53">
        <f>IFERROR(IF($A186="","",IF(OR($N186="Canceled",$N186="Closed"),0,MAX($Z186-IF($AG186="",0,$AG186),0))),"")</f>
        <v/>
      </c>
      <c r="AM186" s="27">
        <f>IFERROR(IF($A186="","",IF(OR($N186="Closed",$N186="Canceled"),IF($O186="","",MAX(0,$O186-$H186)),MAX(0,TODAY()-$H186))),"")</f>
        <v/>
      </c>
      <c r="AN186" s="24">
        <f>IFERROR(IF($A186="","",IF($AA186&gt;$R186,"Over Received",IF(AND($J186="Approved",OR($K186="",$L186="")),"Approval Missing",IF(AND($J186="Pending",$AM186&gt;'Settings'!$B$7),"Approval Follow-Up",IF(AND($N186="Open",$I186&lt;&gt;"",$I186+'Settings'!$B$8&lt;TODAY(),$AA186&lt;$R186),"Delivery Overdue",IF(AND($AG186&lt;&gt;"",OR(ABS($AH186)&gt;'Settings'!$B$9,ABS($AI186)&gt;'Settings'!$B$10)),"Invoice Variance",IF(AND($N186="Open",$AM186&gt;'Settings'!$B$11),"Aging Open PO",""))))))),"")</f>
        <v/>
      </c>
      <c r="AO186" s="25" t="n"/>
      <c r="AP186" s="24">
        <f>IFERROR(IF(AND($AN186&lt;&gt;"",$N186&lt;&gt;"Closed",$N186&lt;&gt;"Canceled",OR('Dashboard'!$B$4="All",$B186='Dashboard'!$B$4),OR('Dashboard'!$D$4="All",$C186='Dashboard'!$D$4)),COUNTIFS($AN$6:$AN186,"&lt;&gt;",$N$6:$N186,"&lt;&gt;Closed",$N$6:$N186,"&lt;&gt;Canceled",$B$6:$B186,IF('Dashboard'!$B$4="All","&lt;&gt;",'Dashboard'!$B$4),$C$6:$C186,IF('Dashboard'!$D$4="All","&lt;&gt;",'Dashboard'!$D$4)),""),"")</f>
        <v/>
      </c>
    </row>
    <row r="187">
      <c r="A187" s="23" t="n"/>
      <c r="B187" s="23" t="n"/>
      <c r="C187" s="23" t="n"/>
      <c r="D187" s="23" t="n"/>
      <c r="E187" s="23" t="n"/>
      <c r="F187" s="24">
        <f>IFERROR(IF($E187="","",VLOOKUP($E187,'Settings'!$G$16:$M$115,2,0)),"")</f>
        <v/>
      </c>
      <c r="G187" s="25" t="n"/>
      <c r="H187" s="51" t="n"/>
      <c r="I187" s="51" t="n"/>
      <c r="J187" s="23" t="n"/>
      <c r="K187" s="23" t="n"/>
      <c r="L187" s="51" t="n"/>
      <c r="M187" s="27">
        <f>IFERROR(IF($A187="","",IF($J187="Approved",MAX(0,$L187-$H187),"")),"")</f>
        <v/>
      </c>
      <c r="N187" s="23" t="n"/>
      <c r="O187" s="51" t="n"/>
      <c r="P187" s="23" t="n"/>
      <c r="Q187" s="25" t="n"/>
      <c r="R187" s="28" t="n"/>
      <c r="S187" s="52" t="n"/>
      <c r="T187" s="52" t="n"/>
      <c r="U187" s="23" t="n"/>
      <c r="V187" s="30" t="n"/>
      <c r="W187" s="52" t="n"/>
      <c r="X187" s="53">
        <f>IFERROR(IF($A187="","",MAX(0,$R187*$S187-$T187)),"")</f>
        <v/>
      </c>
      <c r="Y187" s="53">
        <f>IFERROR(IF($A187="","",IF($U187="Yes",$X187*$V187,0)),"")</f>
        <v/>
      </c>
      <c r="Z187" s="53">
        <f>IFERROR(IF($A187="","",$X187+$Y187+$W187),"")</f>
        <v/>
      </c>
      <c r="AA187" s="28" t="n"/>
      <c r="AB187" s="51" t="n"/>
      <c r="AC187" s="24">
        <f>IFERROR(IF($A187="","",IF($N187="Canceled","Canceled",IF($AA187=0,"Not Received",IF($AA187&lt;$R187,"Partially Received",IF($AA187=$R187,"Fully Received","Over Received"))))),"")</f>
        <v/>
      </c>
      <c r="AD187" s="25" t="n"/>
      <c r="AE187" s="23" t="n"/>
      <c r="AF187" s="51" t="n"/>
      <c r="AG187" s="52" t="n"/>
      <c r="AH187" s="53">
        <f>IFERROR(IF($A187="","",IF($AG187="","",$AG187-$Z187)),"")</f>
        <v/>
      </c>
      <c r="AI187" s="32">
        <f>IFERROR(IF($A187="","",IF(OR($AG187="",$Z187=0),"",($AG187-$Z187)/$Z187)),"")</f>
        <v/>
      </c>
      <c r="AJ187" s="23" t="n"/>
      <c r="AK187" s="51" t="n"/>
      <c r="AL187" s="53">
        <f>IFERROR(IF($A187="","",IF(OR($N187="Canceled",$N187="Closed"),0,MAX($Z187-IF($AG187="",0,$AG187),0))),"")</f>
        <v/>
      </c>
      <c r="AM187" s="27">
        <f>IFERROR(IF($A187="","",IF(OR($N187="Closed",$N187="Canceled"),IF($O187="","",MAX(0,$O187-$H187)),MAX(0,TODAY()-$H187))),"")</f>
        <v/>
      </c>
      <c r="AN187" s="24">
        <f>IFERROR(IF($A187="","",IF($AA187&gt;$R187,"Over Received",IF(AND($J187="Approved",OR($K187="",$L187="")),"Approval Missing",IF(AND($J187="Pending",$AM187&gt;'Settings'!$B$7),"Approval Follow-Up",IF(AND($N187="Open",$I187&lt;&gt;"",$I187+'Settings'!$B$8&lt;TODAY(),$AA187&lt;$R187),"Delivery Overdue",IF(AND($AG187&lt;&gt;"",OR(ABS($AH187)&gt;'Settings'!$B$9,ABS($AI187)&gt;'Settings'!$B$10)),"Invoice Variance",IF(AND($N187="Open",$AM187&gt;'Settings'!$B$11),"Aging Open PO",""))))))),"")</f>
        <v/>
      </c>
      <c r="AO187" s="25" t="n"/>
      <c r="AP187" s="24">
        <f>IFERROR(IF(AND($AN187&lt;&gt;"",$N187&lt;&gt;"Closed",$N187&lt;&gt;"Canceled",OR('Dashboard'!$B$4="All",$B187='Dashboard'!$B$4),OR('Dashboard'!$D$4="All",$C187='Dashboard'!$D$4)),COUNTIFS($AN$6:$AN187,"&lt;&gt;",$N$6:$N187,"&lt;&gt;Closed",$N$6:$N187,"&lt;&gt;Canceled",$B$6:$B187,IF('Dashboard'!$B$4="All","&lt;&gt;",'Dashboard'!$B$4),$C$6:$C187,IF('Dashboard'!$D$4="All","&lt;&gt;",'Dashboard'!$D$4)),""),"")</f>
        <v/>
      </c>
    </row>
    <row r="188">
      <c r="A188" s="23" t="n"/>
      <c r="B188" s="23" t="n"/>
      <c r="C188" s="23" t="n"/>
      <c r="D188" s="23" t="n"/>
      <c r="E188" s="23" t="n"/>
      <c r="F188" s="24">
        <f>IFERROR(IF($E188="","",VLOOKUP($E188,'Settings'!$G$16:$M$115,2,0)),"")</f>
        <v/>
      </c>
      <c r="G188" s="25" t="n"/>
      <c r="H188" s="51" t="n"/>
      <c r="I188" s="51" t="n"/>
      <c r="J188" s="23" t="n"/>
      <c r="K188" s="23" t="n"/>
      <c r="L188" s="51" t="n"/>
      <c r="M188" s="27">
        <f>IFERROR(IF($A188="","",IF($J188="Approved",MAX(0,$L188-$H188),"")),"")</f>
        <v/>
      </c>
      <c r="N188" s="23" t="n"/>
      <c r="O188" s="51" t="n"/>
      <c r="P188" s="23" t="n"/>
      <c r="Q188" s="25" t="n"/>
      <c r="R188" s="28" t="n"/>
      <c r="S188" s="52" t="n"/>
      <c r="T188" s="52" t="n"/>
      <c r="U188" s="23" t="n"/>
      <c r="V188" s="30" t="n"/>
      <c r="W188" s="52" t="n"/>
      <c r="X188" s="53">
        <f>IFERROR(IF($A188="","",MAX(0,$R188*$S188-$T188)),"")</f>
        <v/>
      </c>
      <c r="Y188" s="53">
        <f>IFERROR(IF($A188="","",IF($U188="Yes",$X188*$V188,0)),"")</f>
        <v/>
      </c>
      <c r="Z188" s="53">
        <f>IFERROR(IF($A188="","",$X188+$Y188+$W188),"")</f>
        <v/>
      </c>
      <c r="AA188" s="28" t="n"/>
      <c r="AB188" s="51" t="n"/>
      <c r="AC188" s="24">
        <f>IFERROR(IF($A188="","",IF($N188="Canceled","Canceled",IF($AA188=0,"Not Received",IF($AA188&lt;$R188,"Partially Received",IF($AA188=$R188,"Fully Received","Over Received"))))),"")</f>
        <v/>
      </c>
      <c r="AD188" s="25" t="n"/>
      <c r="AE188" s="23" t="n"/>
      <c r="AF188" s="51" t="n"/>
      <c r="AG188" s="52" t="n"/>
      <c r="AH188" s="53">
        <f>IFERROR(IF($A188="","",IF($AG188="","",$AG188-$Z188)),"")</f>
        <v/>
      </c>
      <c r="AI188" s="32">
        <f>IFERROR(IF($A188="","",IF(OR($AG188="",$Z188=0),"",($AG188-$Z188)/$Z188)),"")</f>
        <v/>
      </c>
      <c r="AJ188" s="23" t="n"/>
      <c r="AK188" s="51" t="n"/>
      <c r="AL188" s="53">
        <f>IFERROR(IF($A188="","",IF(OR($N188="Canceled",$N188="Closed"),0,MAX($Z188-IF($AG188="",0,$AG188),0))),"")</f>
        <v/>
      </c>
      <c r="AM188" s="27">
        <f>IFERROR(IF($A188="","",IF(OR($N188="Closed",$N188="Canceled"),IF($O188="","",MAX(0,$O188-$H188)),MAX(0,TODAY()-$H188))),"")</f>
        <v/>
      </c>
      <c r="AN188" s="24">
        <f>IFERROR(IF($A188="","",IF($AA188&gt;$R188,"Over Received",IF(AND($J188="Approved",OR($K188="",$L188="")),"Approval Missing",IF(AND($J188="Pending",$AM188&gt;'Settings'!$B$7),"Approval Follow-Up",IF(AND($N188="Open",$I188&lt;&gt;"",$I188+'Settings'!$B$8&lt;TODAY(),$AA188&lt;$R188),"Delivery Overdue",IF(AND($AG188&lt;&gt;"",OR(ABS($AH188)&gt;'Settings'!$B$9,ABS($AI188)&gt;'Settings'!$B$10)),"Invoice Variance",IF(AND($N188="Open",$AM188&gt;'Settings'!$B$11),"Aging Open PO",""))))))),"")</f>
        <v/>
      </c>
      <c r="AO188" s="25" t="n"/>
      <c r="AP188" s="24">
        <f>IFERROR(IF(AND($AN188&lt;&gt;"",$N188&lt;&gt;"Closed",$N188&lt;&gt;"Canceled",OR('Dashboard'!$B$4="All",$B188='Dashboard'!$B$4),OR('Dashboard'!$D$4="All",$C188='Dashboard'!$D$4)),COUNTIFS($AN$6:$AN188,"&lt;&gt;",$N$6:$N188,"&lt;&gt;Closed",$N$6:$N188,"&lt;&gt;Canceled",$B$6:$B188,IF('Dashboard'!$B$4="All","&lt;&gt;",'Dashboard'!$B$4),$C$6:$C188,IF('Dashboard'!$D$4="All","&lt;&gt;",'Dashboard'!$D$4)),""),"")</f>
        <v/>
      </c>
    </row>
    <row r="189">
      <c r="A189" s="23" t="n"/>
      <c r="B189" s="23" t="n"/>
      <c r="C189" s="23" t="n"/>
      <c r="D189" s="23" t="n"/>
      <c r="E189" s="23" t="n"/>
      <c r="F189" s="24">
        <f>IFERROR(IF($E189="","",VLOOKUP($E189,'Settings'!$G$16:$M$115,2,0)),"")</f>
        <v/>
      </c>
      <c r="G189" s="25" t="n"/>
      <c r="H189" s="51" t="n"/>
      <c r="I189" s="51" t="n"/>
      <c r="J189" s="23" t="n"/>
      <c r="K189" s="23" t="n"/>
      <c r="L189" s="51" t="n"/>
      <c r="M189" s="27">
        <f>IFERROR(IF($A189="","",IF($J189="Approved",MAX(0,$L189-$H189),"")),"")</f>
        <v/>
      </c>
      <c r="N189" s="23" t="n"/>
      <c r="O189" s="51" t="n"/>
      <c r="P189" s="23" t="n"/>
      <c r="Q189" s="25" t="n"/>
      <c r="R189" s="28" t="n"/>
      <c r="S189" s="52" t="n"/>
      <c r="T189" s="52" t="n"/>
      <c r="U189" s="23" t="n"/>
      <c r="V189" s="30" t="n"/>
      <c r="W189" s="52" t="n"/>
      <c r="X189" s="53">
        <f>IFERROR(IF($A189="","",MAX(0,$R189*$S189-$T189)),"")</f>
        <v/>
      </c>
      <c r="Y189" s="53">
        <f>IFERROR(IF($A189="","",IF($U189="Yes",$X189*$V189,0)),"")</f>
        <v/>
      </c>
      <c r="Z189" s="53">
        <f>IFERROR(IF($A189="","",$X189+$Y189+$W189),"")</f>
        <v/>
      </c>
      <c r="AA189" s="28" t="n"/>
      <c r="AB189" s="51" t="n"/>
      <c r="AC189" s="24">
        <f>IFERROR(IF($A189="","",IF($N189="Canceled","Canceled",IF($AA189=0,"Not Received",IF($AA189&lt;$R189,"Partially Received",IF($AA189=$R189,"Fully Received","Over Received"))))),"")</f>
        <v/>
      </c>
      <c r="AD189" s="25" t="n"/>
      <c r="AE189" s="23" t="n"/>
      <c r="AF189" s="51" t="n"/>
      <c r="AG189" s="52" t="n"/>
      <c r="AH189" s="53">
        <f>IFERROR(IF($A189="","",IF($AG189="","",$AG189-$Z189)),"")</f>
        <v/>
      </c>
      <c r="AI189" s="32">
        <f>IFERROR(IF($A189="","",IF(OR($AG189="",$Z189=0),"",($AG189-$Z189)/$Z189)),"")</f>
        <v/>
      </c>
      <c r="AJ189" s="23" t="n"/>
      <c r="AK189" s="51" t="n"/>
      <c r="AL189" s="53">
        <f>IFERROR(IF($A189="","",IF(OR($N189="Canceled",$N189="Closed"),0,MAX($Z189-IF($AG189="",0,$AG189),0))),"")</f>
        <v/>
      </c>
      <c r="AM189" s="27">
        <f>IFERROR(IF($A189="","",IF(OR($N189="Closed",$N189="Canceled"),IF($O189="","",MAX(0,$O189-$H189)),MAX(0,TODAY()-$H189))),"")</f>
        <v/>
      </c>
      <c r="AN189" s="24">
        <f>IFERROR(IF($A189="","",IF($AA189&gt;$R189,"Over Received",IF(AND($J189="Approved",OR($K189="",$L189="")),"Approval Missing",IF(AND($J189="Pending",$AM189&gt;'Settings'!$B$7),"Approval Follow-Up",IF(AND($N189="Open",$I189&lt;&gt;"",$I189+'Settings'!$B$8&lt;TODAY(),$AA189&lt;$R189),"Delivery Overdue",IF(AND($AG189&lt;&gt;"",OR(ABS($AH189)&gt;'Settings'!$B$9,ABS($AI189)&gt;'Settings'!$B$10)),"Invoice Variance",IF(AND($N189="Open",$AM189&gt;'Settings'!$B$11),"Aging Open PO",""))))))),"")</f>
        <v/>
      </c>
      <c r="AO189" s="25" t="n"/>
      <c r="AP189" s="24">
        <f>IFERROR(IF(AND($AN189&lt;&gt;"",$N189&lt;&gt;"Closed",$N189&lt;&gt;"Canceled",OR('Dashboard'!$B$4="All",$B189='Dashboard'!$B$4),OR('Dashboard'!$D$4="All",$C189='Dashboard'!$D$4)),COUNTIFS($AN$6:$AN189,"&lt;&gt;",$N$6:$N189,"&lt;&gt;Closed",$N$6:$N189,"&lt;&gt;Canceled",$B$6:$B189,IF('Dashboard'!$B$4="All","&lt;&gt;",'Dashboard'!$B$4),$C$6:$C189,IF('Dashboard'!$D$4="All","&lt;&gt;",'Dashboard'!$D$4)),""),"")</f>
        <v/>
      </c>
    </row>
    <row r="190">
      <c r="A190" s="23" t="n"/>
      <c r="B190" s="23" t="n"/>
      <c r="C190" s="23" t="n"/>
      <c r="D190" s="23" t="n"/>
      <c r="E190" s="23" t="n"/>
      <c r="F190" s="24">
        <f>IFERROR(IF($E190="","",VLOOKUP($E190,'Settings'!$G$16:$M$115,2,0)),"")</f>
        <v/>
      </c>
      <c r="G190" s="25" t="n"/>
      <c r="H190" s="51" t="n"/>
      <c r="I190" s="51" t="n"/>
      <c r="J190" s="23" t="n"/>
      <c r="K190" s="23" t="n"/>
      <c r="L190" s="51" t="n"/>
      <c r="M190" s="27">
        <f>IFERROR(IF($A190="","",IF($J190="Approved",MAX(0,$L190-$H190),"")),"")</f>
        <v/>
      </c>
      <c r="N190" s="23" t="n"/>
      <c r="O190" s="51" t="n"/>
      <c r="P190" s="23" t="n"/>
      <c r="Q190" s="25" t="n"/>
      <c r="R190" s="28" t="n"/>
      <c r="S190" s="52" t="n"/>
      <c r="T190" s="52" t="n"/>
      <c r="U190" s="23" t="n"/>
      <c r="V190" s="30" t="n"/>
      <c r="W190" s="52" t="n"/>
      <c r="X190" s="53">
        <f>IFERROR(IF($A190="","",MAX(0,$R190*$S190-$T190)),"")</f>
        <v/>
      </c>
      <c r="Y190" s="53">
        <f>IFERROR(IF($A190="","",IF($U190="Yes",$X190*$V190,0)),"")</f>
        <v/>
      </c>
      <c r="Z190" s="53">
        <f>IFERROR(IF($A190="","",$X190+$Y190+$W190),"")</f>
        <v/>
      </c>
      <c r="AA190" s="28" t="n"/>
      <c r="AB190" s="51" t="n"/>
      <c r="AC190" s="24">
        <f>IFERROR(IF($A190="","",IF($N190="Canceled","Canceled",IF($AA190=0,"Not Received",IF($AA190&lt;$R190,"Partially Received",IF($AA190=$R190,"Fully Received","Over Received"))))),"")</f>
        <v/>
      </c>
      <c r="AD190" s="25" t="n"/>
      <c r="AE190" s="23" t="n"/>
      <c r="AF190" s="51" t="n"/>
      <c r="AG190" s="52" t="n"/>
      <c r="AH190" s="53">
        <f>IFERROR(IF($A190="","",IF($AG190="","",$AG190-$Z190)),"")</f>
        <v/>
      </c>
      <c r="AI190" s="32">
        <f>IFERROR(IF($A190="","",IF(OR($AG190="",$Z190=0),"",($AG190-$Z190)/$Z190)),"")</f>
        <v/>
      </c>
      <c r="AJ190" s="23" t="n"/>
      <c r="AK190" s="51" t="n"/>
      <c r="AL190" s="53">
        <f>IFERROR(IF($A190="","",IF(OR($N190="Canceled",$N190="Closed"),0,MAX($Z190-IF($AG190="",0,$AG190),0))),"")</f>
        <v/>
      </c>
      <c r="AM190" s="27">
        <f>IFERROR(IF($A190="","",IF(OR($N190="Closed",$N190="Canceled"),IF($O190="","",MAX(0,$O190-$H190)),MAX(0,TODAY()-$H190))),"")</f>
        <v/>
      </c>
      <c r="AN190" s="24">
        <f>IFERROR(IF($A190="","",IF($AA190&gt;$R190,"Over Received",IF(AND($J190="Approved",OR($K190="",$L190="")),"Approval Missing",IF(AND($J190="Pending",$AM190&gt;'Settings'!$B$7),"Approval Follow-Up",IF(AND($N190="Open",$I190&lt;&gt;"",$I190+'Settings'!$B$8&lt;TODAY(),$AA190&lt;$R190),"Delivery Overdue",IF(AND($AG190&lt;&gt;"",OR(ABS($AH190)&gt;'Settings'!$B$9,ABS($AI190)&gt;'Settings'!$B$10)),"Invoice Variance",IF(AND($N190="Open",$AM190&gt;'Settings'!$B$11),"Aging Open PO",""))))))),"")</f>
        <v/>
      </c>
      <c r="AO190" s="25" t="n"/>
      <c r="AP190" s="24">
        <f>IFERROR(IF(AND($AN190&lt;&gt;"",$N190&lt;&gt;"Closed",$N190&lt;&gt;"Canceled",OR('Dashboard'!$B$4="All",$B190='Dashboard'!$B$4),OR('Dashboard'!$D$4="All",$C190='Dashboard'!$D$4)),COUNTIFS($AN$6:$AN190,"&lt;&gt;",$N$6:$N190,"&lt;&gt;Closed",$N$6:$N190,"&lt;&gt;Canceled",$B$6:$B190,IF('Dashboard'!$B$4="All","&lt;&gt;",'Dashboard'!$B$4),$C$6:$C190,IF('Dashboard'!$D$4="All","&lt;&gt;",'Dashboard'!$D$4)),""),"")</f>
        <v/>
      </c>
    </row>
    <row r="191">
      <c r="A191" s="23" t="n"/>
      <c r="B191" s="23" t="n"/>
      <c r="C191" s="23" t="n"/>
      <c r="D191" s="23" t="n"/>
      <c r="E191" s="23" t="n"/>
      <c r="F191" s="24">
        <f>IFERROR(IF($E191="","",VLOOKUP($E191,'Settings'!$G$16:$M$115,2,0)),"")</f>
        <v/>
      </c>
      <c r="G191" s="25" t="n"/>
      <c r="H191" s="51" t="n"/>
      <c r="I191" s="51" t="n"/>
      <c r="J191" s="23" t="n"/>
      <c r="K191" s="23" t="n"/>
      <c r="L191" s="51" t="n"/>
      <c r="M191" s="27">
        <f>IFERROR(IF($A191="","",IF($J191="Approved",MAX(0,$L191-$H191),"")),"")</f>
        <v/>
      </c>
      <c r="N191" s="23" t="n"/>
      <c r="O191" s="51" t="n"/>
      <c r="P191" s="23" t="n"/>
      <c r="Q191" s="25" t="n"/>
      <c r="R191" s="28" t="n"/>
      <c r="S191" s="52" t="n"/>
      <c r="T191" s="52" t="n"/>
      <c r="U191" s="23" t="n"/>
      <c r="V191" s="30" t="n"/>
      <c r="W191" s="52" t="n"/>
      <c r="X191" s="53">
        <f>IFERROR(IF($A191="","",MAX(0,$R191*$S191-$T191)),"")</f>
        <v/>
      </c>
      <c r="Y191" s="53">
        <f>IFERROR(IF($A191="","",IF($U191="Yes",$X191*$V191,0)),"")</f>
        <v/>
      </c>
      <c r="Z191" s="53">
        <f>IFERROR(IF($A191="","",$X191+$Y191+$W191),"")</f>
        <v/>
      </c>
      <c r="AA191" s="28" t="n"/>
      <c r="AB191" s="51" t="n"/>
      <c r="AC191" s="24">
        <f>IFERROR(IF($A191="","",IF($N191="Canceled","Canceled",IF($AA191=0,"Not Received",IF($AA191&lt;$R191,"Partially Received",IF($AA191=$R191,"Fully Received","Over Received"))))),"")</f>
        <v/>
      </c>
      <c r="AD191" s="25" t="n"/>
      <c r="AE191" s="23" t="n"/>
      <c r="AF191" s="51" t="n"/>
      <c r="AG191" s="52" t="n"/>
      <c r="AH191" s="53">
        <f>IFERROR(IF($A191="","",IF($AG191="","",$AG191-$Z191)),"")</f>
        <v/>
      </c>
      <c r="AI191" s="32">
        <f>IFERROR(IF($A191="","",IF(OR($AG191="",$Z191=0),"",($AG191-$Z191)/$Z191)),"")</f>
        <v/>
      </c>
      <c r="AJ191" s="23" t="n"/>
      <c r="AK191" s="51" t="n"/>
      <c r="AL191" s="53">
        <f>IFERROR(IF($A191="","",IF(OR($N191="Canceled",$N191="Closed"),0,MAX($Z191-IF($AG191="",0,$AG191),0))),"")</f>
        <v/>
      </c>
      <c r="AM191" s="27">
        <f>IFERROR(IF($A191="","",IF(OR($N191="Closed",$N191="Canceled"),IF($O191="","",MAX(0,$O191-$H191)),MAX(0,TODAY()-$H191))),"")</f>
        <v/>
      </c>
      <c r="AN191" s="24">
        <f>IFERROR(IF($A191="","",IF($AA191&gt;$R191,"Over Received",IF(AND($J191="Approved",OR($K191="",$L191="")),"Approval Missing",IF(AND($J191="Pending",$AM191&gt;'Settings'!$B$7),"Approval Follow-Up",IF(AND($N191="Open",$I191&lt;&gt;"",$I191+'Settings'!$B$8&lt;TODAY(),$AA191&lt;$R191),"Delivery Overdue",IF(AND($AG191&lt;&gt;"",OR(ABS($AH191)&gt;'Settings'!$B$9,ABS($AI191)&gt;'Settings'!$B$10)),"Invoice Variance",IF(AND($N191="Open",$AM191&gt;'Settings'!$B$11),"Aging Open PO",""))))))),"")</f>
        <v/>
      </c>
      <c r="AO191" s="25" t="n"/>
      <c r="AP191" s="24">
        <f>IFERROR(IF(AND($AN191&lt;&gt;"",$N191&lt;&gt;"Closed",$N191&lt;&gt;"Canceled",OR('Dashboard'!$B$4="All",$B191='Dashboard'!$B$4),OR('Dashboard'!$D$4="All",$C191='Dashboard'!$D$4)),COUNTIFS($AN$6:$AN191,"&lt;&gt;",$N$6:$N191,"&lt;&gt;Closed",$N$6:$N191,"&lt;&gt;Canceled",$B$6:$B191,IF('Dashboard'!$B$4="All","&lt;&gt;",'Dashboard'!$B$4),$C$6:$C191,IF('Dashboard'!$D$4="All","&lt;&gt;",'Dashboard'!$D$4)),""),"")</f>
        <v/>
      </c>
    </row>
    <row r="192">
      <c r="A192" s="23" t="n"/>
      <c r="B192" s="23" t="n"/>
      <c r="C192" s="23" t="n"/>
      <c r="D192" s="23" t="n"/>
      <c r="E192" s="23" t="n"/>
      <c r="F192" s="24">
        <f>IFERROR(IF($E192="","",VLOOKUP($E192,'Settings'!$G$16:$M$115,2,0)),"")</f>
        <v/>
      </c>
      <c r="G192" s="25" t="n"/>
      <c r="H192" s="51" t="n"/>
      <c r="I192" s="51" t="n"/>
      <c r="J192" s="23" t="n"/>
      <c r="K192" s="23" t="n"/>
      <c r="L192" s="51" t="n"/>
      <c r="M192" s="27">
        <f>IFERROR(IF($A192="","",IF($J192="Approved",MAX(0,$L192-$H192),"")),"")</f>
        <v/>
      </c>
      <c r="N192" s="23" t="n"/>
      <c r="O192" s="51" t="n"/>
      <c r="P192" s="23" t="n"/>
      <c r="Q192" s="25" t="n"/>
      <c r="R192" s="28" t="n"/>
      <c r="S192" s="52" t="n"/>
      <c r="T192" s="52" t="n"/>
      <c r="U192" s="23" t="n"/>
      <c r="V192" s="30" t="n"/>
      <c r="W192" s="52" t="n"/>
      <c r="X192" s="53">
        <f>IFERROR(IF($A192="","",MAX(0,$R192*$S192-$T192)),"")</f>
        <v/>
      </c>
      <c r="Y192" s="53">
        <f>IFERROR(IF($A192="","",IF($U192="Yes",$X192*$V192,0)),"")</f>
        <v/>
      </c>
      <c r="Z192" s="53">
        <f>IFERROR(IF($A192="","",$X192+$Y192+$W192),"")</f>
        <v/>
      </c>
      <c r="AA192" s="28" t="n"/>
      <c r="AB192" s="51" t="n"/>
      <c r="AC192" s="24">
        <f>IFERROR(IF($A192="","",IF($N192="Canceled","Canceled",IF($AA192=0,"Not Received",IF($AA192&lt;$R192,"Partially Received",IF($AA192=$R192,"Fully Received","Over Received"))))),"")</f>
        <v/>
      </c>
      <c r="AD192" s="25" t="n"/>
      <c r="AE192" s="23" t="n"/>
      <c r="AF192" s="51" t="n"/>
      <c r="AG192" s="52" t="n"/>
      <c r="AH192" s="53">
        <f>IFERROR(IF($A192="","",IF($AG192="","",$AG192-$Z192)),"")</f>
        <v/>
      </c>
      <c r="AI192" s="32">
        <f>IFERROR(IF($A192="","",IF(OR($AG192="",$Z192=0),"",($AG192-$Z192)/$Z192)),"")</f>
        <v/>
      </c>
      <c r="AJ192" s="23" t="n"/>
      <c r="AK192" s="51" t="n"/>
      <c r="AL192" s="53">
        <f>IFERROR(IF($A192="","",IF(OR($N192="Canceled",$N192="Closed"),0,MAX($Z192-IF($AG192="",0,$AG192),0))),"")</f>
        <v/>
      </c>
      <c r="AM192" s="27">
        <f>IFERROR(IF($A192="","",IF(OR($N192="Closed",$N192="Canceled"),IF($O192="","",MAX(0,$O192-$H192)),MAX(0,TODAY()-$H192))),"")</f>
        <v/>
      </c>
      <c r="AN192" s="24">
        <f>IFERROR(IF($A192="","",IF($AA192&gt;$R192,"Over Received",IF(AND($J192="Approved",OR($K192="",$L192="")),"Approval Missing",IF(AND($J192="Pending",$AM192&gt;'Settings'!$B$7),"Approval Follow-Up",IF(AND($N192="Open",$I192&lt;&gt;"",$I192+'Settings'!$B$8&lt;TODAY(),$AA192&lt;$R192),"Delivery Overdue",IF(AND($AG192&lt;&gt;"",OR(ABS($AH192)&gt;'Settings'!$B$9,ABS($AI192)&gt;'Settings'!$B$10)),"Invoice Variance",IF(AND($N192="Open",$AM192&gt;'Settings'!$B$11),"Aging Open PO",""))))))),"")</f>
        <v/>
      </c>
      <c r="AO192" s="25" t="n"/>
      <c r="AP192" s="24">
        <f>IFERROR(IF(AND($AN192&lt;&gt;"",$N192&lt;&gt;"Closed",$N192&lt;&gt;"Canceled",OR('Dashboard'!$B$4="All",$B192='Dashboard'!$B$4),OR('Dashboard'!$D$4="All",$C192='Dashboard'!$D$4)),COUNTIFS($AN$6:$AN192,"&lt;&gt;",$N$6:$N192,"&lt;&gt;Closed",$N$6:$N192,"&lt;&gt;Canceled",$B$6:$B192,IF('Dashboard'!$B$4="All","&lt;&gt;",'Dashboard'!$B$4),$C$6:$C192,IF('Dashboard'!$D$4="All","&lt;&gt;",'Dashboard'!$D$4)),""),"")</f>
        <v/>
      </c>
    </row>
    <row r="193">
      <c r="A193" s="23" t="n"/>
      <c r="B193" s="23" t="n"/>
      <c r="C193" s="23" t="n"/>
      <c r="D193" s="23" t="n"/>
      <c r="E193" s="23" t="n"/>
      <c r="F193" s="24">
        <f>IFERROR(IF($E193="","",VLOOKUP($E193,'Settings'!$G$16:$M$115,2,0)),"")</f>
        <v/>
      </c>
      <c r="G193" s="25" t="n"/>
      <c r="H193" s="51" t="n"/>
      <c r="I193" s="51" t="n"/>
      <c r="J193" s="23" t="n"/>
      <c r="K193" s="23" t="n"/>
      <c r="L193" s="51" t="n"/>
      <c r="M193" s="27">
        <f>IFERROR(IF($A193="","",IF($J193="Approved",MAX(0,$L193-$H193),"")),"")</f>
        <v/>
      </c>
      <c r="N193" s="23" t="n"/>
      <c r="O193" s="51" t="n"/>
      <c r="P193" s="23" t="n"/>
      <c r="Q193" s="25" t="n"/>
      <c r="R193" s="28" t="n"/>
      <c r="S193" s="52" t="n"/>
      <c r="T193" s="52" t="n"/>
      <c r="U193" s="23" t="n"/>
      <c r="V193" s="30" t="n"/>
      <c r="W193" s="52" t="n"/>
      <c r="X193" s="53">
        <f>IFERROR(IF($A193="","",MAX(0,$R193*$S193-$T193)),"")</f>
        <v/>
      </c>
      <c r="Y193" s="53">
        <f>IFERROR(IF($A193="","",IF($U193="Yes",$X193*$V193,0)),"")</f>
        <v/>
      </c>
      <c r="Z193" s="53">
        <f>IFERROR(IF($A193="","",$X193+$Y193+$W193),"")</f>
        <v/>
      </c>
      <c r="AA193" s="28" t="n"/>
      <c r="AB193" s="51" t="n"/>
      <c r="AC193" s="24">
        <f>IFERROR(IF($A193="","",IF($N193="Canceled","Canceled",IF($AA193=0,"Not Received",IF($AA193&lt;$R193,"Partially Received",IF($AA193=$R193,"Fully Received","Over Received"))))),"")</f>
        <v/>
      </c>
      <c r="AD193" s="25" t="n"/>
      <c r="AE193" s="23" t="n"/>
      <c r="AF193" s="51" t="n"/>
      <c r="AG193" s="52" t="n"/>
      <c r="AH193" s="53">
        <f>IFERROR(IF($A193="","",IF($AG193="","",$AG193-$Z193)),"")</f>
        <v/>
      </c>
      <c r="AI193" s="32">
        <f>IFERROR(IF($A193="","",IF(OR($AG193="",$Z193=0),"",($AG193-$Z193)/$Z193)),"")</f>
        <v/>
      </c>
      <c r="AJ193" s="23" t="n"/>
      <c r="AK193" s="51" t="n"/>
      <c r="AL193" s="53">
        <f>IFERROR(IF($A193="","",IF(OR($N193="Canceled",$N193="Closed"),0,MAX($Z193-IF($AG193="",0,$AG193),0))),"")</f>
        <v/>
      </c>
      <c r="AM193" s="27">
        <f>IFERROR(IF($A193="","",IF(OR($N193="Closed",$N193="Canceled"),IF($O193="","",MAX(0,$O193-$H193)),MAX(0,TODAY()-$H193))),"")</f>
        <v/>
      </c>
      <c r="AN193" s="24">
        <f>IFERROR(IF($A193="","",IF($AA193&gt;$R193,"Over Received",IF(AND($J193="Approved",OR($K193="",$L193="")),"Approval Missing",IF(AND($J193="Pending",$AM193&gt;'Settings'!$B$7),"Approval Follow-Up",IF(AND($N193="Open",$I193&lt;&gt;"",$I193+'Settings'!$B$8&lt;TODAY(),$AA193&lt;$R193),"Delivery Overdue",IF(AND($AG193&lt;&gt;"",OR(ABS($AH193)&gt;'Settings'!$B$9,ABS($AI193)&gt;'Settings'!$B$10)),"Invoice Variance",IF(AND($N193="Open",$AM193&gt;'Settings'!$B$11),"Aging Open PO",""))))))),"")</f>
        <v/>
      </c>
      <c r="AO193" s="25" t="n"/>
      <c r="AP193" s="24">
        <f>IFERROR(IF(AND($AN193&lt;&gt;"",$N193&lt;&gt;"Closed",$N193&lt;&gt;"Canceled",OR('Dashboard'!$B$4="All",$B193='Dashboard'!$B$4),OR('Dashboard'!$D$4="All",$C193='Dashboard'!$D$4)),COUNTIFS($AN$6:$AN193,"&lt;&gt;",$N$6:$N193,"&lt;&gt;Closed",$N$6:$N193,"&lt;&gt;Canceled",$B$6:$B193,IF('Dashboard'!$B$4="All","&lt;&gt;",'Dashboard'!$B$4),$C$6:$C193,IF('Dashboard'!$D$4="All","&lt;&gt;",'Dashboard'!$D$4)),""),"")</f>
        <v/>
      </c>
    </row>
    <row r="194">
      <c r="A194" s="23" t="n"/>
      <c r="B194" s="23" t="n"/>
      <c r="C194" s="23" t="n"/>
      <c r="D194" s="23" t="n"/>
      <c r="E194" s="23" t="n"/>
      <c r="F194" s="24">
        <f>IFERROR(IF($E194="","",VLOOKUP($E194,'Settings'!$G$16:$M$115,2,0)),"")</f>
        <v/>
      </c>
      <c r="G194" s="25" t="n"/>
      <c r="H194" s="51" t="n"/>
      <c r="I194" s="51" t="n"/>
      <c r="J194" s="23" t="n"/>
      <c r="K194" s="23" t="n"/>
      <c r="L194" s="51" t="n"/>
      <c r="M194" s="27">
        <f>IFERROR(IF($A194="","",IF($J194="Approved",MAX(0,$L194-$H194),"")),"")</f>
        <v/>
      </c>
      <c r="N194" s="23" t="n"/>
      <c r="O194" s="51" t="n"/>
      <c r="P194" s="23" t="n"/>
      <c r="Q194" s="25" t="n"/>
      <c r="R194" s="28" t="n"/>
      <c r="S194" s="52" t="n"/>
      <c r="T194" s="52" t="n"/>
      <c r="U194" s="23" t="n"/>
      <c r="V194" s="30" t="n"/>
      <c r="W194" s="52" t="n"/>
      <c r="X194" s="53">
        <f>IFERROR(IF($A194="","",MAX(0,$R194*$S194-$T194)),"")</f>
        <v/>
      </c>
      <c r="Y194" s="53">
        <f>IFERROR(IF($A194="","",IF($U194="Yes",$X194*$V194,0)),"")</f>
        <v/>
      </c>
      <c r="Z194" s="53">
        <f>IFERROR(IF($A194="","",$X194+$Y194+$W194),"")</f>
        <v/>
      </c>
      <c r="AA194" s="28" t="n"/>
      <c r="AB194" s="51" t="n"/>
      <c r="AC194" s="24">
        <f>IFERROR(IF($A194="","",IF($N194="Canceled","Canceled",IF($AA194=0,"Not Received",IF($AA194&lt;$R194,"Partially Received",IF($AA194=$R194,"Fully Received","Over Received"))))),"")</f>
        <v/>
      </c>
      <c r="AD194" s="25" t="n"/>
      <c r="AE194" s="23" t="n"/>
      <c r="AF194" s="51" t="n"/>
      <c r="AG194" s="52" t="n"/>
      <c r="AH194" s="53">
        <f>IFERROR(IF($A194="","",IF($AG194="","",$AG194-$Z194)),"")</f>
        <v/>
      </c>
      <c r="AI194" s="32">
        <f>IFERROR(IF($A194="","",IF(OR($AG194="",$Z194=0),"",($AG194-$Z194)/$Z194)),"")</f>
        <v/>
      </c>
      <c r="AJ194" s="23" t="n"/>
      <c r="AK194" s="51" t="n"/>
      <c r="AL194" s="53">
        <f>IFERROR(IF($A194="","",IF(OR($N194="Canceled",$N194="Closed"),0,MAX($Z194-IF($AG194="",0,$AG194),0))),"")</f>
        <v/>
      </c>
      <c r="AM194" s="27">
        <f>IFERROR(IF($A194="","",IF(OR($N194="Closed",$N194="Canceled"),IF($O194="","",MAX(0,$O194-$H194)),MAX(0,TODAY()-$H194))),"")</f>
        <v/>
      </c>
      <c r="AN194" s="24">
        <f>IFERROR(IF($A194="","",IF($AA194&gt;$R194,"Over Received",IF(AND($J194="Approved",OR($K194="",$L194="")),"Approval Missing",IF(AND($J194="Pending",$AM194&gt;'Settings'!$B$7),"Approval Follow-Up",IF(AND($N194="Open",$I194&lt;&gt;"",$I194+'Settings'!$B$8&lt;TODAY(),$AA194&lt;$R194),"Delivery Overdue",IF(AND($AG194&lt;&gt;"",OR(ABS($AH194)&gt;'Settings'!$B$9,ABS($AI194)&gt;'Settings'!$B$10)),"Invoice Variance",IF(AND($N194="Open",$AM194&gt;'Settings'!$B$11),"Aging Open PO",""))))))),"")</f>
        <v/>
      </c>
      <c r="AO194" s="25" t="n"/>
      <c r="AP194" s="24">
        <f>IFERROR(IF(AND($AN194&lt;&gt;"",$N194&lt;&gt;"Closed",$N194&lt;&gt;"Canceled",OR('Dashboard'!$B$4="All",$B194='Dashboard'!$B$4),OR('Dashboard'!$D$4="All",$C194='Dashboard'!$D$4)),COUNTIFS($AN$6:$AN194,"&lt;&gt;",$N$6:$N194,"&lt;&gt;Closed",$N$6:$N194,"&lt;&gt;Canceled",$B$6:$B194,IF('Dashboard'!$B$4="All","&lt;&gt;",'Dashboard'!$B$4),$C$6:$C194,IF('Dashboard'!$D$4="All","&lt;&gt;",'Dashboard'!$D$4)),""),"")</f>
        <v/>
      </c>
    </row>
    <row r="195">
      <c r="A195" s="23" t="n"/>
      <c r="B195" s="23" t="n"/>
      <c r="C195" s="23" t="n"/>
      <c r="D195" s="23" t="n"/>
      <c r="E195" s="23" t="n"/>
      <c r="F195" s="24">
        <f>IFERROR(IF($E195="","",VLOOKUP($E195,'Settings'!$G$16:$M$115,2,0)),"")</f>
        <v/>
      </c>
      <c r="G195" s="25" t="n"/>
      <c r="H195" s="51" t="n"/>
      <c r="I195" s="51" t="n"/>
      <c r="J195" s="23" t="n"/>
      <c r="K195" s="23" t="n"/>
      <c r="L195" s="51" t="n"/>
      <c r="M195" s="27">
        <f>IFERROR(IF($A195="","",IF($J195="Approved",MAX(0,$L195-$H195),"")),"")</f>
        <v/>
      </c>
      <c r="N195" s="23" t="n"/>
      <c r="O195" s="51" t="n"/>
      <c r="P195" s="23" t="n"/>
      <c r="Q195" s="25" t="n"/>
      <c r="R195" s="28" t="n"/>
      <c r="S195" s="52" t="n"/>
      <c r="T195" s="52" t="n"/>
      <c r="U195" s="23" t="n"/>
      <c r="V195" s="30" t="n"/>
      <c r="W195" s="52" t="n"/>
      <c r="X195" s="53">
        <f>IFERROR(IF($A195="","",MAX(0,$R195*$S195-$T195)),"")</f>
        <v/>
      </c>
      <c r="Y195" s="53">
        <f>IFERROR(IF($A195="","",IF($U195="Yes",$X195*$V195,0)),"")</f>
        <v/>
      </c>
      <c r="Z195" s="53">
        <f>IFERROR(IF($A195="","",$X195+$Y195+$W195),"")</f>
        <v/>
      </c>
      <c r="AA195" s="28" t="n"/>
      <c r="AB195" s="51" t="n"/>
      <c r="AC195" s="24">
        <f>IFERROR(IF($A195="","",IF($N195="Canceled","Canceled",IF($AA195=0,"Not Received",IF($AA195&lt;$R195,"Partially Received",IF($AA195=$R195,"Fully Received","Over Received"))))),"")</f>
        <v/>
      </c>
      <c r="AD195" s="25" t="n"/>
      <c r="AE195" s="23" t="n"/>
      <c r="AF195" s="51" t="n"/>
      <c r="AG195" s="52" t="n"/>
      <c r="AH195" s="53">
        <f>IFERROR(IF($A195="","",IF($AG195="","",$AG195-$Z195)),"")</f>
        <v/>
      </c>
      <c r="AI195" s="32">
        <f>IFERROR(IF($A195="","",IF(OR($AG195="",$Z195=0),"",($AG195-$Z195)/$Z195)),"")</f>
        <v/>
      </c>
      <c r="AJ195" s="23" t="n"/>
      <c r="AK195" s="51" t="n"/>
      <c r="AL195" s="53">
        <f>IFERROR(IF($A195="","",IF(OR($N195="Canceled",$N195="Closed"),0,MAX($Z195-IF($AG195="",0,$AG195),0))),"")</f>
        <v/>
      </c>
      <c r="AM195" s="27">
        <f>IFERROR(IF($A195="","",IF(OR($N195="Closed",$N195="Canceled"),IF($O195="","",MAX(0,$O195-$H195)),MAX(0,TODAY()-$H195))),"")</f>
        <v/>
      </c>
      <c r="AN195" s="24">
        <f>IFERROR(IF($A195="","",IF($AA195&gt;$R195,"Over Received",IF(AND($J195="Approved",OR($K195="",$L195="")),"Approval Missing",IF(AND($J195="Pending",$AM195&gt;'Settings'!$B$7),"Approval Follow-Up",IF(AND($N195="Open",$I195&lt;&gt;"",$I195+'Settings'!$B$8&lt;TODAY(),$AA195&lt;$R195),"Delivery Overdue",IF(AND($AG195&lt;&gt;"",OR(ABS($AH195)&gt;'Settings'!$B$9,ABS($AI195)&gt;'Settings'!$B$10)),"Invoice Variance",IF(AND($N195="Open",$AM195&gt;'Settings'!$B$11),"Aging Open PO",""))))))),"")</f>
        <v/>
      </c>
      <c r="AO195" s="25" t="n"/>
      <c r="AP195" s="24">
        <f>IFERROR(IF(AND($AN195&lt;&gt;"",$N195&lt;&gt;"Closed",$N195&lt;&gt;"Canceled",OR('Dashboard'!$B$4="All",$B195='Dashboard'!$B$4),OR('Dashboard'!$D$4="All",$C195='Dashboard'!$D$4)),COUNTIFS($AN$6:$AN195,"&lt;&gt;",$N$6:$N195,"&lt;&gt;Closed",$N$6:$N195,"&lt;&gt;Canceled",$B$6:$B195,IF('Dashboard'!$B$4="All","&lt;&gt;",'Dashboard'!$B$4),$C$6:$C195,IF('Dashboard'!$D$4="All","&lt;&gt;",'Dashboard'!$D$4)),""),"")</f>
        <v/>
      </c>
    </row>
    <row r="196">
      <c r="A196" s="23" t="n"/>
      <c r="B196" s="23" t="n"/>
      <c r="C196" s="23" t="n"/>
      <c r="D196" s="23" t="n"/>
      <c r="E196" s="23" t="n"/>
      <c r="F196" s="24">
        <f>IFERROR(IF($E196="","",VLOOKUP($E196,'Settings'!$G$16:$M$115,2,0)),"")</f>
        <v/>
      </c>
      <c r="G196" s="25" t="n"/>
      <c r="H196" s="51" t="n"/>
      <c r="I196" s="51" t="n"/>
      <c r="J196" s="23" t="n"/>
      <c r="K196" s="23" t="n"/>
      <c r="L196" s="51" t="n"/>
      <c r="M196" s="27">
        <f>IFERROR(IF($A196="","",IF($J196="Approved",MAX(0,$L196-$H196),"")),"")</f>
        <v/>
      </c>
      <c r="N196" s="23" t="n"/>
      <c r="O196" s="51" t="n"/>
      <c r="P196" s="23" t="n"/>
      <c r="Q196" s="25" t="n"/>
      <c r="R196" s="28" t="n"/>
      <c r="S196" s="52" t="n"/>
      <c r="T196" s="52" t="n"/>
      <c r="U196" s="23" t="n"/>
      <c r="V196" s="30" t="n"/>
      <c r="W196" s="52" t="n"/>
      <c r="X196" s="53">
        <f>IFERROR(IF($A196="","",MAX(0,$R196*$S196-$T196)),"")</f>
        <v/>
      </c>
      <c r="Y196" s="53">
        <f>IFERROR(IF($A196="","",IF($U196="Yes",$X196*$V196,0)),"")</f>
        <v/>
      </c>
      <c r="Z196" s="53">
        <f>IFERROR(IF($A196="","",$X196+$Y196+$W196),"")</f>
        <v/>
      </c>
      <c r="AA196" s="28" t="n"/>
      <c r="AB196" s="51" t="n"/>
      <c r="AC196" s="24">
        <f>IFERROR(IF($A196="","",IF($N196="Canceled","Canceled",IF($AA196=0,"Not Received",IF($AA196&lt;$R196,"Partially Received",IF($AA196=$R196,"Fully Received","Over Received"))))),"")</f>
        <v/>
      </c>
      <c r="AD196" s="25" t="n"/>
      <c r="AE196" s="23" t="n"/>
      <c r="AF196" s="51" t="n"/>
      <c r="AG196" s="52" t="n"/>
      <c r="AH196" s="53">
        <f>IFERROR(IF($A196="","",IF($AG196="","",$AG196-$Z196)),"")</f>
        <v/>
      </c>
      <c r="AI196" s="32">
        <f>IFERROR(IF($A196="","",IF(OR($AG196="",$Z196=0),"",($AG196-$Z196)/$Z196)),"")</f>
        <v/>
      </c>
      <c r="AJ196" s="23" t="n"/>
      <c r="AK196" s="51" t="n"/>
      <c r="AL196" s="53">
        <f>IFERROR(IF($A196="","",IF(OR($N196="Canceled",$N196="Closed"),0,MAX($Z196-IF($AG196="",0,$AG196),0))),"")</f>
        <v/>
      </c>
      <c r="AM196" s="27">
        <f>IFERROR(IF($A196="","",IF(OR($N196="Closed",$N196="Canceled"),IF($O196="","",MAX(0,$O196-$H196)),MAX(0,TODAY()-$H196))),"")</f>
        <v/>
      </c>
      <c r="AN196" s="24">
        <f>IFERROR(IF($A196="","",IF($AA196&gt;$R196,"Over Received",IF(AND($J196="Approved",OR($K196="",$L196="")),"Approval Missing",IF(AND($J196="Pending",$AM196&gt;'Settings'!$B$7),"Approval Follow-Up",IF(AND($N196="Open",$I196&lt;&gt;"",$I196+'Settings'!$B$8&lt;TODAY(),$AA196&lt;$R196),"Delivery Overdue",IF(AND($AG196&lt;&gt;"",OR(ABS($AH196)&gt;'Settings'!$B$9,ABS($AI196)&gt;'Settings'!$B$10)),"Invoice Variance",IF(AND($N196="Open",$AM196&gt;'Settings'!$B$11),"Aging Open PO",""))))))),"")</f>
        <v/>
      </c>
      <c r="AO196" s="25" t="n"/>
      <c r="AP196" s="24">
        <f>IFERROR(IF(AND($AN196&lt;&gt;"",$N196&lt;&gt;"Closed",$N196&lt;&gt;"Canceled",OR('Dashboard'!$B$4="All",$B196='Dashboard'!$B$4),OR('Dashboard'!$D$4="All",$C196='Dashboard'!$D$4)),COUNTIFS($AN$6:$AN196,"&lt;&gt;",$N$6:$N196,"&lt;&gt;Closed",$N$6:$N196,"&lt;&gt;Canceled",$B$6:$B196,IF('Dashboard'!$B$4="All","&lt;&gt;",'Dashboard'!$B$4),$C$6:$C196,IF('Dashboard'!$D$4="All","&lt;&gt;",'Dashboard'!$D$4)),""),"")</f>
        <v/>
      </c>
    </row>
    <row r="197">
      <c r="A197" s="23" t="n"/>
      <c r="B197" s="23" t="n"/>
      <c r="C197" s="23" t="n"/>
      <c r="D197" s="23" t="n"/>
      <c r="E197" s="23" t="n"/>
      <c r="F197" s="24">
        <f>IFERROR(IF($E197="","",VLOOKUP($E197,'Settings'!$G$16:$M$115,2,0)),"")</f>
        <v/>
      </c>
      <c r="G197" s="25" t="n"/>
      <c r="H197" s="51" t="n"/>
      <c r="I197" s="51" t="n"/>
      <c r="J197" s="23" t="n"/>
      <c r="K197" s="23" t="n"/>
      <c r="L197" s="51" t="n"/>
      <c r="M197" s="27">
        <f>IFERROR(IF($A197="","",IF($J197="Approved",MAX(0,$L197-$H197),"")),"")</f>
        <v/>
      </c>
      <c r="N197" s="23" t="n"/>
      <c r="O197" s="51" t="n"/>
      <c r="P197" s="23" t="n"/>
      <c r="Q197" s="25" t="n"/>
      <c r="R197" s="28" t="n"/>
      <c r="S197" s="52" t="n"/>
      <c r="T197" s="52" t="n"/>
      <c r="U197" s="23" t="n"/>
      <c r="V197" s="30" t="n"/>
      <c r="W197" s="52" t="n"/>
      <c r="X197" s="53">
        <f>IFERROR(IF($A197="","",MAX(0,$R197*$S197-$T197)),"")</f>
        <v/>
      </c>
      <c r="Y197" s="53">
        <f>IFERROR(IF($A197="","",IF($U197="Yes",$X197*$V197,0)),"")</f>
        <v/>
      </c>
      <c r="Z197" s="53">
        <f>IFERROR(IF($A197="","",$X197+$Y197+$W197),"")</f>
        <v/>
      </c>
      <c r="AA197" s="28" t="n"/>
      <c r="AB197" s="51" t="n"/>
      <c r="AC197" s="24">
        <f>IFERROR(IF($A197="","",IF($N197="Canceled","Canceled",IF($AA197=0,"Not Received",IF($AA197&lt;$R197,"Partially Received",IF($AA197=$R197,"Fully Received","Over Received"))))),"")</f>
        <v/>
      </c>
      <c r="AD197" s="25" t="n"/>
      <c r="AE197" s="23" t="n"/>
      <c r="AF197" s="51" t="n"/>
      <c r="AG197" s="52" t="n"/>
      <c r="AH197" s="53">
        <f>IFERROR(IF($A197="","",IF($AG197="","",$AG197-$Z197)),"")</f>
        <v/>
      </c>
      <c r="AI197" s="32">
        <f>IFERROR(IF($A197="","",IF(OR($AG197="",$Z197=0),"",($AG197-$Z197)/$Z197)),"")</f>
        <v/>
      </c>
      <c r="AJ197" s="23" t="n"/>
      <c r="AK197" s="51" t="n"/>
      <c r="AL197" s="53">
        <f>IFERROR(IF($A197="","",IF(OR($N197="Canceled",$N197="Closed"),0,MAX($Z197-IF($AG197="",0,$AG197),0))),"")</f>
        <v/>
      </c>
      <c r="AM197" s="27">
        <f>IFERROR(IF($A197="","",IF(OR($N197="Closed",$N197="Canceled"),IF($O197="","",MAX(0,$O197-$H197)),MAX(0,TODAY()-$H197))),"")</f>
        <v/>
      </c>
      <c r="AN197" s="24">
        <f>IFERROR(IF($A197="","",IF($AA197&gt;$R197,"Over Received",IF(AND($J197="Approved",OR($K197="",$L197="")),"Approval Missing",IF(AND($J197="Pending",$AM197&gt;'Settings'!$B$7),"Approval Follow-Up",IF(AND($N197="Open",$I197&lt;&gt;"",$I197+'Settings'!$B$8&lt;TODAY(),$AA197&lt;$R197),"Delivery Overdue",IF(AND($AG197&lt;&gt;"",OR(ABS($AH197)&gt;'Settings'!$B$9,ABS($AI197)&gt;'Settings'!$B$10)),"Invoice Variance",IF(AND($N197="Open",$AM197&gt;'Settings'!$B$11),"Aging Open PO",""))))))),"")</f>
        <v/>
      </c>
      <c r="AO197" s="25" t="n"/>
      <c r="AP197" s="24">
        <f>IFERROR(IF(AND($AN197&lt;&gt;"",$N197&lt;&gt;"Closed",$N197&lt;&gt;"Canceled",OR('Dashboard'!$B$4="All",$B197='Dashboard'!$B$4),OR('Dashboard'!$D$4="All",$C197='Dashboard'!$D$4)),COUNTIFS($AN$6:$AN197,"&lt;&gt;",$N$6:$N197,"&lt;&gt;Closed",$N$6:$N197,"&lt;&gt;Canceled",$B$6:$B197,IF('Dashboard'!$B$4="All","&lt;&gt;",'Dashboard'!$B$4),$C$6:$C197,IF('Dashboard'!$D$4="All","&lt;&gt;",'Dashboard'!$D$4)),""),"")</f>
        <v/>
      </c>
    </row>
    <row r="198">
      <c r="A198" s="23" t="n"/>
      <c r="B198" s="23" t="n"/>
      <c r="C198" s="23" t="n"/>
      <c r="D198" s="23" t="n"/>
      <c r="E198" s="23" t="n"/>
      <c r="F198" s="24">
        <f>IFERROR(IF($E198="","",VLOOKUP($E198,'Settings'!$G$16:$M$115,2,0)),"")</f>
        <v/>
      </c>
      <c r="G198" s="25" t="n"/>
      <c r="H198" s="51" t="n"/>
      <c r="I198" s="51" t="n"/>
      <c r="J198" s="23" t="n"/>
      <c r="K198" s="23" t="n"/>
      <c r="L198" s="51" t="n"/>
      <c r="M198" s="27">
        <f>IFERROR(IF($A198="","",IF($J198="Approved",MAX(0,$L198-$H198),"")),"")</f>
        <v/>
      </c>
      <c r="N198" s="23" t="n"/>
      <c r="O198" s="51" t="n"/>
      <c r="P198" s="23" t="n"/>
      <c r="Q198" s="25" t="n"/>
      <c r="R198" s="28" t="n"/>
      <c r="S198" s="52" t="n"/>
      <c r="T198" s="52" t="n"/>
      <c r="U198" s="23" t="n"/>
      <c r="V198" s="30" t="n"/>
      <c r="W198" s="52" t="n"/>
      <c r="X198" s="53">
        <f>IFERROR(IF($A198="","",MAX(0,$R198*$S198-$T198)),"")</f>
        <v/>
      </c>
      <c r="Y198" s="53">
        <f>IFERROR(IF($A198="","",IF($U198="Yes",$X198*$V198,0)),"")</f>
        <v/>
      </c>
      <c r="Z198" s="53">
        <f>IFERROR(IF($A198="","",$X198+$Y198+$W198),"")</f>
        <v/>
      </c>
      <c r="AA198" s="28" t="n"/>
      <c r="AB198" s="51" t="n"/>
      <c r="AC198" s="24">
        <f>IFERROR(IF($A198="","",IF($N198="Canceled","Canceled",IF($AA198=0,"Not Received",IF($AA198&lt;$R198,"Partially Received",IF($AA198=$R198,"Fully Received","Over Received"))))),"")</f>
        <v/>
      </c>
      <c r="AD198" s="25" t="n"/>
      <c r="AE198" s="23" t="n"/>
      <c r="AF198" s="51" t="n"/>
      <c r="AG198" s="52" t="n"/>
      <c r="AH198" s="53">
        <f>IFERROR(IF($A198="","",IF($AG198="","",$AG198-$Z198)),"")</f>
        <v/>
      </c>
      <c r="AI198" s="32">
        <f>IFERROR(IF($A198="","",IF(OR($AG198="",$Z198=0),"",($AG198-$Z198)/$Z198)),"")</f>
        <v/>
      </c>
      <c r="AJ198" s="23" t="n"/>
      <c r="AK198" s="51" t="n"/>
      <c r="AL198" s="53">
        <f>IFERROR(IF($A198="","",IF(OR($N198="Canceled",$N198="Closed"),0,MAX($Z198-IF($AG198="",0,$AG198),0))),"")</f>
        <v/>
      </c>
      <c r="AM198" s="27">
        <f>IFERROR(IF($A198="","",IF(OR($N198="Closed",$N198="Canceled"),IF($O198="","",MAX(0,$O198-$H198)),MAX(0,TODAY()-$H198))),"")</f>
        <v/>
      </c>
      <c r="AN198" s="24">
        <f>IFERROR(IF($A198="","",IF($AA198&gt;$R198,"Over Received",IF(AND($J198="Approved",OR($K198="",$L198="")),"Approval Missing",IF(AND($J198="Pending",$AM198&gt;'Settings'!$B$7),"Approval Follow-Up",IF(AND($N198="Open",$I198&lt;&gt;"",$I198+'Settings'!$B$8&lt;TODAY(),$AA198&lt;$R198),"Delivery Overdue",IF(AND($AG198&lt;&gt;"",OR(ABS($AH198)&gt;'Settings'!$B$9,ABS($AI198)&gt;'Settings'!$B$10)),"Invoice Variance",IF(AND($N198="Open",$AM198&gt;'Settings'!$B$11),"Aging Open PO",""))))))),"")</f>
        <v/>
      </c>
      <c r="AO198" s="25" t="n"/>
      <c r="AP198" s="24">
        <f>IFERROR(IF(AND($AN198&lt;&gt;"",$N198&lt;&gt;"Closed",$N198&lt;&gt;"Canceled",OR('Dashboard'!$B$4="All",$B198='Dashboard'!$B$4),OR('Dashboard'!$D$4="All",$C198='Dashboard'!$D$4)),COUNTIFS($AN$6:$AN198,"&lt;&gt;",$N$6:$N198,"&lt;&gt;Closed",$N$6:$N198,"&lt;&gt;Canceled",$B$6:$B198,IF('Dashboard'!$B$4="All","&lt;&gt;",'Dashboard'!$B$4),$C$6:$C198,IF('Dashboard'!$D$4="All","&lt;&gt;",'Dashboard'!$D$4)),""),"")</f>
        <v/>
      </c>
    </row>
    <row r="199">
      <c r="A199" s="23" t="n"/>
      <c r="B199" s="23" t="n"/>
      <c r="C199" s="23" t="n"/>
      <c r="D199" s="23" t="n"/>
      <c r="E199" s="23" t="n"/>
      <c r="F199" s="24">
        <f>IFERROR(IF($E199="","",VLOOKUP($E199,'Settings'!$G$16:$M$115,2,0)),"")</f>
        <v/>
      </c>
      <c r="G199" s="25" t="n"/>
      <c r="H199" s="51" t="n"/>
      <c r="I199" s="51" t="n"/>
      <c r="J199" s="23" t="n"/>
      <c r="K199" s="23" t="n"/>
      <c r="L199" s="51" t="n"/>
      <c r="M199" s="27">
        <f>IFERROR(IF($A199="","",IF($J199="Approved",MAX(0,$L199-$H199),"")),"")</f>
        <v/>
      </c>
      <c r="N199" s="23" t="n"/>
      <c r="O199" s="51" t="n"/>
      <c r="P199" s="23" t="n"/>
      <c r="Q199" s="25" t="n"/>
      <c r="R199" s="28" t="n"/>
      <c r="S199" s="52" t="n"/>
      <c r="T199" s="52" t="n"/>
      <c r="U199" s="23" t="n"/>
      <c r="V199" s="30" t="n"/>
      <c r="W199" s="52" t="n"/>
      <c r="X199" s="53">
        <f>IFERROR(IF($A199="","",MAX(0,$R199*$S199-$T199)),"")</f>
        <v/>
      </c>
      <c r="Y199" s="53">
        <f>IFERROR(IF($A199="","",IF($U199="Yes",$X199*$V199,0)),"")</f>
        <v/>
      </c>
      <c r="Z199" s="53">
        <f>IFERROR(IF($A199="","",$X199+$Y199+$W199),"")</f>
        <v/>
      </c>
      <c r="AA199" s="28" t="n"/>
      <c r="AB199" s="51" t="n"/>
      <c r="AC199" s="24">
        <f>IFERROR(IF($A199="","",IF($N199="Canceled","Canceled",IF($AA199=0,"Not Received",IF($AA199&lt;$R199,"Partially Received",IF($AA199=$R199,"Fully Received","Over Received"))))),"")</f>
        <v/>
      </c>
      <c r="AD199" s="25" t="n"/>
      <c r="AE199" s="23" t="n"/>
      <c r="AF199" s="51" t="n"/>
      <c r="AG199" s="52" t="n"/>
      <c r="AH199" s="53">
        <f>IFERROR(IF($A199="","",IF($AG199="","",$AG199-$Z199)),"")</f>
        <v/>
      </c>
      <c r="AI199" s="32">
        <f>IFERROR(IF($A199="","",IF(OR($AG199="",$Z199=0),"",($AG199-$Z199)/$Z199)),"")</f>
        <v/>
      </c>
      <c r="AJ199" s="23" t="n"/>
      <c r="AK199" s="51" t="n"/>
      <c r="AL199" s="53">
        <f>IFERROR(IF($A199="","",IF(OR($N199="Canceled",$N199="Closed"),0,MAX($Z199-IF($AG199="",0,$AG199),0))),"")</f>
        <v/>
      </c>
      <c r="AM199" s="27">
        <f>IFERROR(IF($A199="","",IF(OR($N199="Closed",$N199="Canceled"),IF($O199="","",MAX(0,$O199-$H199)),MAX(0,TODAY()-$H199))),"")</f>
        <v/>
      </c>
      <c r="AN199" s="24">
        <f>IFERROR(IF($A199="","",IF($AA199&gt;$R199,"Over Received",IF(AND($J199="Approved",OR($K199="",$L199="")),"Approval Missing",IF(AND($J199="Pending",$AM199&gt;'Settings'!$B$7),"Approval Follow-Up",IF(AND($N199="Open",$I199&lt;&gt;"",$I199+'Settings'!$B$8&lt;TODAY(),$AA199&lt;$R199),"Delivery Overdue",IF(AND($AG199&lt;&gt;"",OR(ABS($AH199)&gt;'Settings'!$B$9,ABS($AI199)&gt;'Settings'!$B$10)),"Invoice Variance",IF(AND($N199="Open",$AM199&gt;'Settings'!$B$11),"Aging Open PO",""))))))),"")</f>
        <v/>
      </c>
      <c r="AO199" s="25" t="n"/>
      <c r="AP199" s="24">
        <f>IFERROR(IF(AND($AN199&lt;&gt;"",$N199&lt;&gt;"Closed",$N199&lt;&gt;"Canceled",OR('Dashboard'!$B$4="All",$B199='Dashboard'!$B$4),OR('Dashboard'!$D$4="All",$C199='Dashboard'!$D$4)),COUNTIFS($AN$6:$AN199,"&lt;&gt;",$N$6:$N199,"&lt;&gt;Closed",$N$6:$N199,"&lt;&gt;Canceled",$B$6:$B199,IF('Dashboard'!$B$4="All","&lt;&gt;",'Dashboard'!$B$4),$C$6:$C199,IF('Dashboard'!$D$4="All","&lt;&gt;",'Dashboard'!$D$4)),""),"")</f>
        <v/>
      </c>
    </row>
    <row r="200">
      <c r="A200" s="23" t="n"/>
      <c r="B200" s="23" t="n"/>
      <c r="C200" s="23" t="n"/>
      <c r="D200" s="23" t="n"/>
      <c r="E200" s="23" t="n"/>
      <c r="F200" s="24">
        <f>IFERROR(IF($E200="","",VLOOKUP($E200,'Settings'!$G$16:$M$115,2,0)),"")</f>
        <v/>
      </c>
      <c r="G200" s="25" t="n"/>
      <c r="H200" s="51" t="n"/>
      <c r="I200" s="51" t="n"/>
      <c r="J200" s="23" t="n"/>
      <c r="K200" s="23" t="n"/>
      <c r="L200" s="51" t="n"/>
      <c r="M200" s="27">
        <f>IFERROR(IF($A200="","",IF($J200="Approved",MAX(0,$L200-$H200),"")),"")</f>
        <v/>
      </c>
      <c r="N200" s="23" t="n"/>
      <c r="O200" s="51" t="n"/>
      <c r="P200" s="23" t="n"/>
      <c r="Q200" s="25" t="n"/>
      <c r="R200" s="28" t="n"/>
      <c r="S200" s="52" t="n"/>
      <c r="T200" s="52" t="n"/>
      <c r="U200" s="23" t="n"/>
      <c r="V200" s="30" t="n"/>
      <c r="W200" s="52" t="n"/>
      <c r="X200" s="53">
        <f>IFERROR(IF($A200="","",MAX(0,$R200*$S200-$T200)),"")</f>
        <v/>
      </c>
      <c r="Y200" s="53">
        <f>IFERROR(IF($A200="","",IF($U200="Yes",$X200*$V200,0)),"")</f>
        <v/>
      </c>
      <c r="Z200" s="53">
        <f>IFERROR(IF($A200="","",$X200+$Y200+$W200),"")</f>
        <v/>
      </c>
      <c r="AA200" s="28" t="n"/>
      <c r="AB200" s="51" t="n"/>
      <c r="AC200" s="24">
        <f>IFERROR(IF($A200="","",IF($N200="Canceled","Canceled",IF($AA200=0,"Not Received",IF($AA200&lt;$R200,"Partially Received",IF($AA200=$R200,"Fully Received","Over Received"))))),"")</f>
        <v/>
      </c>
      <c r="AD200" s="25" t="n"/>
      <c r="AE200" s="23" t="n"/>
      <c r="AF200" s="51" t="n"/>
      <c r="AG200" s="52" t="n"/>
      <c r="AH200" s="53">
        <f>IFERROR(IF($A200="","",IF($AG200="","",$AG200-$Z200)),"")</f>
        <v/>
      </c>
      <c r="AI200" s="32">
        <f>IFERROR(IF($A200="","",IF(OR($AG200="",$Z200=0),"",($AG200-$Z200)/$Z200)),"")</f>
        <v/>
      </c>
      <c r="AJ200" s="23" t="n"/>
      <c r="AK200" s="51" t="n"/>
      <c r="AL200" s="53">
        <f>IFERROR(IF($A200="","",IF(OR($N200="Canceled",$N200="Closed"),0,MAX($Z200-IF($AG200="",0,$AG200),0))),"")</f>
        <v/>
      </c>
      <c r="AM200" s="27">
        <f>IFERROR(IF($A200="","",IF(OR($N200="Closed",$N200="Canceled"),IF($O200="","",MAX(0,$O200-$H200)),MAX(0,TODAY()-$H200))),"")</f>
        <v/>
      </c>
      <c r="AN200" s="24">
        <f>IFERROR(IF($A200="","",IF($AA200&gt;$R200,"Over Received",IF(AND($J200="Approved",OR($K200="",$L200="")),"Approval Missing",IF(AND($J200="Pending",$AM200&gt;'Settings'!$B$7),"Approval Follow-Up",IF(AND($N200="Open",$I200&lt;&gt;"",$I200+'Settings'!$B$8&lt;TODAY(),$AA200&lt;$R200),"Delivery Overdue",IF(AND($AG200&lt;&gt;"",OR(ABS($AH200)&gt;'Settings'!$B$9,ABS($AI200)&gt;'Settings'!$B$10)),"Invoice Variance",IF(AND($N200="Open",$AM200&gt;'Settings'!$B$11),"Aging Open PO",""))))))),"")</f>
        <v/>
      </c>
      <c r="AO200" s="25" t="n"/>
      <c r="AP200" s="24">
        <f>IFERROR(IF(AND($AN200&lt;&gt;"",$N200&lt;&gt;"Closed",$N200&lt;&gt;"Canceled",OR('Dashboard'!$B$4="All",$B200='Dashboard'!$B$4),OR('Dashboard'!$D$4="All",$C200='Dashboard'!$D$4)),COUNTIFS($AN$6:$AN200,"&lt;&gt;",$N$6:$N200,"&lt;&gt;Closed",$N$6:$N200,"&lt;&gt;Canceled",$B$6:$B200,IF('Dashboard'!$B$4="All","&lt;&gt;",'Dashboard'!$B$4),$C$6:$C200,IF('Dashboard'!$D$4="All","&lt;&gt;",'Dashboard'!$D$4)),""),"")</f>
        <v/>
      </c>
    </row>
    <row r="201">
      <c r="A201" s="23" t="n"/>
      <c r="B201" s="23" t="n"/>
      <c r="C201" s="23" t="n"/>
      <c r="D201" s="23" t="n"/>
      <c r="E201" s="23" t="n"/>
      <c r="F201" s="24">
        <f>IFERROR(IF($E201="","",VLOOKUP($E201,'Settings'!$G$16:$M$115,2,0)),"")</f>
        <v/>
      </c>
      <c r="G201" s="25" t="n"/>
      <c r="H201" s="51" t="n"/>
      <c r="I201" s="51" t="n"/>
      <c r="J201" s="23" t="n"/>
      <c r="K201" s="23" t="n"/>
      <c r="L201" s="51" t="n"/>
      <c r="M201" s="27">
        <f>IFERROR(IF($A201="","",IF($J201="Approved",MAX(0,$L201-$H201),"")),"")</f>
        <v/>
      </c>
      <c r="N201" s="23" t="n"/>
      <c r="O201" s="51" t="n"/>
      <c r="P201" s="23" t="n"/>
      <c r="Q201" s="25" t="n"/>
      <c r="R201" s="28" t="n"/>
      <c r="S201" s="52" t="n"/>
      <c r="T201" s="52" t="n"/>
      <c r="U201" s="23" t="n"/>
      <c r="V201" s="30" t="n"/>
      <c r="W201" s="52" t="n"/>
      <c r="X201" s="53">
        <f>IFERROR(IF($A201="","",MAX(0,$R201*$S201-$T201)),"")</f>
        <v/>
      </c>
      <c r="Y201" s="53">
        <f>IFERROR(IF($A201="","",IF($U201="Yes",$X201*$V201,0)),"")</f>
        <v/>
      </c>
      <c r="Z201" s="53">
        <f>IFERROR(IF($A201="","",$X201+$Y201+$W201),"")</f>
        <v/>
      </c>
      <c r="AA201" s="28" t="n"/>
      <c r="AB201" s="51" t="n"/>
      <c r="AC201" s="24">
        <f>IFERROR(IF($A201="","",IF($N201="Canceled","Canceled",IF($AA201=0,"Not Received",IF($AA201&lt;$R201,"Partially Received",IF($AA201=$R201,"Fully Received","Over Received"))))),"")</f>
        <v/>
      </c>
      <c r="AD201" s="25" t="n"/>
      <c r="AE201" s="23" t="n"/>
      <c r="AF201" s="51" t="n"/>
      <c r="AG201" s="52" t="n"/>
      <c r="AH201" s="53">
        <f>IFERROR(IF($A201="","",IF($AG201="","",$AG201-$Z201)),"")</f>
        <v/>
      </c>
      <c r="AI201" s="32">
        <f>IFERROR(IF($A201="","",IF(OR($AG201="",$Z201=0),"",($AG201-$Z201)/$Z201)),"")</f>
        <v/>
      </c>
      <c r="AJ201" s="23" t="n"/>
      <c r="AK201" s="51" t="n"/>
      <c r="AL201" s="53">
        <f>IFERROR(IF($A201="","",IF(OR($N201="Canceled",$N201="Closed"),0,MAX($Z201-IF($AG201="",0,$AG201),0))),"")</f>
        <v/>
      </c>
      <c r="AM201" s="27">
        <f>IFERROR(IF($A201="","",IF(OR($N201="Closed",$N201="Canceled"),IF($O201="","",MAX(0,$O201-$H201)),MAX(0,TODAY()-$H201))),"")</f>
        <v/>
      </c>
      <c r="AN201" s="24">
        <f>IFERROR(IF($A201="","",IF($AA201&gt;$R201,"Over Received",IF(AND($J201="Approved",OR($K201="",$L201="")),"Approval Missing",IF(AND($J201="Pending",$AM201&gt;'Settings'!$B$7),"Approval Follow-Up",IF(AND($N201="Open",$I201&lt;&gt;"",$I201+'Settings'!$B$8&lt;TODAY(),$AA201&lt;$R201),"Delivery Overdue",IF(AND($AG201&lt;&gt;"",OR(ABS($AH201)&gt;'Settings'!$B$9,ABS($AI201)&gt;'Settings'!$B$10)),"Invoice Variance",IF(AND($N201="Open",$AM201&gt;'Settings'!$B$11),"Aging Open PO",""))))))),"")</f>
        <v/>
      </c>
      <c r="AO201" s="25" t="n"/>
      <c r="AP201" s="24">
        <f>IFERROR(IF(AND($AN201&lt;&gt;"",$N201&lt;&gt;"Closed",$N201&lt;&gt;"Canceled",OR('Dashboard'!$B$4="All",$B201='Dashboard'!$B$4),OR('Dashboard'!$D$4="All",$C201='Dashboard'!$D$4)),COUNTIFS($AN$6:$AN201,"&lt;&gt;",$N$6:$N201,"&lt;&gt;Closed",$N$6:$N201,"&lt;&gt;Canceled",$B$6:$B201,IF('Dashboard'!$B$4="All","&lt;&gt;",'Dashboard'!$B$4),$C$6:$C201,IF('Dashboard'!$D$4="All","&lt;&gt;",'Dashboard'!$D$4)),""),"")</f>
        <v/>
      </c>
    </row>
    <row r="202">
      <c r="A202" s="23" t="n"/>
      <c r="B202" s="23" t="n"/>
      <c r="C202" s="23" t="n"/>
      <c r="D202" s="23" t="n"/>
      <c r="E202" s="23" t="n"/>
      <c r="F202" s="24">
        <f>IFERROR(IF($E202="","",VLOOKUP($E202,'Settings'!$G$16:$M$115,2,0)),"")</f>
        <v/>
      </c>
      <c r="G202" s="25" t="n"/>
      <c r="H202" s="51" t="n"/>
      <c r="I202" s="51" t="n"/>
      <c r="J202" s="23" t="n"/>
      <c r="K202" s="23" t="n"/>
      <c r="L202" s="51" t="n"/>
      <c r="M202" s="27">
        <f>IFERROR(IF($A202="","",IF($J202="Approved",MAX(0,$L202-$H202),"")),"")</f>
        <v/>
      </c>
      <c r="N202" s="23" t="n"/>
      <c r="O202" s="51" t="n"/>
      <c r="P202" s="23" t="n"/>
      <c r="Q202" s="25" t="n"/>
      <c r="R202" s="28" t="n"/>
      <c r="S202" s="52" t="n"/>
      <c r="T202" s="52" t="n"/>
      <c r="U202" s="23" t="n"/>
      <c r="V202" s="30" t="n"/>
      <c r="W202" s="52" t="n"/>
      <c r="X202" s="53">
        <f>IFERROR(IF($A202="","",MAX(0,$R202*$S202-$T202)),"")</f>
        <v/>
      </c>
      <c r="Y202" s="53">
        <f>IFERROR(IF($A202="","",IF($U202="Yes",$X202*$V202,0)),"")</f>
        <v/>
      </c>
      <c r="Z202" s="53">
        <f>IFERROR(IF($A202="","",$X202+$Y202+$W202),"")</f>
        <v/>
      </c>
      <c r="AA202" s="28" t="n"/>
      <c r="AB202" s="51" t="n"/>
      <c r="AC202" s="24">
        <f>IFERROR(IF($A202="","",IF($N202="Canceled","Canceled",IF($AA202=0,"Not Received",IF($AA202&lt;$R202,"Partially Received",IF($AA202=$R202,"Fully Received","Over Received"))))),"")</f>
        <v/>
      </c>
      <c r="AD202" s="25" t="n"/>
      <c r="AE202" s="23" t="n"/>
      <c r="AF202" s="51" t="n"/>
      <c r="AG202" s="52" t="n"/>
      <c r="AH202" s="53">
        <f>IFERROR(IF($A202="","",IF($AG202="","",$AG202-$Z202)),"")</f>
        <v/>
      </c>
      <c r="AI202" s="32">
        <f>IFERROR(IF($A202="","",IF(OR($AG202="",$Z202=0),"",($AG202-$Z202)/$Z202)),"")</f>
        <v/>
      </c>
      <c r="AJ202" s="23" t="n"/>
      <c r="AK202" s="51" t="n"/>
      <c r="AL202" s="53">
        <f>IFERROR(IF($A202="","",IF(OR($N202="Canceled",$N202="Closed"),0,MAX($Z202-IF($AG202="",0,$AG202),0))),"")</f>
        <v/>
      </c>
      <c r="AM202" s="27">
        <f>IFERROR(IF($A202="","",IF(OR($N202="Closed",$N202="Canceled"),IF($O202="","",MAX(0,$O202-$H202)),MAX(0,TODAY()-$H202))),"")</f>
        <v/>
      </c>
      <c r="AN202" s="24">
        <f>IFERROR(IF($A202="","",IF($AA202&gt;$R202,"Over Received",IF(AND($J202="Approved",OR($K202="",$L202="")),"Approval Missing",IF(AND($J202="Pending",$AM202&gt;'Settings'!$B$7),"Approval Follow-Up",IF(AND($N202="Open",$I202&lt;&gt;"",$I202+'Settings'!$B$8&lt;TODAY(),$AA202&lt;$R202),"Delivery Overdue",IF(AND($AG202&lt;&gt;"",OR(ABS($AH202)&gt;'Settings'!$B$9,ABS($AI202)&gt;'Settings'!$B$10)),"Invoice Variance",IF(AND($N202="Open",$AM202&gt;'Settings'!$B$11),"Aging Open PO",""))))))),"")</f>
        <v/>
      </c>
      <c r="AO202" s="25" t="n"/>
      <c r="AP202" s="24">
        <f>IFERROR(IF(AND($AN202&lt;&gt;"",$N202&lt;&gt;"Closed",$N202&lt;&gt;"Canceled",OR('Dashboard'!$B$4="All",$B202='Dashboard'!$B$4),OR('Dashboard'!$D$4="All",$C202='Dashboard'!$D$4)),COUNTIFS($AN$6:$AN202,"&lt;&gt;",$N$6:$N202,"&lt;&gt;Closed",$N$6:$N202,"&lt;&gt;Canceled",$B$6:$B202,IF('Dashboard'!$B$4="All","&lt;&gt;",'Dashboard'!$B$4),$C$6:$C202,IF('Dashboard'!$D$4="All","&lt;&gt;",'Dashboard'!$D$4)),""),"")</f>
        <v/>
      </c>
    </row>
    <row r="203">
      <c r="A203" s="23" t="n"/>
      <c r="B203" s="23" t="n"/>
      <c r="C203" s="23" t="n"/>
      <c r="D203" s="23" t="n"/>
      <c r="E203" s="23" t="n"/>
      <c r="F203" s="24">
        <f>IFERROR(IF($E203="","",VLOOKUP($E203,'Settings'!$G$16:$M$115,2,0)),"")</f>
        <v/>
      </c>
      <c r="G203" s="25" t="n"/>
      <c r="H203" s="51" t="n"/>
      <c r="I203" s="51" t="n"/>
      <c r="J203" s="23" t="n"/>
      <c r="K203" s="23" t="n"/>
      <c r="L203" s="51" t="n"/>
      <c r="M203" s="27">
        <f>IFERROR(IF($A203="","",IF($J203="Approved",MAX(0,$L203-$H203),"")),"")</f>
        <v/>
      </c>
      <c r="N203" s="23" t="n"/>
      <c r="O203" s="51" t="n"/>
      <c r="P203" s="23" t="n"/>
      <c r="Q203" s="25" t="n"/>
      <c r="R203" s="28" t="n"/>
      <c r="S203" s="52" t="n"/>
      <c r="T203" s="52" t="n"/>
      <c r="U203" s="23" t="n"/>
      <c r="V203" s="30" t="n"/>
      <c r="W203" s="52" t="n"/>
      <c r="X203" s="53">
        <f>IFERROR(IF($A203="","",MAX(0,$R203*$S203-$T203)),"")</f>
        <v/>
      </c>
      <c r="Y203" s="53">
        <f>IFERROR(IF($A203="","",IF($U203="Yes",$X203*$V203,0)),"")</f>
        <v/>
      </c>
      <c r="Z203" s="53">
        <f>IFERROR(IF($A203="","",$X203+$Y203+$W203),"")</f>
        <v/>
      </c>
      <c r="AA203" s="28" t="n"/>
      <c r="AB203" s="51" t="n"/>
      <c r="AC203" s="24">
        <f>IFERROR(IF($A203="","",IF($N203="Canceled","Canceled",IF($AA203=0,"Not Received",IF($AA203&lt;$R203,"Partially Received",IF($AA203=$R203,"Fully Received","Over Received"))))),"")</f>
        <v/>
      </c>
      <c r="AD203" s="25" t="n"/>
      <c r="AE203" s="23" t="n"/>
      <c r="AF203" s="51" t="n"/>
      <c r="AG203" s="52" t="n"/>
      <c r="AH203" s="53">
        <f>IFERROR(IF($A203="","",IF($AG203="","",$AG203-$Z203)),"")</f>
        <v/>
      </c>
      <c r="AI203" s="32">
        <f>IFERROR(IF($A203="","",IF(OR($AG203="",$Z203=0),"",($AG203-$Z203)/$Z203)),"")</f>
        <v/>
      </c>
      <c r="AJ203" s="23" t="n"/>
      <c r="AK203" s="51" t="n"/>
      <c r="AL203" s="53">
        <f>IFERROR(IF($A203="","",IF(OR($N203="Canceled",$N203="Closed"),0,MAX($Z203-IF($AG203="",0,$AG203),0))),"")</f>
        <v/>
      </c>
      <c r="AM203" s="27">
        <f>IFERROR(IF($A203="","",IF(OR($N203="Closed",$N203="Canceled"),IF($O203="","",MAX(0,$O203-$H203)),MAX(0,TODAY()-$H203))),"")</f>
        <v/>
      </c>
      <c r="AN203" s="24">
        <f>IFERROR(IF($A203="","",IF($AA203&gt;$R203,"Over Received",IF(AND($J203="Approved",OR($K203="",$L203="")),"Approval Missing",IF(AND($J203="Pending",$AM203&gt;'Settings'!$B$7),"Approval Follow-Up",IF(AND($N203="Open",$I203&lt;&gt;"",$I203+'Settings'!$B$8&lt;TODAY(),$AA203&lt;$R203),"Delivery Overdue",IF(AND($AG203&lt;&gt;"",OR(ABS($AH203)&gt;'Settings'!$B$9,ABS($AI203)&gt;'Settings'!$B$10)),"Invoice Variance",IF(AND($N203="Open",$AM203&gt;'Settings'!$B$11),"Aging Open PO",""))))))),"")</f>
        <v/>
      </c>
      <c r="AO203" s="25" t="n"/>
      <c r="AP203" s="24">
        <f>IFERROR(IF(AND($AN203&lt;&gt;"",$N203&lt;&gt;"Closed",$N203&lt;&gt;"Canceled",OR('Dashboard'!$B$4="All",$B203='Dashboard'!$B$4),OR('Dashboard'!$D$4="All",$C203='Dashboard'!$D$4)),COUNTIFS($AN$6:$AN203,"&lt;&gt;",$N$6:$N203,"&lt;&gt;Closed",$N$6:$N203,"&lt;&gt;Canceled",$B$6:$B203,IF('Dashboard'!$B$4="All","&lt;&gt;",'Dashboard'!$B$4),$C$6:$C203,IF('Dashboard'!$D$4="All","&lt;&gt;",'Dashboard'!$D$4)),""),"")</f>
        <v/>
      </c>
    </row>
    <row r="204">
      <c r="A204" s="23" t="n"/>
      <c r="B204" s="23" t="n"/>
      <c r="C204" s="23" t="n"/>
      <c r="D204" s="23" t="n"/>
      <c r="E204" s="23" t="n"/>
      <c r="F204" s="24">
        <f>IFERROR(IF($E204="","",VLOOKUP($E204,'Settings'!$G$16:$M$115,2,0)),"")</f>
        <v/>
      </c>
      <c r="G204" s="25" t="n"/>
      <c r="H204" s="51" t="n"/>
      <c r="I204" s="51" t="n"/>
      <c r="J204" s="23" t="n"/>
      <c r="K204" s="23" t="n"/>
      <c r="L204" s="51" t="n"/>
      <c r="M204" s="27">
        <f>IFERROR(IF($A204="","",IF($J204="Approved",MAX(0,$L204-$H204),"")),"")</f>
        <v/>
      </c>
      <c r="N204" s="23" t="n"/>
      <c r="O204" s="51" t="n"/>
      <c r="P204" s="23" t="n"/>
      <c r="Q204" s="25" t="n"/>
      <c r="R204" s="28" t="n"/>
      <c r="S204" s="52" t="n"/>
      <c r="T204" s="52" t="n"/>
      <c r="U204" s="23" t="n"/>
      <c r="V204" s="30" t="n"/>
      <c r="W204" s="52" t="n"/>
      <c r="X204" s="53">
        <f>IFERROR(IF($A204="","",MAX(0,$R204*$S204-$T204)),"")</f>
        <v/>
      </c>
      <c r="Y204" s="53">
        <f>IFERROR(IF($A204="","",IF($U204="Yes",$X204*$V204,0)),"")</f>
        <v/>
      </c>
      <c r="Z204" s="53">
        <f>IFERROR(IF($A204="","",$X204+$Y204+$W204),"")</f>
        <v/>
      </c>
      <c r="AA204" s="28" t="n"/>
      <c r="AB204" s="51" t="n"/>
      <c r="AC204" s="24">
        <f>IFERROR(IF($A204="","",IF($N204="Canceled","Canceled",IF($AA204=0,"Not Received",IF($AA204&lt;$R204,"Partially Received",IF($AA204=$R204,"Fully Received","Over Received"))))),"")</f>
        <v/>
      </c>
      <c r="AD204" s="25" t="n"/>
      <c r="AE204" s="23" t="n"/>
      <c r="AF204" s="51" t="n"/>
      <c r="AG204" s="52" t="n"/>
      <c r="AH204" s="53">
        <f>IFERROR(IF($A204="","",IF($AG204="","",$AG204-$Z204)),"")</f>
        <v/>
      </c>
      <c r="AI204" s="32">
        <f>IFERROR(IF($A204="","",IF(OR($AG204="",$Z204=0),"",($AG204-$Z204)/$Z204)),"")</f>
        <v/>
      </c>
      <c r="AJ204" s="23" t="n"/>
      <c r="AK204" s="51" t="n"/>
      <c r="AL204" s="53">
        <f>IFERROR(IF($A204="","",IF(OR($N204="Canceled",$N204="Closed"),0,MAX($Z204-IF($AG204="",0,$AG204),0))),"")</f>
        <v/>
      </c>
      <c r="AM204" s="27">
        <f>IFERROR(IF($A204="","",IF(OR($N204="Closed",$N204="Canceled"),IF($O204="","",MAX(0,$O204-$H204)),MAX(0,TODAY()-$H204))),"")</f>
        <v/>
      </c>
      <c r="AN204" s="24">
        <f>IFERROR(IF($A204="","",IF($AA204&gt;$R204,"Over Received",IF(AND($J204="Approved",OR($K204="",$L204="")),"Approval Missing",IF(AND($J204="Pending",$AM204&gt;'Settings'!$B$7),"Approval Follow-Up",IF(AND($N204="Open",$I204&lt;&gt;"",$I204+'Settings'!$B$8&lt;TODAY(),$AA204&lt;$R204),"Delivery Overdue",IF(AND($AG204&lt;&gt;"",OR(ABS($AH204)&gt;'Settings'!$B$9,ABS($AI204)&gt;'Settings'!$B$10)),"Invoice Variance",IF(AND($N204="Open",$AM204&gt;'Settings'!$B$11),"Aging Open PO",""))))))),"")</f>
        <v/>
      </c>
      <c r="AO204" s="25" t="n"/>
      <c r="AP204" s="24">
        <f>IFERROR(IF(AND($AN204&lt;&gt;"",$N204&lt;&gt;"Closed",$N204&lt;&gt;"Canceled",OR('Dashboard'!$B$4="All",$B204='Dashboard'!$B$4),OR('Dashboard'!$D$4="All",$C204='Dashboard'!$D$4)),COUNTIFS($AN$6:$AN204,"&lt;&gt;",$N$6:$N204,"&lt;&gt;Closed",$N$6:$N204,"&lt;&gt;Canceled",$B$6:$B204,IF('Dashboard'!$B$4="All","&lt;&gt;",'Dashboard'!$B$4),$C$6:$C204,IF('Dashboard'!$D$4="All","&lt;&gt;",'Dashboard'!$D$4)),""),"")</f>
        <v/>
      </c>
    </row>
    <row r="205">
      <c r="A205" s="23" t="n"/>
      <c r="B205" s="23" t="n"/>
      <c r="C205" s="23" t="n"/>
      <c r="D205" s="23" t="n"/>
      <c r="E205" s="23" t="n"/>
      <c r="F205" s="24">
        <f>IFERROR(IF($E205="","",VLOOKUP($E205,'Settings'!$G$16:$M$115,2,0)),"")</f>
        <v/>
      </c>
      <c r="G205" s="25" t="n"/>
      <c r="H205" s="51" t="n"/>
      <c r="I205" s="51" t="n"/>
      <c r="J205" s="23" t="n"/>
      <c r="K205" s="23" t="n"/>
      <c r="L205" s="51" t="n"/>
      <c r="M205" s="27">
        <f>IFERROR(IF($A205="","",IF($J205="Approved",MAX(0,$L205-$H205),"")),"")</f>
        <v/>
      </c>
      <c r="N205" s="23" t="n"/>
      <c r="O205" s="51" t="n"/>
      <c r="P205" s="23" t="n"/>
      <c r="Q205" s="25" t="n"/>
      <c r="R205" s="28" t="n"/>
      <c r="S205" s="52" t="n"/>
      <c r="T205" s="52" t="n"/>
      <c r="U205" s="23" t="n"/>
      <c r="V205" s="30" t="n"/>
      <c r="W205" s="52" t="n"/>
      <c r="X205" s="53">
        <f>IFERROR(IF($A205="","",MAX(0,$R205*$S205-$T205)),"")</f>
        <v/>
      </c>
      <c r="Y205" s="53">
        <f>IFERROR(IF($A205="","",IF($U205="Yes",$X205*$V205,0)),"")</f>
        <v/>
      </c>
      <c r="Z205" s="53">
        <f>IFERROR(IF($A205="","",$X205+$Y205+$W205),"")</f>
        <v/>
      </c>
      <c r="AA205" s="28" t="n"/>
      <c r="AB205" s="51" t="n"/>
      <c r="AC205" s="24">
        <f>IFERROR(IF($A205="","",IF($N205="Canceled","Canceled",IF($AA205=0,"Not Received",IF($AA205&lt;$R205,"Partially Received",IF($AA205=$R205,"Fully Received","Over Received"))))),"")</f>
        <v/>
      </c>
      <c r="AD205" s="25" t="n"/>
      <c r="AE205" s="23" t="n"/>
      <c r="AF205" s="51" t="n"/>
      <c r="AG205" s="52" t="n"/>
      <c r="AH205" s="53">
        <f>IFERROR(IF($A205="","",IF($AG205="","",$AG205-$Z205)),"")</f>
        <v/>
      </c>
      <c r="AI205" s="32">
        <f>IFERROR(IF($A205="","",IF(OR($AG205="",$Z205=0),"",($AG205-$Z205)/$Z205)),"")</f>
        <v/>
      </c>
      <c r="AJ205" s="23" t="n"/>
      <c r="AK205" s="51" t="n"/>
      <c r="AL205" s="53">
        <f>IFERROR(IF($A205="","",IF(OR($N205="Canceled",$N205="Closed"),0,MAX($Z205-IF($AG205="",0,$AG205),0))),"")</f>
        <v/>
      </c>
      <c r="AM205" s="27">
        <f>IFERROR(IF($A205="","",IF(OR($N205="Closed",$N205="Canceled"),IF($O205="","",MAX(0,$O205-$H205)),MAX(0,TODAY()-$H205))),"")</f>
        <v/>
      </c>
      <c r="AN205" s="24">
        <f>IFERROR(IF($A205="","",IF($AA205&gt;$R205,"Over Received",IF(AND($J205="Approved",OR($K205="",$L205="")),"Approval Missing",IF(AND($J205="Pending",$AM205&gt;'Settings'!$B$7),"Approval Follow-Up",IF(AND($N205="Open",$I205&lt;&gt;"",$I205+'Settings'!$B$8&lt;TODAY(),$AA205&lt;$R205),"Delivery Overdue",IF(AND($AG205&lt;&gt;"",OR(ABS($AH205)&gt;'Settings'!$B$9,ABS($AI205)&gt;'Settings'!$B$10)),"Invoice Variance",IF(AND($N205="Open",$AM205&gt;'Settings'!$B$11),"Aging Open PO",""))))))),"")</f>
        <v/>
      </c>
      <c r="AO205" s="25" t="n"/>
      <c r="AP205" s="24">
        <f>IFERROR(IF(AND($AN205&lt;&gt;"",$N205&lt;&gt;"Closed",$N205&lt;&gt;"Canceled",OR('Dashboard'!$B$4="All",$B205='Dashboard'!$B$4),OR('Dashboard'!$D$4="All",$C205='Dashboard'!$D$4)),COUNTIFS($AN$6:$AN205,"&lt;&gt;",$N$6:$N205,"&lt;&gt;Closed",$N$6:$N205,"&lt;&gt;Canceled",$B$6:$B205,IF('Dashboard'!$B$4="All","&lt;&gt;",'Dashboard'!$B$4),$C$6:$C205,IF('Dashboard'!$D$4="All","&lt;&gt;",'Dashboard'!$D$4)),""),"")</f>
        <v/>
      </c>
    </row>
    <row r="206">
      <c r="A206" s="23" t="n"/>
      <c r="B206" s="23" t="n"/>
      <c r="C206" s="23" t="n"/>
      <c r="D206" s="23" t="n"/>
      <c r="E206" s="23" t="n"/>
      <c r="F206" s="24">
        <f>IFERROR(IF($E206="","",VLOOKUP($E206,'Settings'!$G$16:$M$115,2,0)),"")</f>
        <v/>
      </c>
      <c r="G206" s="25" t="n"/>
      <c r="H206" s="51" t="n"/>
      <c r="I206" s="51" t="n"/>
      <c r="J206" s="23" t="n"/>
      <c r="K206" s="23" t="n"/>
      <c r="L206" s="51" t="n"/>
      <c r="M206" s="27">
        <f>IFERROR(IF($A206="","",IF($J206="Approved",MAX(0,$L206-$H206),"")),"")</f>
        <v/>
      </c>
      <c r="N206" s="23" t="n"/>
      <c r="O206" s="51" t="n"/>
      <c r="P206" s="23" t="n"/>
      <c r="Q206" s="25" t="n"/>
      <c r="R206" s="28" t="n"/>
      <c r="S206" s="52" t="n"/>
      <c r="T206" s="52" t="n"/>
      <c r="U206" s="23" t="n"/>
      <c r="V206" s="30" t="n"/>
      <c r="W206" s="52" t="n"/>
      <c r="X206" s="53">
        <f>IFERROR(IF($A206="","",MAX(0,$R206*$S206-$T206)),"")</f>
        <v/>
      </c>
      <c r="Y206" s="53">
        <f>IFERROR(IF($A206="","",IF($U206="Yes",$X206*$V206,0)),"")</f>
        <v/>
      </c>
      <c r="Z206" s="53">
        <f>IFERROR(IF($A206="","",$X206+$Y206+$W206),"")</f>
        <v/>
      </c>
      <c r="AA206" s="28" t="n"/>
      <c r="AB206" s="51" t="n"/>
      <c r="AC206" s="24">
        <f>IFERROR(IF($A206="","",IF($N206="Canceled","Canceled",IF($AA206=0,"Not Received",IF($AA206&lt;$R206,"Partially Received",IF($AA206=$R206,"Fully Received","Over Received"))))),"")</f>
        <v/>
      </c>
      <c r="AD206" s="25" t="n"/>
      <c r="AE206" s="23" t="n"/>
      <c r="AF206" s="51" t="n"/>
      <c r="AG206" s="52" t="n"/>
      <c r="AH206" s="53">
        <f>IFERROR(IF($A206="","",IF($AG206="","",$AG206-$Z206)),"")</f>
        <v/>
      </c>
      <c r="AI206" s="32">
        <f>IFERROR(IF($A206="","",IF(OR($AG206="",$Z206=0),"",($AG206-$Z206)/$Z206)),"")</f>
        <v/>
      </c>
      <c r="AJ206" s="23" t="n"/>
      <c r="AK206" s="51" t="n"/>
      <c r="AL206" s="53">
        <f>IFERROR(IF($A206="","",IF(OR($N206="Canceled",$N206="Closed"),0,MAX($Z206-IF($AG206="",0,$AG206),0))),"")</f>
        <v/>
      </c>
      <c r="AM206" s="27">
        <f>IFERROR(IF($A206="","",IF(OR($N206="Closed",$N206="Canceled"),IF($O206="","",MAX(0,$O206-$H206)),MAX(0,TODAY()-$H206))),"")</f>
        <v/>
      </c>
      <c r="AN206" s="24">
        <f>IFERROR(IF($A206="","",IF($AA206&gt;$R206,"Over Received",IF(AND($J206="Approved",OR($K206="",$L206="")),"Approval Missing",IF(AND($J206="Pending",$AM206&gt;'Settings'!$B$7),"Approval Follow-Up",IF(AND($N206="Open",$I206&lt;&gt;"",$I206+'Settings'!$B$8&lt;TODAY(),$AA206&lt;$R206),"Delivery Overdue",IF(AND($AG206&lt;&gt;"",OR(ABS($AH206)&gt;'Settings'!$B$9,ABS($AI206)&gt;'Settings'!$B$10)),"Invoice Variance",IF(AND($N206="Open",$AM206&gt;'Settings'!$B$11),"Aging Open PO",""))))))),"")</f>
        <v/>
      </c>
      <c r="AO206" s="25" t="n"/>
      <c r="AP206" s="24">
        <f>IFERROR(IF(AND($AN206&lt;&gt;"",$N206&lt;&gt;"Closed",$N206&lt;&gt;"Canceled",OR('Dashboard'!$B$4="All",$B206='Dashboard'!$B$4),OR('Dashboard'!$D$4="All",$C206='Dashboard'!$D$4)),COUNTIFS($AN$6:$AN206,"&lt;&gt;",$N$6:$N206,"&lt;&gt;Closed",$N$6:$N206,"&lt;&gt;Canceled",$B$6:$B206,IF('Dashboard'!$B$4="All","&lt;&gt;",'Dashboard'!$B$4),$C$6:$C206,IF('Dashboard'!$D$4="All","&lt;&gt;",'Dashboard'!$D$4)),""),"")</f>
        <v/>
      </c>
    </row>
    <row r="207">
      <c r="A207" s="23" t="n"/>
      <c r="B207" s="23" t="n"/>
      <c r="C207" s="23" t="n"/>
      <c r="D207" s="23" t="n"/>
      <c r="E207" s="23" t="n"/>
      <c r="F207" s="24">
        <f>IFERROR(IF($E207="","",VLOOKUP($E207,'Settings'!$G$16:$M$115,2,0)),"")</f>
        <v/>
      </c>
      <c r="G207" s="25" t="n"/>
      <c r="H207" s="51" t="n"/>
      <c r="I207" s="51" t="n"/>
      <c r="J207" s="23" t="n"/>
      <c r="K207" s="23" t="n"/>
      <c r="L207" s="51" t="n"/>
      <c r="M207" s="27">
        <f>IFERROR(IF($A207="","",IF($J207="Approved",MAX(0,$L207-$H207),"")),"")</f>
        <v/>
      </c>
      <c r="N207" s="23" t="n"/>
      <c r="O207" s="51" t="n"/>
      <c r="P207" s="23" t="n"/>
      <c r="Q207" s="25" t="n"/>
      <c r="R207" s="28" t="n"/>
      <c r="S207" s="52" t="n"/>
      <c r="T207" s="52" t="n"/>
      <c r="U207" s="23" t="n"/>
      <c r="V207" s="30" t="n"/>
      <c r="W207" s="52" t="n"/>
      <c r="X207" s="53">
        <f>IFERROR(IF($A207="","",MAX(0,$R207*$S207-$T207)),"")</f>
        <v/>
      </c>
      <c r="Y207" s="53">
        <f>IFERROR(IF($A207="","",IF($U207="Yes",$X207*$V207,0)),"")</f>
        <v/>
      </c>
      <c r="Z207" s="53">
        <f>IFERROR(IF($A207="","",$X207+$Y207+$W207),"")</f>
        <v/>
      </c>
      <c r="AA207" s="28" t="n"/>
      <c r="AB207" s="51" t="n"/>
      <c r="AC207" s="24">
        <f>IFERROR(IF($A207="","",IF($N207="Canceled","Canceled",IF($AA207=0,"Not Received",IF($AA207&lt;$R207,"Partially Received",IF($AA207=$R207,"Fully Received","Over Received"))))),"")</f>
        <v/>
      </c>
      <c r="AD207" s="25" t="n"/>
      <c r="AE207" s="23" t="n"/>
      <c r="AF207" s="51" t="n"/>
      <c r="AG207" s="52" t="n"/>
      <c r="AH207" s="53">
        <f>IFERROR(IF($A207="","",IF($AG207="","",$AG207-$Z207)),"")</f>
        <v/>
      </c>
      <c r="AI207" s="32">
        <f>IFERROR(IF($A207="","",IF(OR($AG207="",$Z207=0),"",($AG207-$Z207)/$Z207)),"")</f>
        <v/>
      </c>
      <c r="AJ207" s="23" t="n"/>
      <c r="AK207" s="51" t="n"/>
      <c r="AL207" s="53">
        <f>IFERROR(IF($A207="","",IF(OR($N207="Canceled",$N207="Closed"),0,MAX($Z207-IF($AG207="",0,$AG207),0))),"")</f>
        <v/>
      </c>
      <c r="AM207" s="27">
        <f>IFERROR(IF($A207="","",IF(OR($N207="Closed",$N207="Canceled"),IF($O207="","",MAX(0,$O207-$H207)),MAX(0,TODAY()-$H207))),"")</f>
        <v/>
      </c>
      <c r="AN207" s="24">
        <f>IFERROR(IF($A207="","",IF($AA207&gt;$R207,"Over Received",IF(AND($J207="Approved",OR($K207="",$L207="")),"Approval Missing",IF(AND($J207="Pending",$AM207&gt;'Settings'!$B$7),"Approval Follow-Up",IF(AND($N207="Open",$I207&lt;&gt;"",$I207+'Settings'!$B$8&lt;TODAY(),$AA207&lt;$R207),"Delivery Overdue",IF(AND($AG207&lt;&gt;"",OR(ABS($AH207)&gt;'Settings'!$B$9,ABS($AI207)&gt;'Settings'!$B$10)),"Invoice Variance",IF(AND($N207="Open",$AM207&gt;'Settings'!$B$11),"Aging Open PO",""))))))),"")</f>
        <v/>
      </c>
      <c r="AO207" s="25" t="n"/>
      <c r="AP207" s="24">
        <f>IFERROR(IF(AND($AN207&lt;&gt;"",$N207&lt;&gt;"Closed",$N207&lt;&gt;"Canceled",OR('Dashboard'!$B$4="All",$B207='Dashboard'!$B$4),OR('Dashboard'!$D$4="All",$C207='Dashboard'!$D$4)),COUNTIFS($AN$6:$AN207,"&lt;&gt;",$N$6:$N207,"&lt;&gt;Closed",$N$6:$N207,"&lt;&gt;Canceled",$B$6:$B207,IF('Dashboard'!$B$4="All","&lt;&gt;",'Dashboard'!$B$4),$C$6:$C207,IF('Dashboard'!$D$4="All","&lt;&gt;",'Dashboard'!$D$4)),""),"")</f>
        <v/>
      </c>
    </row>
    <row r="208">
      <c r="A208" s="23" t="n"/>
      <c r="B208" s="23" t="n"/>
      <c r="C208" s="23" t="n"/>
      <c r="D208" s="23" t="n"/>
      <c r="E208" s="23" t="n"/>
      <c r="F208" s="24">
        <f>IFERROR(IF($E208="","",VLOOKUP($E208,'Settings'!$G$16:$M$115,2,0)),"")</f>
        <v/>
      </c>
      <c r="G208" s="25" t="n"/>
      <c r="H208" s="51" t="n"/>
      <c r="I208" s="51" t="n"/>
      <c r="J208" s="23" t="n"/>
      <c r="K208" s="23" t="n"/>
      <c r="L208" s="51" t="n"/>
      <c r="M208" s="27">
        <f>IFERROR(IF($A208="","",IF($J208="Approved",MAX(0,$L208-$H208),"")),"")</f>
        <v/>
      </c>
      <c r="N208" s="23" t="n"/>
      <c r="O208" s="51" t="n"/>
      <c r="P208" s="23" t="n"/>
      <c r="Q208" s="25" t="n"/>
      <c r="R208" s="28" t="n"/>
      <c r="S208" s="52" t="n"/>
      <c r="T208" s="52" t="n"/>
      <c r="U208" s="23" t="n"/>
      <c r="V208" s="30" t="n"/>
      <c r="W208" s="52" t="n"/>
      <c r="X208" s="53">
        <f>IFERROR(IF($A208="","",MAX(0,$R208*$S208-$T208)),"")</f>
        <v/>
      </c>
      <c r="Y208" s="53">
        <f>IFERROR(IF($A208="","",IF($U208="Yes",$X208*$V208,0)),"")</f>
        <v/>
      </c>
      <c r="Z208" s="53">
        <f>IFERROR(IF($A208="","",$X208+$Y208+$W208),"")</f>
        <v/>
      </c>
      <c r="AA208" s="28" t="n"/>
      <c r="AB208" s="51" t="n"/>
      <c r="AC208" s="24">
        <f>IFERROR(IF($A208="","",IF($N208="Canceled","Canceled",IF($AA208=0,"Not Received",IF($AA208&lt;$R208,"Partially Received",IF($AA208=$R208,"Fully Received","Over Received"))))),"")</f>
        <v/>
      </c>
      <c r="AD208" s="25" t="n"/>
      <c r="AE208" s="23" t="n"/>
      <c r="AF208" s="51" t="n"/>
      <c r="AG208" s="52" t="n"/>
      <c r="AH208" s="53">
        <f>IFERROR(IF($A208="","",IF($AG208="","",$AG208-$Z208)),"")</f>
        <v/>
      </c>
      <c r="AI208" s="32">
        <f>IFERROR(IF($A208="","",IF(OR($AG208="",$Z208=0),"",($AG208-$Z208)/$Z208)),"")</f>
        <v/>
      </c>
      <c r="AJ208" s="23" t="n"/>
      <c r="AK208" s="51" t="n"/>
      <c r="AL208" s="53">
        <f>IFERROR(IF($A208="","",IF(OR($N208="Canceled",$N208="Closed"),0,MAX($Z208-IF($AG208="",0,$AG208),0))),"")</f>
        <v/>
      </c>
      <c r="AM208" s="27">
        <f>IFERROR(IF($A208="","",IF(OR($N208="Closed",$N208="Canceled"),IF($O208="","",MAX(0,$O208-$H208)),MAX(0,TODAY()-$H208))),"")</f>
        <v/>
      </c>
      <c r="AN208" s="24">
        <f>IFERROR(IF($A208="","",IF($AA208&gt;$R208,"Over Received",IF(AND($J208="Approved",OR($K208="",$L208="")),"Approval Missing",IF(AND($J208="Pending",$AM208&gt;'Settings'!$B$7),"Approval Follow-Up",IF(AND($N208="Open",$I208&lt;&gt;"",$I208+'Settings'!$B$8&lt;TODAY(),$AA208&lt;$R208),"Delivery Overdue",IF(AND($AG208&lt;&gt;"",OR(ABS($AH208)&gt;'Settings'!$B$9,ABS($AI208)&gt;'Settings'!$B$10)),"Invoice Variance",IF(AND($N208="Open",$AM208&gt;'Settings'!$B$11),"Aging Open PO",""))))))),"")</f>
        <v/>
      </c>
      <c r="AO208" s="25" t="n"/>
      <c r="AP208" s="24">
        <f>IFERROR(IF(AND($AN208&lt;&gt;"",$N208&lt;&gt;"Closed",$N208&lt;&gt;"Canceled",OR('Dashboard'!$B$4="All",$B208='Dashboard'!$B$4),OR('Dashboard'!$D$4="All",$C208='Dashboard'!$D$4)),COUNTIFS($AN$6:$AN208,"&lt;&gt;",$N$6:$N208,"&lt;&gt;Closed",$N$6:$N208,"&lt;&gt;Canceled",$B$6:$B208,IF('Dashboard'!$B$4="All","&lt;&gt;",'Dashboard'!$B$4),$C$6:$C208,IF('Dashboard'!$D$4="All","&lt;&gt;",'Dashboard'!$D$4)),""),"")</f>
        <v/>
      </c>
    </row>
    <row r="209">
      <c r="A209" s="23" t="n"/>
      <c r="B209" s="23" t="n"/>
      <c r="C209" s="23" t="n"/>
      <c r="D209" s="23" t="n"/>
      <c r="E209" s="23" t="n"/>
      <c r="F209" s="24">
        <f>IFERROR(IF($E209="","",VLOOKUP($E209,'Settings'!$G$16:$M$115,2,0)),"")</f>
        <v/>
      </c>
      <c r="G209" s="25" t="n"/>
      <c r="H209" s="51" t="n"/>
      <c r="I209" s="51" t="n"/>
      <c r="J209" s="23" t="n"/>
      <c r="K209" s="23" t="n"/>
      <c r="L209" s="51" t="n"/>
      <c r="M209" s="27">
        <f>IFERROR(IF($A209="","",IF($J209="Approved",MAX(0,$L209-$H209),"")),"")</f>
        <v/>
      </c>
      <c r="N209" s="23" t="n"/>
      <c r="O209" s="51" t="n"/>
      <c r="P209" s="23" t="n"/>
      <c r="Q209" s="25" t="n"/>
      <c r="R209" s="28" t="n"/>
      <c r="S209" s="52" t="n"/>
      <c r="T209" s="52" t="n"/>
      <c r="U209" s="23" t="n"/>
      <c r="V209" s="30" t="n"/>
      <c r="W209" s="52" t="n"/>
      <c r="X209" s="53">
        <f>IFERROR(IF($A209="","",MAX(0,$R209*$S209-$T209)),"")</f>
        <v/>
      </c>
      <c r="Y209" s="53">
        <f>IFERROR(IF($A209="","",IF($U209="Yes",$X209*$V209,0)),"")</f>
        <v/>
      </c>
      <c r="Z209" s="53">
        <f>IFERROR(IF($A209="","",$X209+$Y209+$W209),"")</f>
        <v/>
      </c>
      <c r="AA209" s="28" t="n"/>
      <c r="AB209" s="51" t="n"/>
      <c r="AC209" s="24">
        <f>IFERROR(IF($A209="","",IF($N209="Canceled","Canceled",IF($AA209=0,"Not Received",IF($AA209&lt;$R209,"Partially Received",IF($AA209=$R209,"Fully Received","Over Received"))))),"")</f>
        <v/>
      </c>
      <c r="AD209" s="25" t="n"/>
      <c r="AE209" s="23" t="n"/>
      <c r="AF209" s="51" t="n"/>
      <c r="AG209" s="52" t="n"/>
      <c r="AH209" s="53">
        <f>IFERROR(IF($A209="","",IF($AG209="","",$AG209-$Z209)),"")</f>
        <v/>
      </c>
      <c r="AI209" s="32">
        <f>IFERROR(IF($A209="","",IF(OR($AG209="",$Z209=0),"",($AG209-$Z209)/$Z209)),"")</f>
        <v/>
      </c>
      <c r="AJ209" s="23" t="n"/>
      <c r="AK209" s="51" t="n"/>
      <c r="AL209" s="53">
        <f>IFERROR(IF($A209="","",IF(OR($N209="Canceled",$N209="Closed"),0,MAX($Z209-IF($AG209="",0,$AG209),0))),"")</f>
        <v/>
      </c>
      <c r="AM209" s="27">
        <f>IFERROR(IF($A209="","",IF(OR($N209="Closed",$N209="Canceled"),IF($O209="","",MAX(0,$O209-$H209)),MAX(0,TODAY()-$H209))),"")</f>
        <v/>
      </c>
      <c r="AN209" s="24">
        <f>IFERROR(IF($A209="","",IF($AA209&gt;$R209,"Over Received",IF(AND($J209="Approved",OR($K209="",$L209="")),"Approval Missing",IF(AND($J209="Pending",$AM209&gt;'Settings'!$B$7),"Approval Follow-Up",IF(AND($N209="Open",$I209&lt;&gt;"",$I209+'Settings'!$B$8&lt;TODAY(),$AA209&lt;$R209),"Delivery Overdue",IF(AND($AG209&lt;&gt;"",OR(ABS($AH209)&gt;'Settings'!$B$9,ABS($AI209)&gt;'Settings'!$B$10)),"Invoice Variance",IF(AND($N209="Open",$AM209&gt;'Settings'!$B$11),"Aging Open PO",""))))))),"")</f>
        <v/>
      </c>
      <c r="AO209" s="25" t="n"/>
      <c r="AP209" s="24">
        <f>IFERROR(IF(AND($AN209&lt;&gt;"",$N209&lt;&gt;"Closed",$N209&lt;&gt;"Canceled",OR('Dashboard'!$B$4="All",$B209='Dashboard'!$B$4),OR('Dashboard'!$D$4="All",$C209='Dashboard'!$D$4)),COUNTIFS($AN$6:$AN209,"&lt;&gt;",$N$6:$N209,"&lt;&gt;Closed",$N$6:$N209,"&lt;&gt;Canceled",$B$6:$B209,IF('Dashboard'!$B$4="All","&lt;&gt;",'Dashboard'!$B$4),$C$6:$C209,IF('Dashboard'!$D$4="All","&lt;&gt;",'Dashboard'!$D$4)),""),"")</f>
        <v/>
      </c>
    </row>
    <row r="210">
      <c r="A210" s="23" t="n"/>
      <c r="B210" s="23" t="n"/>
      <c r="C210" s="23" t="n"/>
      <c r="D210" s="23" t="n"/>
      <c r="E210" s="23" t="n"/>
      <c r="F210" s="24">
        <f>IFERROR(IF($E210="","",VLOOKUP($E210,'Settings'!$G$16:$M$115,2,0)),"")</f>
        <v/>
      </c>
      <c r="G210" s="25" t="n"/>
      <c r="H210" s="51" t="n"/>
      <c r="I210" s="51" t="n"/>
      <c r="J210" s="23" t="n"/>
      <c r="K210" s="23" t="n"/>
      <c r="L210" s="51" t="n"/>
      <c r="M210" s="27">
        <f>IFERROR(IF($A210="","",IF($J210="Approved",MAX(0,$L210-$H210),"")),"")</f>
        <v/>
      </c>
      <c r="N210" s="23" t="n"/>
      <c r="O210" s="51" t="n"/>
      <c r="P210" s="23" t="n"/>
      <c r="Q210" s="25" t="n"/>
      <c r="R210" s="28" t="n"/>
      <c r="S210" s="52" t="n"/>
      <c r="T210" s="52" t="n"/>
      <c r="U210" s="23" t="n"/>
      <c r="V210" s="30" t="n"/>
      <c r="W210" s="52" t="n"/>
      <c r="X210" s="53">
        <f>IFERROR(IF($A210="","",MAX(0,$R210*$S210-$T210)),"")</f>
        <v/>
      </c>
      <c r="Y210" s="53">
        <f>IFERROR(IF($A210="","",IF($U210="Yes",$X210*$V210,0)),"")</f>
        <v/>
      </c>
      <c r="Z210" s="53">
        <f>IFERROR(IF($A210="","",$X210+$Y210+$W210),"")</f>
        <v/>
      </c>
      <c r="AA210" s="28" t="n"/>
      <c r="AB210" s="51" t="n"/>
      <c r="AC210" s="24">
        <f>IFERROR(IF($A210="","",IF($N210="Canceled","Canceled",IF($AA210=0,"Not Received",IF($AA210&lt;$R210,"Partially Received",IF($AA210=$R210,"Fully Received","Over Received"))))),"")</f>
        <v/>
      </c>
      <c r="AD210" s="25" t="n"/>
      <c r="AE210" s="23" t="n"/>
      <c r="AF210" s="51" t="n"/>
      <c r="AG210" s="52" t="n"/>
      <c r="AH210" s="53">
        <f>IFERROR(IF($A210="","",IF($AG210="","",$AG210-$Z210)),"")</f>
        <v/>
      </c>
      <c r="AI210" s="32">
        <f>IFERROR(IF($A210="","",IF(OR($AG210="",$Z210=0),"",($AG210-$Z210)/$Z210)),"")</f>
        <v/>
      </c>
      <c r="AJ210" s="23" t="n"/>
      <c r="AK210" s="51" t="n"/>
      <c r="AL210" s="53">
        <f>IFERROR(IF($A210="","",IF(OR($N210="Canceled",$N210="Closed"),0,MAX($Z210-IF($AG210="",0,$AG210),0))),"")</f>
        <v/>
      </c>
      <c r="AM210" s="27">
        <f>IFERROR(IF($A210="","",IF(OR($N210="Closed",$N210="Canceled"),IF($O210="","",MAX(0,$O210-$H210)),MAX(0,TODAY()-$H210))),"")</f>
        <v/>
      </c>
      <c r="AN210" s="24">
        <f>IFERROR(IF($A210="","",IF($AA210&gt;$R210,"Over Received",IF(AND($J210="Approved",OR($K210="",$L210="")),"Approval Missing",IF(AND($J210="Pending",$AM210&gt;'Settings'!$B$7),"Approval Follow-Up",IF(AND($N210="Open",$I210&lt;&gt;"",$I210+'Settings'!$B$8&lt;TODAY(),$AA210&lt;$R210),"Delivery Overdue",IF(AND($AG210&lt;&gt;"",OR(ABS($AH210)&gt;'Settings'!$B$9,ABS($AI210)&gt;'Settings'!$B$10)),"Invoice Variance",IF(AND($N210="Open",$AM210&gt;'Settings'!$B$11),"Aging Open PO",""))))))),"")</f>
        <v/>
      </c>
      <c r="AO210" s="25" t="n"/>
      <c r="AP210" s="24">
        <f>IFERROR(IF(AND($AN210&lt;&gt;"",$N210&lt;&gt;"Closed",$N210&lt;&gt;"Canceled",OR('Dashboard'!$B$4="All",$B210='Dashboard'!$B$4),OR('Dashboard'!$D$4="All",$C210='Dashboard'!$D$4)),COUNTIFS($AN$6:$AN210,"&lt;&gt;",$N$6:$N210,"&lt;&gt;Closed",$N$6:$N210,"&lt;&gt;Canceled",$B$6:$B210,IF('Dashboard'!$B$4="All","&lt;&gt;",'Dashboard'!$B$4),$C$6:$C210,IF('Dashboard'!$D$4="All","&lt;&gt;",'Dashboard'!$D$4)),""),"")</f>
        <v/>
      </c>
    </row>
    <row r="211">
      <c r="A211" s="23" t="n"/>
      <c r="B211" s="23" t="n"/>
      <c r="C211" s="23" t="n"/>
      <c r="D211" s="23" t="n"/>
      <c r="E211" s="23" t="n"/>
      <c r="F211" s="24">
        <f>IFERROR(IF($E211="","",VLOOKUP($E211,'Settings'!$G$16:$M$115,2,0)),"")</f>
        <v/>
      </c>
      <c r="G211" s="25" t="n"/>
      <c r="H211" s="51" t="n"/>
      <c r="I211" s="51" t="n"/>
      <c r="J211" s="23" t="n"/>
      <c r="K211" s="23" t="n"/>
      <c r="L211" s="51" t="n"/>
      <c r="M211" s="27">
        <f>IFERROR(IF($A211="","",IF($J211="Approved",MAX(0,$L211-$H211),"")),"")</f>
        <v/>
      </c>
      <c r="N211" s="23" t="n"/>
      <c r="O211" s="51" t="n"/>
      <c r="P211" s="23" t="n"/>
      <c r="Q211" s="25" t="n"/>
      <c r="R211" s="28" t="n"/>
      <c r="S211" s="52" t="n"/>
      <c r="T211" s="52" t="n"/>
      <c r="U211" s="23" t="n"/>
      <c r="V211" s="30" t="n"/>
      <c r="W211" s="52" t="n"/>
      <c r="X211" s="53">
        <f>IFERROR(IF($A211="","",MAX(0,$R211*$S211-$T211)),"")</f>
        <v/>
      </c>
      <c r="Y211" s="53">
        <f>IFERROR(IF($A211="","",IF($U211="Yes",$X211*$V211,0)),"")</f>
        <v/>
      </c>
      <c r="Z211" s="53">
        <f>IFERROR(IF($A211="","",$X211+$Y211+$W211),"")</f>
        <v/>
      </c>
      <c r="AA211" s="28" t="n"/>
      <c r="AB211" s="51" t="n"/>
      <c r="AC211" s="24">
        <f>IFERROR(IF($A211="","",IF($N211="Canceled","Canceled",IF($AA211=0,"Not Received",IF($AA211&lt;$R211,"Partially Received",IF($AA211=$R211,"Fully Received","Over Received"))))),"")</f>
        <v/>
      </c>
      <c r="AD211" s="25" t="n"/>
      <c r="AE211" s="23" t="n"/>
      <c r="AF211" s="51" t="n"/>
      <c r="AG211" s="52" t="n"/>
      <c r="AH211" s="53">
        <f>IFERROR(IF($A211="","",IF($AG211="","",$AG211-$Z211)),"")</f>
        <v/>
      </c>
      <c r="AI211" s="32">
        <f>IFERROR(IF($A211="","",IF(OR($AG211="",$Z211=0),"",($AG211-$Z211)/$Z211)),"")</f>
        <v/>
      </c>
      <c r="AJ211" s="23" t="n"/>
      <c r="AK211" s="51" t="n"/>
      <c r="AL211" s="53">
        <f>IFERROR(IF($A211="","",IF(OR($N211="Canceled",$N211="Closed"),0,MAX($Z211-IF($AG211="",0,$AG211),0))),"")</f>
        <v/>
      </c>
      <c r="AM211" s="27">
        <f>IFERROR(IF($A211="","",IF(OR($N211="Closed",$N211="Canceled"),IF($O211="","",MAX(0,$O211-$H211)),MAX(0,TODAY()-$H211))),"")</f>
        <v/>
      </c>
      <c r="AN211" s="24">
        <f>IFERROR(IF($A211="","",IF($AA211&gt;$R211,"Over Received",IF(AND($J211="Approved",OR($K211="",$L211="")),"Approval Missing",IF(AND($J211="Pending",$AM211&gt;'Settings'!$B$7),"Approval Follow-Up",IF(AND($N211="Open",$I211&lt;&gt;"",$I211+'Settings'!$B$8&lt;TODAY(),$AA211&lt;$R211),"Delivery Overdue",IF(AND($AG211&lt;&gt;"",OR(ABS($AH211)&gt;'Settings'!$B$9,ABS($AI211)&gt;'Settings'!$B$10)),"Invoice Variance",IF(AND($N211="Open",$AM211&gt;'Settings'!$B$11),"Aging Open PO",""))))))),"")</f>
        <v/>
      </c>
      <c r="AO211" s="25" t="n"/>
      <c r="AP211" s="24">
        <f>IFERROR(IF(AND($AN211&lt;&gt;"",$N211&lt;&gt;"Closed",$N211&lt;&gt;"Canceled",OR('Dashboard'!$B$4="All",$B211='Dashboard'!$B$4),OR('Dashboard'!$D$4="All",$C211='Dashboard'!$D$4)),COUNTIFS($AN$6:$AN211,"&lt;&gt;",$N$6:$N211,"&lt;&gt;Closed",$N$6:$N211,"&lt;&gt;Canceled",$B$6:$B211,IF('Dashboard'!$B$4="All","&lt;&gt;",'Dashboard'!$B$4),$C$6:$C211,IF('Dashboard'!$D$4="All","&lt;&gt;",'Dashboard'!$D$4)),""),"")</f>
        <v/>
      </c>
    </row>
    <row r="212">
      <c r="A212" s="23" t="n"/>
      <c r="B212" s="23" t="n"/>
      <c r="C212" s="23" t="n"/>
      <c r="D212" s="23" t="n"/>
      <c r="E212" s="23" t="n"/>
      <c r="F212" s="24">
        <f>IFERROR(IF($E212="","",VLOOKUP($E212,'Settings'!$G$16:$M$115,2,0)),"")</f>
        <v/>
      </c>
      <c r="G212" s="25" t="n"/>
      <c r="H212" s="51" t="n"/>
      <c r="I212" s="51" t="n"/>
      <c r="J212" s="23" t="n"/>
      <c r="K212" s="23" t="n"/>
      <c r="L212" s="51" t="n"/>
      <c r="M212" s="27">
        <f>IFERROR(IF($A212="","",IF($J212="Approved",MAX(0,$L212-$H212),"")),"")</f>
        <v/>
      </c>
      <c r="N212" s="23" t="n"/>
      <c r="O212" s="51" t="n"/>
      <c r="P212" s="23" t="n"/>
      <c r="Q212" s="25" t="n"/>
      <c r="R212" s="28" t="n"/>
      <c r="S212" s="52" t="n"/>
      <c r="T212" s="52" t="n"/>
      <c r="U212" s="23" t="n"/>
      <c r="V212" s="30" t="n"/>
      <c r="W212" s="52" t="n"/>
      <c r="X212" s="53">
        <f>IFERROR(IF($A212="","",MAX(0,$R212*$S212-$T212)),"")</f>
        <v/>
      </c>
      <c r="Y212" s="53">
        <f>IFERROR(IF($A212="","",IF($U212="Yes",$X212*$V212,0)),"")</f>
        <v/>
      </c>
      <c r="Z212" s="53">
        <f>IFERROR(IF($A212="","",$X212+$Y212+$W212),"")</f>
        <v/>
      </c>
      <c r="AA212" s="28" t="n"/>
      <c r="AB212" s="51" t="n"/>
      <c r="AC212" s="24">
        <f>IFERROR(IF($A212="","",IF($N212="Canceled","Canceled",IF($AA212=0,"Not Received",IF($AA212&lt;$R212,"Partially Received",IF($AA212=$R212,"Fully Received","Over Received"))))),"")</f>
        <v/>
      </c>
      <c r="AD212" s="25" t="n"/>
      <c r="AE212" s="23" t="n"/>
      <c r="AF212" s="51" t="n"/>
      <c r="AG212" s="52" t="n"/>
      <c r="AH212" s="53">
        <f>IFERROR(IF($A212="","",IF($AG212="","",$AG212-$Z212)),"")</f>
        <v/>
      </c>
      <c r="AI212" s="32">
        <f>IFERROR(IF($A212="","",IF(OR($AG212="",$Z212=0),"",($AG212-$Z212)/$Z212)),"")</f>
        <v/>
      </c>
      <c r="AJ212" s="23" t="n"/>
      <c r="AK212" s="51" t="n"/>
      <c r="AL212" s="53">
        <f>IFERROR(IF($A212="","",IF(OR($N212="Canceled",$N212="Closed"),0,MAX($Z212-IF($AG212="",0,$AG212),0))),"")</f>
        <v/>
      </c>
      <c r="AM212" s="27">
        <f>IFERROR(IF($A212="","",IF(OR($N212="Closed",$N212="Canceled"),IF($O212="","",MAX(0,$O212-$H212)),MAX(0,TODAY()-$H212))),"")</f>
        <v/>
      </c>
      <c r="AN212" s="24">
        <f>IFERROR(IF($A212="","",IF($AA212&gt;$R212,"Over Received",IF(AND($J212="Approved",OR($K212="",$L212="")),"Approval Missing",IF(AND($J212="Pending",$AM212&gt;'Settings'!$B$7),"Approval Follow-Up",IF(AND($N212="Open",$I212&lt;&gt;"",$I212+'Settings'!$B$8&lt;TODAY(),$AA212&lt;$R212),"Delivery Overdue",IF(AND($AG212&lt;&gt;"",OR(ABS($AH212)&gt;'Settings'!$B$9,ABS($AI212)&gt;'Settings'!$B$10)),"Invoice Variance",IF(AND($N212="Open",$AM212&gt;'Settings'!$B$11),"Aging Open PO",""))))))),"")</f>
        <v/>
      </c>
      <c r="AO212" s="25" t="n"/>
      <c r="AP212" s="24">
        <f>IFERROR(IF(AND($AN212&lt;&gt;"",$N212&lt;&gt;"Closed",$N212&lt;&gt;"Canceled",OR('Dashboard'!$B$4="All",$B212='Dashboard'!$B$4),OR('Dashboard'!$D$4="All",$C212='Dashboard'!$D$4)),COUNTIFS($AN$6:$AN212,"&lt;&gt;",$N$6:$N212,"&lt;&gt;Closed",$N$6:$N212,"&lt;&gt;Canceled",$B$6:$B212,IF('Dashboard'!$B$4="All","&lt;&gt;",'Dashboard'!$B$4),$C$6:$C212,IF('Dashboard'!$D$4="All","&lt;&gt;",'Dashboard'!$D$4)),""),"")</f>
        <v/>
      </c>
    </row>
    <row r="213">
      <c r="A213" s="23" t="n"/>
      <c r="B213" s="23" t="n"/>
      <c r="C213" s="23" t="n"/>
      <c r="D213" s="23" t="n"/>
      <c r="E213" s="23" t="n"/>
      <c r="F213" s="24">
        <f>IFERROR(IF($E213="","",VLOOKUP($E213,'Settings'!$G$16:$M$115,2,0)),"")</f>
        <v/>
      </c>
      <c r="G213" s="25" t="n"/>
      <c r="H213" s="51" t="n"/>
      <c r="I213" s="51" t="n"/>
      <c r="J213" s="23" t="n"/>
      <c r="K213" s="23" t="n"/>
      <c r="L213" s="51" t="n"/>
      <c r="M213" s="27">
        <f>IFERROR(IF($A213="","",IF($J213="Approved",MAX(0,$L213-$H213),"")),"")</f>
        <v/>
      </c>
      <c r="N213" s="23" t="n"/>
      <c r="O213" s="51" t="n"/>
      <c r="P213" s="23" t="n"/>
      <c r="Q213" s="25" t="n"/>
      <c r="R213" s="28" t="n"/>
      <c r="S213" s="52" t="n"/>
      <c r="T213" s="52" t="n"/>
      <c r="U213" s="23" t="n"/>
      <c r="V213" s="30" t="n"/>
      <c r="W213" s="52" t="n"/>
      <c r="X213" s="53">
        <f>IFERROR(IF($A213="","",MAX(0,$R213*$S213-$T213)),"")</f>
        <v/>
      </c>
      <c r="Y213" s="53">
        <f>IFERROR(IF($A213="","",IF($U213="Yes",$X213*$V213,0)),"")</f>
        <v/>
      </c>
      <c r="Z213" s="53">
        <f>IFERROR(IF($A213="","",$X213+$Y213+$W213),"")</f>
        <v/>
      </c>
      <c r="AA213" s="28" t="n"/>
      <c r="AB213" s="51" t="n"/>
      <c r="AC213" s="24">
        <f>IFERROR(IF($A213="","",IF($N213="Canceled","Canceled",IF($AA213=0,"Not Received",IF($AA213&lt;$R213,"Partially Received",IF($AA213=$R213,"Fully Received","Over Received"))))),"")</f>
        <v/>
      </c>
      <c r="AD213" s="25" t="n"/>
      <c r="AE213" s="23" t="n"/>
      <c r="AF213" s="51" t="n"/>
      <c r="AG213" s="52" t="n"/>
      <c r="AH213" s="53">
        <f>IFERROR(IF($A213="","",IF($AG213="","",$AG213-$Z213)),"")</f>
        <v/>
      </c>
      <c r="AI213" s="32">
        <f>IFERROR(IF($A213="","",IF(OR($AG213="",$Z213=0),"",($AG213-$Z213)/$Z213)),"")</f>
        <v/>
      </c>
      <c r="AJ213" s="23" t="n"/>
      <c r="AK213" s="51" t="n"/>
      <c r="AL213" s="53">
        <f>IFERROR(IF($A213="","",IF(OR($N213="Canceled",$N213="Closed"),0,MAX($Z213-IF($AG213="",0,$AG213),0))),"")</f>
        <v/>
      </c>
      <c r="AM213" s="27">
        <f>IFERROR(IF($A213="","",IF(OR($N213="Closed",$N213="Canceled"),IF($O213="","",MAX(0,$O213-$H213)),MAX(0,TODAY()-$H213))),"")</f>
        <v/>
      </c>
      <c r="AN213" s="24">
        <f>IFERROR(IF($A213="","",IF($AA213&gt;$R213,"Over Received",IF(AND($J213="Approved",OR($K213="",$L213="")),"Approval Missing",IF(AND($J213="Pending",$AM213&gt;'Settings'!$B$7),"Approval Follow-Up",IF(AND($N213="Open",$I213&lt;&gt;"",$I213+'Settings'!$B$8&lt;TODAY(),$AA213&lt;$R213),"Delivery Overdue",IF(AND($AG213&lt;&gt;"",OR(ABS($AH213)&gt;'Settings'!$B$9,ABS($AI213)&gt;'Settings'!$B$10)),"Invoice Variance",IF(AND($N213="Open",$AM213&gt;'Settings'!$B$11),"Aging Open PO",""))))))),"")</f>
        <v/>
      </c>
      <c r="AO213" s="25" t="n"/>
      <c r="AP213" s="24">
        <f>IFERROR(IF(AND($AN213&lt;&gt;"",$N213&lt;&gt;"Closed",$N213&lt;&gt;"Canceled",OR('Dashboard'!$B$4="All",$B213='Dashboard'!$B$4),OR('Dashboard'!$D$4="All",$C213='Dashboard'!$D$4)),COUNTIFS($AN$6:$AN213,"&lt;&gt;",$N$6:$N213,"&lt;&gt;Closed",$N$6:$N213,"&lt;&gt;Canceled",$B$6:$B213,IF('Dashboard'!$B$4="All","&lt;&gt;",'Dashboard'!$B$4),$C$6:$C213,IF('Dashboard'!$D$4="All","&lt;&gt;",'Dashboard'!$D$4)),""),"")</f>
        <v/>
      </c>
    </row>
    <row r="214">
      <c r="A214" s="23" t="n"/>
      <c r="B214" s="23" t="n"/>
      <c r="C214" s="23" t="n"/>
      <c r="D214" s="23" t="n"/>
      <c r="E214" s="23" t="n"/>
      <c r="F214" s="24">
        <f>IFERROR(IF($E214="","",VLOOKUP($E214,'Settings'!$G$16:$M$115,2,0)),"")</f>
        <v/>
      </c>
      <c r="G214" s="25" t="n"/>
      <c r="H214" s="51" t="n"/>
      <c r="I214" s="51" t="n"/>
      <c r="J214" s="23" t="n"/>
      <c r="K214" s="23" t="n"/>
      <c r="L214" s="51" t="n"/>
      <c r="M214" s="27">
        <f>IFERROR(IF($A214="","",IF($J214="Approved",MAX(0,$L214-$H214),"")),"")</f>
        <v/>
      </c>
      <c r="N214" s="23" t="n"/>
      <c r="O214" s="51" t="n"/>
      <c r="P214" s="23" t="n"/>
      <c r="Q214" s="25" t="n"/>
      <c r="R214" s="28" t="n"/>
      <c r="S214" s="52" t="n"/>
      <c r="T214" s="52" t="n"/>
      <c r="U214" s="23" t="n"/>
      <c r="V214" s="30" t="n"/>
      <c r="W214" s="52" t="n"/>
      <c r="X214" s="53">
        <f>IFERROR(IF($A214="","",MAX(0,$R214*$S214-$T214)),"")</f>
        <v/>
      </c>
      <c r="Y214" s="53">
        <f>IFERROR(IF($A214="","",IF($U214="Yes",$X214*$V214,0)),"")</f>
        <v/>
      </c>
      <c r="Z214" s="53">
        <f>IFERROR(IF($A214="","",$X214+$Y214+$W214),"")</f>
        <v/>
      </c>
      <c r="AA214" s="28" t="n"/>
      <c r="AB214" s="51" t="n"/>
      <c r="AC214" s="24">
        <f>IFERROR(IF($A214="","",IF($N214="Canceled","Canceled",IF($AA214=0,"Not Received",IF($AA214&lt;$R214,"Partially Received",IF($AA214=$R214,"Fully Received","Over Received"))))),"")</f>
        <v/>
      </c>
      <c r="AD214" s="25" t="n"/>
      <c r="AE214" s="23" t="n"/>
      <c r="AF214" s="51" t="n"/>
      <c r="AG214" s="52" t="n"/>
      <c r="AH214" s="53">
        <f>IFERROR(IF($A214="","",IF($AG214="","",$AG214-$Z214)),"")</f>
        <v/>
      </c>
      <c r="AI214" s="32">
        <f>IFERROR(IF($A214="","",IF(OR($AG214="",$Z214=0),"",($AG214-$Z214)/$Z214)),"")</f>
        <v/>
      </c>
      <c r="AJ214" s="23" t="n"/>
      <c r="AK214" s="51" t="n"/>
      <c r="AL214" s="53">
        <f>IFERROR(IF($A214="","",IF(OR($N214="Canceled",$N214="Closed"),0,MAX($Z214-IF($AG214="",0,$AG214),0))),"")</f>
        <v/>
      </c>
      <c r="AM214" s="27">
        <f>IFERROR(IF($A214="","",IF(OR($N214="Closed",$N214="Canceled"),IF($O214="","",MAX(0,$O214-$H214)),MAX(0,TODAY()-$H214))),"")</f>
        <v/>
      </c>
      <c r="AN214" s="24">
        <f>IFERROR(IF($A214="","",IF($AA214&gt;$R214,"Over Received",IF(AND($J214="Approved",OR($K214="",$L214="")),"Approval Missing",IF(AND($J214="Pending",$AM214&gt;'Settings'!$B$7),"Approval Follow-Up",IF(AND($N214="Open",$I214&lt;&gt;"",$I214+'Settings'!$B$8&lt;TODAY(),$AA214&lt;$R214),"Delivery Overdue",IF(AND($AG214&lt;&gt;"",OR(ABS($AH214)&gt;'Settings'!$B$9,ABS($AI214)&gt;'Settings'!$B$10)),"Invoice Variance",IF(AND($N214="Open",$AM214&gt;'Settings'!$B$11),"Aging Open PO",""))))))),"")</f>
        <v/>
      </c>
      <c r="AO214" s="25" t="n"/>
      <c r="AP214" s="24">
        <f>IFERROR(IF(AND($AN214&lt;&gt;"",$N214&lt;&gt;"Closed",$N214&lt;&gt;"Canceled",OR('Dashboard'!$B$4="All",$B214='Dashboard'!$B$4),OR('Dashboard'!$D$4="All",$C214='Dashboard'!$D$4)),COUNTIFS($AN$6:$AN214,"&lt;&gt;",$N$6:$N214,"&lt;&gt;Closed",$N$6:$N214,"&lt;&gt;Canceled",$B$6:$B214,IF('Dashboard'!$B$4="All","&lt;&gt;",'Dashboard'!$B$4),$C$6:$C214,IF('Dashboard'!$D$4="All","&lt;&gt;",'Dashboard'!$D$4)),""),"")</f>
        <v/>
      </c>
    </row>
    <row r="215">
      <c r="A215" s="23" t="n"/>
      <c r="B215" s="23" t="n"/>
      <c r="C215" s="23" t="n"/>
      <c r="D215" s="23" t="n"/>
      <c r="E215" s="23" t="n"/>
      <c r="F215" s="24">
        <f>IFERROR(IF($E215="","",VLOOKUP($E215,'Settings'!$G$16:$M$115,2,0)),"")</f>
        <v/>
      </c>
      <c r="G215" s="25" t="n"/>
      <c r="H215" s="51" t="n"/>
      <c r="I215" s="51" t="n"/>
      <c r="J215" s="23" t="n"/>
      <c r="K215" s="23" t="n"/>
      <c r="L215" s="51" t="n"/>
      <c r="M215" s="27">
        <f>IFERROR(IF($A215="","",IF($J215="Approved",MAX(0,$L215-$H215),"")),"")</f>
        <v/>
      </c>
      <c r="N215" s="23" t="n"/>
      <c r="O215" s="51" t="n"/>
      <c r="P215" s="23" t="n"/>
      <c r="Q215" s="25" t="n"/>
      <c r="R215" s="28" t="n"/>
      <c r="S215" s="52" t="n"/>
      <c r="T215" s="52" t="n"/>
      <c r="U215" s="23" t="n"/>
      <c r="V215" s="30" t="n"/>
      <c r="W215" s="52" t="n"/>
      <c r="X215" s="53">
        <f>IFERROR(IF($A215="","",MAX(0,$R215*$S215-$T215)),"")</f>
        <v/>
      </c>
      <c r="Y215" s="53">
        <f>IFERROR(IF($A215="","",IF($U215="Yes",$X215*$V215,0)),"")</f>
        <v/>
      </c>
      <c r="Z215" s="53">
        <f>IFERROR(IF($A215="","",$X215+$Y215+$W215),"")</f>
        <v/>
      </c>
      <c r="AA215" s="28" t="n"/>
      <c r="AB215" s="51" t="n"/>
      <c r="AC215" s="24">
        <f>IFERROR(IF($A215="","",IF($N215="Canceled","Canceled",IF($AA215=0,"Not Received",IF($AA215&lt;$R215,"Partially Received",IF($AA215=$R215,"Fully Received","Over Received"))))),"")</f>
        <v/>
      </c>
      <c r="AD215" s="25" t="n"/>
      <c r="AE215" s="23" t="n"/>
      <c r="AF215" s="51" t="n"/>
      <c r="AG215" s="52" t="n"/>
      <c r="AH215" s="53">
        <f>IFERROR(IF($A215="","",IF($AG215="","",$AG215-$Z215)),"")</f>
        <v/>
      </c>
      <c r="AI215" s="32">
        <f>IFERROR(IF($A215="","",IF(OR($AG215="",$Z215=0),"",($AG215-$Z215)/$Z215)),"")</f>
        <v/>
      </c>
      <c r="AJ215" s="23" t="n"/>
      <c r="AK215" s="51" t="n"/>
      <c r="AL215" s="53">
        <f>IFERROR(IF($A215="","",IF(OR($N215="Canceled",$N215="Closed"),0,MAX($Z215-IF($AG215="",0,$AG215),0))),"")</f>
        <v/>
      </c>
      <c r="AM215" s="27">
        <f>IFERROR(IF($A215="","",IF(OR($N215="Closed",$N215="Canceled"),IF($O215="","",MAX(0,$O215-$H215)),MAX(0,TODAY()-$H215))),"")</f>
        <v/>
      </c>
      <c r="AN215" s="24">
        <f>IFERROR(IF($A215="","",IF($AA215&gt;$R215,"Over Received",IF(AND($J215="Approved",OR($K215="",$L215="")),"Approval Missing",IF(AND($J215="Pending",$AM215&gt;'Settings'!$B$7),"Approval Follow-Up",IF(AND($N215="Open",$I215&lt;&gt;"",$I215+'Settings'!$B$8&lt;TODAY(),$AA215&lt;$R215),"Delivery Overdue",IF(AND($AG215&lt;&gt;"",OR(ABS($AH215)&gt;'Settings'!$B$9,ABS($AI215)&gt;'Settings'!$B$10)),"Invoice Variance",IF(AND($N215="Open",$AM215&gt;'Settings'!$B$11),"Aging Open PO",""))))))),"")</f>
        <v/>
      </c>
      <c r="AO215" s="25" t="n"/>
      <c r="AP215" s="24">
        <f>IFERROR(IF(AND($AN215&lt;&gt;"",$N215&lt;&gt;"Closed",$N215&lt;&gt;"Canceled",OR('Dashboard'!$B$4="All",$B215='Dashboard'!$B$4),OR('Dashboard'!$D$4="All",$C215='Dashboard'!$D$4)),COUNTIFS($AN$6:$AN215,"&lt;&gt;",$N$6:$N215,"&lt;&gt;Closed",$N$6:$N215,"&lt;&gt;Canceled",$B$6:$B215,IF('Dashboard'!$B$4="All","&lt;&gt;",'Dashboard'!$B$4),$C$6:$C215,IF('Dashboard'!$D$4="All","&lt;&gt;",'Dashboard'!$D$4)),""),"")</f>
        <v/>
      </c>
    </row>
    <row r="216">
      <c r="A216" s="23" t="n"/>
      <c r="B216" s="23" t="n"/>
      <c r="C216" s="23" t="n"/>
      <c r="D216" s="23" t="n"/>
      <c r="E216" s="23" t="n"/>
      <c r="F216" s="24">
        <f>IFERROR(IF($E216="","",VLOOKUP($E216,'Settings'!$G$16:$M$115,2,0)),"")</f>
        <v/>
      </c>
      <c r="G216" s="25" t="n"/>
      <c r="H216" s="51" t="n"/>
      <c r="I216" s="51" t="n"/>
      <c r="J216" s="23" t="n"/>
      <c r="K216" s="23" t="n"/>
      <c r="L216" s="51" t="n"/>
      <c r="M216" s="27">
        <f>IFERROR(IF($A216="","",IF($J216="Approved",MAX(0,$L216-$H216),"")),"")</f>
        <v/>
      </c>
      <c r="N216" s="23" t="n"/>
      <c r="O216" s="51" t="n"/>
      <c r="P216" s="23" t="n"/>
      <c r="Q216" s="25" t="n"/>
      <c r="R216" s="28" t="n"/>
      <c r="S216" s="52" t="n"/>
      <c r="T216" s="52" t="n"/>
      <c r="U216" s="23" t="n"/>
      <c r="V216" s="30" t="n"/>
      <c r="W216" s="52" t="n"/>
      <c r="X216" s="53">
        <f>IFERROR(IF($A216="","",MAX(0,$R216*$S216-$T216)),"")</f>
        <v/>
      </c>
      <c r="Y216" s="53">
        <f>IFERROR(IF($A216="","",IF($U216="Yes",$X216*$V216,0)),"")</f>
        <v/>
      </c>
      <c r="Z216" s="53">
        <f>IFERROR(IF($A216="","",$X216+$Y216+$W216),"")</f>
        <v/>
      </c>
      <c r="AA216" s="28" t="n"/>
      <c r="AB216" s="51" t="n"/>
      <c r="AC216" s="24">
        <f>IFERROR(IF($A216="","",IF($N216="Canceled","Canceled",IF($AA216=0,"Not Received",IF($AA216&lt;$R216,"Partially Received",IF($AA216=$R216,"Fully Received","Over Received"))))),"")</f>
        <v/>
      </c>
      <c r="AD216" s="25" t="n"/>
      <c r="AE216" s="23" t="n"/>
      <c r="AF216" s="51" t="n"/>
      <c r="AG216" s="52" t="n"/>
      <c r="AH216" s="53">
        <f>IFERROR(IF($A216="","",IF($AG216="","",$AG216-$Z216)),"")</f>
        <v/>
      </c>
      <c r="AI216" s="32">
        <f>IFERROR(IF($A216="","",IF(OR($AG216="",$Z216=0),"",($AG216-$Z216)/$Z216)),"")</f>
        <v/>
      </c>
      <c r="AJ216" s="23" t="n"/>
      <c r="AK216" s="51" t="n"/>
      <c r="AL216" s="53">
        <f>IFERROR(IF($A216="","",IF(OR($N216="Canceled",$N216="Closed"),0,MAX($Z216-IF($AG216="",0,$AG216),0))),"")</f>
        <v/>
      </c>
      <c r="AM216" s="27">
        <f>IFERROR(IF($A216="","",IF(OR($N216="Closed",$N216="Canceled"),IF($O216="","",MAX(0,$O216-$H216)),MAX(0,TODAY()-$H216))),"")</f>
        <v/>
      </c>
      <c r="AN216" s="24">
        <f>IFERROR(IF($A216="","",IF($AA216&gt;$R216,"Over Received",IF(AND($J216="Approved",OR($K216="",$L216="")),"Approval Missing",IF(AND($J216="Pending",$AM216&gt;'Settings'!$B$7),"Approval Follow-Up",IF(AND($N216="Open",$I216&lt;&gt;"",$I216+'Settings'!$B$8&lt;TODAY(),$AA216&lt;$R216),"Delivery Overdue",IF(AND($AG216&lt;&gt;"",OR(ABS($AH216)&gt;'Settings'!$B$9,ABS($AI216)&gt;'Settings'!$B$10)),"Invoice Variance",IF(AND($N216="Open",$AM216&gt;'Settings'!$B$11),"Aging Open PO",""))))))),"")</f>
        <v/>
      </c>
      <c r="AO216" s="25" t="n"/>
      <c r="AP216" s="24">
        <f>IFERROR(IF(AND($AN216&lt;&gt;"",$N216&lt;&gt;"Closed",$N216&lt;&gt;"Canceled",OR('Dashboard'!$B$4="All",$B216='Dashboard'!$B$4),OR('Dashboard'!$D$4="All",$C216='Dashboard'!$D$4)),COUNTIFS($AN$6:$AN216,"&lt;&gt;",$N$6:$N216,"&lt;&gt;Closed",$N$6:$N216,"&lt;&gt;Canceled",$B$6:$B216,IF('Dashboard'!$B$4="All","&lt;&gt;",'Dashboard'!$B$4),$C$6:$C216,IF('Dashboard'!$D$4="All","&lt;&gt;",'Dashboard'!$D$4)),""),"")</f>
        <v/>
      </c>
    </row>
    <row r="217">
      <c r="A217" s="23" t="n"/>
      <c r="B217" s="23" t="n"/>
      <c r="C217" s="23" t="n"/>
      <c r="D217" s="23" t="n"/>
      <c r="E217" s="23" t="n"/>
      <c r="F217" s="24">
        <f>IFERROR(IF($E217="","",VLOOKUP($E217,'Settings'!$G$16:$M$115,2,0)),"")</f>
        <v/>
      </c>
      <c r="G217" s="25" t="n"/>
      <c r="H217" s="51" t="n"/>
      <c r="I217" s="51" t="n"/>
      <c r="J217" s="23" t="n"/>
      <c r="K217" s="23" t="n"/>
      <c r="L217" s="51" t="n"/>
      <c r="M217" s="27">
        <f>IFERROR(IF($A217="","",IF($J217="Approved",MAX(0,$L217-$H217),"")),"")</f>
        <v/>
      </c>
      <c r="N217" s="23" t="n"/>
      <c r="O217" s="51" t="n"/>
      <c r="P217" s="23" t="n"/>
      <c r="Q217" s="25" t="n"/>
      <c r="R217" s="28" t="n"/>
      <c r="S217" s="52" t="n"/>
      <c r="T217" s="52" t="n"/>
      <c r="U217" s="23" t="n"/>
      <c r="V217" s="30" t="n"/>
      <c r="W217" s="52" t="n"/>
      <c r="X217" s="53">
        <f>IFERROR(IF($A217="","",MAX(0,$R217*$S217-$T217)),"")</f>
        <v/>
      </c>
      <c r="Y217" s="53">
        <f>IFERROR(IF($A217="","",IF($U217="Yes",$X217*$V217,0)),"")</f>
        <v/>
      </c>
      <c r="Z217" s="53">
        <f>IFERROR(IF($A217="","",$X217+$Y217+$W217),"")</f>
        <v/>
      </c>
      <c r="AA217" s="28" t="n"/>
      <c r="AB217" s="51" t="n"/>
      <c r="AC217" s="24">
        <f>IFERROR(IF($A217="","",IF($N217="Canceled","Canceled",IF($AA217=0,"Not Received",IF($AA217&lt;$R217,"Partially Received",IF($AA217=$R217,"Fully Received","Over Received"))))),"")</f>
        <v/>
      </c>
      <c r="AD217" s="25" t="n"/>
      <c r="AE217" s="23" t="n"/>
      <c r="AF217" s="51" t="n"/>
      <c r="AG217" s="52" t="n"/>
      <c r="AH217" s="53">
        <f>IFERROR(IF($A217="","",IF($AG217="","",$AG217-$Z217)),"")</f>
        <v/>
      </c>
      <c r="AI217" s="32">
        <f>IFERROR(IF($A217="","",IF(OR($AG217="",$Z217=0),"",($AG217-$Z217)/$Z217)),"")</f>
        <v/>
      </c>
      <c r="AJ217" s="23" t="n"/>
      <c r="AK217" s="51" t="n"/>
      <c r="AL217" s="53">
        <f>IFERROR(IF($A217="","",IF(OR($N217="Canceled",$N217="Closed"),0,MAX($Z217-IF($AG217="",0,$AG217),0))),"")</f>
        <v/>
      </c>
      <c r="AM217" s="27">
        <f>IFERROR(IF($A217="","",IF(OR($N217="Closed",$N217="Canceled"),IF($O217="","",MAX(0,$O217-$H217)),MAX(0,TODAY()-$H217))),"")</f>
        <v/>
      </c>
      <c r="AN217" s="24">
        <f>IFERROR(IF($A217="","",IF($AA217&gt;$R217,"Over Received",IF(AND($J217="Approved",OR($K217="",$L217="")),"Approval Missing",IF(AND($J217="Pending",$AM217&gt;'Settings'!$B$7),"Approval Follow-Up",IF(AND($N217="Open",$I217&lt;&gt;"",$I217+'Settings'!$B$8&lt;TODAY(),$AA217&lt;$R217),"Delivery Overdue",IF(AND($AG217&lt;&gt;"",OR(ABS($AH217)&gt;'Settings'!$B$9,ABS($AI217)&gt;'Settings'!$B$10)),"Invoice Variance",IF(AND($N217="Open",$AM217&gt;'Settings'!$B$11),"Aging Open PO",""))))))),"")</f>
        <v/>
      </c>
      <c r="AO217" s="25" t="n"/>
      <c r="AP217" s="24">
        <f>IFERROR(IF(AND($AN217&lt;&gt;"",$N217&lt;&gt;"Closed",$N217&lt;&gt;"Canceled",OR('Dashboard'!$B$4="All",$B217='Dashboard'!$B$4),OR('Dashboard'!$D$4="All",$C217='Dashboard'!$D$4)),COUNTIFS($AN$6:$AN217,"&lt;&gt;",$N$6:$N217,"&lt;&gt;Closed",$N$6:$N217,"&lt;&gt;Canceled",$B$6:$B217,IF('Dashboard'!$B$4="All","&lt;&gt;",'Dashboard'!$B$4),$C$6:$C217,IF('Dashboard'!$D$4="All","&lt;&gt;",'Dashboard'!$D$4)),""),"")</f>
        <v/>
      </c>
    </row>
    <row r="218">
      <c r="A218" s="23" t="n"/>
      <c r="B218" s="23" t="n"/>
      <c r="C218" s="23" t="n"/>
      <c r="D218" s="23" t="n"/>
      <c r="E218" s="23" t="n"/>
      <c r="F218" s="24">
        <f>IFERROR(IF($E218="","",VLOOKUP($E218,'Settings'!$G$16:$M$115,2,0)),"")</f>
        <v/>
      </c>
      <c r="G218" s="25" t="n"/>
      <c r="H218" s="51" t="n"/>
      <c r="I218" s="51" t="n"/>
      <c r="J218" s="23" t="n"/>
      <c r="K218" s="23" t="n"/>
      <c r="L218" s="51" t="n"/>
      <c r="M218" s="27">
        <f>IFERROR(IF($A218="","",IF($J218="Approved",MAX(0,$L218-$H218),"")),"")</f>
        <v/>
      </c>
      <c r="N218" s="23" t="n"/>
      <c r="O218" s="51" t="n"/>
      <c r="P218" s="23" t="n"/>
      <c r="Q218" s="25" t="n"/>
      <c r="R218" s="28" t="n"/>
      <c r="S218" s="52" t="n"/>
      <c r="T218" s="52" t="n"/>
      <c r="U218" s="23" t="n"/>
      <c r="V218" s="30" t="n"/>
      <c r="W218" s="52" t="n"/>
      <c r="X218" s="53">
        <f>IFERROR(IF($A218="","",MAX(0,$R218*$S218-$T218)),"")</f>
        <v/>
      </c>
      <c r="Y218" s="53">
        <f>IFERROR(IF($A218="","",IF($U218="Yes",$X218*$V218,0)),"")</f>
        <v/>
      </c>
      <c r="Z218" s="53">
        <f>IFERROR(IF($A218="","",$X218+$Y218+$W218),"")</f>
        <v/>
      </c>
      <c r="AA218" s="28" t="n"/>
      <c r="AB218" s="51" t="n"/>
      <c r="AC218" s="24">
        <f>IFERROR(IF($A218="","",IF($N218="Canceled","Canceled",IF($AA218=0,"Not Received",IF($AA218&lt;$R218,"Partially Received",IF($AA218=$R218,"Fully Received","Over Received"))))),"")</f>
        <v/>
      </c>
      <c r="AD218" s="25" t="n"/>
      <c r="AE218" s="23" t="n"/>
      <c r="AF218" s="51" t="n"/>
      <c r="AG218" s="52" t="n"/>
      <c r="AH218" s="53">
        <f>IFERROR(IF($A218="","",IF($AG218="","",$AG218-$Z218)),"")</f>
        <v/>
      </c>
      <c r="AI218" s="32">
        <f>IFERROR(IF($A218="","",IF(OR($AG218="",$Z218=0),"",($AG218-$Z218)/$Z218)),"")</f>
        <v/>
      </c>
      <c r="AJ218" s="23" t="n"/>
      <c r="AK218" s="51" t="n"/>
      <c r="AL218" s="53">
        <f>IFERROR(IF($A218="","",IF(OR($N218="Canceled",$N218="Closed"),0,MAX($Z218-IF($AG218="",0,$AG218),0))),"")</f>
        <v/>
      </c>
      <c r="AM218" s="27">
        <f>IFERROR(IF($A218="","",IF(OR($N218="Closed",$N218="Canceled"),IF($O218="","",MAX(0,$O218-$H218)),MAX(0,TODAY()-$H218))),"")</f>
        <v/>
      </c>
      <c r="AN218" s="24">
        <f>IFERROR(IF($A218="","",IF($AA218&gt;$R218,"Over Received",IF(AND($J218="Approved",OR($K218="",$L218="")),"Approval Missing",IF(AND($J218="Pending",$AM218&gt;'Settings'!$B$7),"Approval Follow-Up",IF(AND($N218="Open",$I218&lt;&gt;"",$I218+'Settings'!$B$8&lt;TODAY(),$AA218&lt;$R218),"Delivery Overdue",IF(AND($AG218&lt;&gt;"",OR(ABS($AH218)&gt;'Settings'!$B$9,ABS($AI218)&gt;'Settings'!$B$10)),"Invoice Variance",IF(AND($N218="Open",$AM218&gt;'Settings'!$B$11),"Aging Open PO",""))))))),"")</f>
        <v/>
      </c>
      <c r="AO218" s="25" t="n"/>
      <c r="AP218" s="24">
        <f>IFERROR(IF(AND($AN218&lt;&gt;"",$N218&lt;&gt;"Closed",$N218&lt;&gt;"Canceled",OR('Dashboard'!$B$4="All",$B218='Dashboard'!$B$4),OR('Dashboard'!$D$4="All",$C218='Dashboard'!$D$4)),COUNTIFS($AN$6:$AN218,"&lt;&gt;",$N$6:$N218,"&lt;&gt;Closed",$N$6:$N218,"&lt;&gt;Canceled",$B$6:$B218,IF('Dashboard'!$B$4="All","&lt;&gt;",'Dashboard'!$B$4),$C$6:$C218,IF('Dashboard'!$D$4="All","&lt;&gt;",'Dashboard'!$D$4)),""),"")</f>
        <v/>
      </c>
    </row>
    <row r="219">
      <c r="A219" s="23" t="n"/>
      <c r="B219" s="23" t="n"/>
      <c r="C219" s="23" t="n"/>
      <c r="D219" s="23" t="n"/>
      <c r="E219" s="23" t="n"/>
      <c r="F219" s="24">
        <f>IFERROR(IF($E219="","",VLOOKUP($E219,'Settings'!$G$16:$M$115,2,0)),"")</f>
        <v/>
      </c>
      <c r="G219" s="25" t="n"/>
      <c r="H219" s="51" t="n"/>
      <c r="I219" s="51" t="n"/>
      <c r="J219" s="23" t="n"/>
      <c r="K219" s="23" t="n"/>
      <c r="L219" s="51" t="n"/>
      <c r="M219" s="27">
        <f>IFERROR(IF($A219="","",IF($J219="Approved",MAX(0,$L219-$H219),"")),"")</f>
        <v/>
      </c>
      <c r="N219" s="23" t="n"/>
      <c r="O219" s="51" t="n"/>
      <c r="P219" s="23" t="n"/>
      <c r="Q219" s="25" t="n"/>
      <c r="R219" s="28" t="n"/>
      <c r="S219" s="52" t="n"/>
      <c r="T219" s="52" t="n"/>
      <c r="U219" s="23" t="n"/>
      <c r="V219" s="30" t="n"/>
      <c r="W219" s="52" t="n"/>
      <c r="X219" s="53">
        <f>IFERROR(IF($A219="","",MAX(0,$R219*$S219-$T219)),"")</f>
        <v/>
      </c>
      <c r="Y219" s="53">
        <f>IFERROR(IF($A219="","",IF($U219="Yes",$X219*$V219,0)),"")</f>
        <v/>
      </c>
      <c r="Z219" s="53">
        <f>IFERROR(IF($A219="","",$X219+$Y219+$W219),"")</f>
        <v/>
      </c>
      <c r="AA219" s="28" t="n"/>
      <c r="AB219" s="51" t="n"/>
      <c r="AC219" s="24">
        <f>IFERROR(IF($A219="","",IF($N219="Canceled","Canceled",IF($AA219=0,"Not Received",IF($AA219&lt;$R219,"Partially Received",IF($AA219=$R219,"Fully Received","Over Received"))))),"")</f>
        <v/>
      </c>
      <c r="AD219" s="25" t="n"/>
      <c r="AE219" s="23" t="n"/>
      <c r="AF219" s="51" t="n"/>
      <c r="AG219" s="52" t="n"/>
      <c r="AH219" s="53">
        <f>IFERROR(IF($A219="","",IF($AG219="","",$AG219-$Z219)),"")</f>
        <v/>
      </c>
      <c r="AI219" s="32">
        <f>IFERROR(IF($A219="","",IF(OR($AG219="",$Z219=0),"",($AG219-$Z219)/$Z219)),"")</f>
        <v/>
      </c>
      <c r="AJ219" s="23" t="n"/>
      <c r="AK219" s="51" t="n"/>
      <c r="AL219" s="53">
        <f>IFERROR(IF($A219="","",IF(OR($N219="Canceled",$N219="Closed"),0,MAX($Z219-IF($AG219="",0,$AG219),0))),"")</f>
        <v/>
      </c>
      <c r="AM219" s="27">
        <f>IFERROR(IF($A219="","",IF(OR($N219="Closed",$N219="Canceled"),IF($O219="","",MAX(0,$O219-$H219)),MAX(0,TODAY()-$H219))),"")</f>
        <v/>
      </c>
      <c r="AN219" s="24">
        <f>IFERROR(IF($A219="","",IF($AA219&gt;$R219,"Over Received",IF(AND($J219="Approved",OR($K219="",$L219="")),"Approval Missing",IF(AND($J219="Pending",$AM219&gt;'Settings'!$B$7),"Approval Follow-Up",IF(AND($N219="Open",$I219&lt;&gt;"",$I219+'Settings'!$B$8&lt;TODAY(),$AA219&lt;$R219),"Delivery Overdue",IF(AND($AG219&lt;&gt;"",OR(ABS($AH219)&gt;'Settings'!$B$9,ABS($AI219)&gt;'Settings'!$B$10)),"Invoice Variance",IF(AND($N219="Open",$AM219&gt;'Settings'!$B$11),"Aging Open PO",""))))))),"")</f>
        <v/>
      </c>
      <c r="AO219" s="25" t="n"/>
      <c r="AP219" s="24">
        <f>IFERROR(IF(AND($AN219&lt;&gt;"",$N219&lt;&gt;"Closed",$N219&lt;&gt;"Canceled",OR('Dashboard'!$B$4="All",$B219='Dashboard'!$B$4),OR('Dashboard'!$D$4="All",$C219='Dashboard'!$D$4)),COUNTIFS($AN$6:$AN219,"&lt;&gt;",$N$6:$N219,"&lt;&gt;Closed",$N$6:$N219,"&lt;&gt;Canceled",$B$6:$B219,IF('Dashboard'!$B$4="All","&lt;&gt;",'Dashboard'!$B$4),$C$6:$C219,IF('Dashboard'!$D$4="All","&lt;&gt;",'Dashboard'!$D$4)),""),"")</f>
        <v/>
      </c>
    </row>
    <row r="220">
      <c r="A220" s="23" t="n"/>
      <c r="B220" s="23" t="n"/>
      <c r="C220" s="23" t="n"/>
      <c r="D220" s="23" t="n"/>
      <c r="E220" s="23" t="n"/>
      <c r="F220" s="24">
        <f>IFERROR(IF($E220="","",VLOOKUP($E220,'Settings'!$G$16:$M$115,2,0)),"")</f>
        <v/>
      </c>
      <c r="G220" s="25" t="n"/>
      <c r="H220" s="51" t="n"/>
      <c r="I220" s="51" t="n"/>
      <c r="J220" s="23" t="n"/>
      <c r="K220" s="23" t="n"/>
      <c r="L220" s="51" t="n"/>
      <c r="M220" s="27">
        <f>IFERROR(IF($A220="","",IF($J220="Approved",MAX(0,$L220-$H220),"")),"")</f>
        <v/>
      </c>
      <c r="N220" s="23" t="n"/>
      <c r="O220" s="51" t="n"/>
      <c r="P220" s="23" t="n"/>
      <c r="Q220" s="25" t="n"/>
      <c r="R220" s="28" t="n"/>
      <c r="S220" s="52" t="n"/>
      <c r="T220" s="52" t="n"/>
      <c r="U220" s="23" t="n"/>
      <c r="V220" s="30" t="n"/>
      <c r="W220" s="52" t="n"/>
      <c r="X220" s="53">
        <f>IFERROR(IF($A220="","",MAX(0,$R220*$S220-$T220)),"")</f>
        <v/>
      </c>
      <c r="Y220" s="53">
        <f>IFERROR(IF($A220="","",IF($U220="Yes",$X220*$V220,0)),"")</f>
        <v/>
      </c>
      <c r="Z220" s="53">
        <f>IFERROR(IF($A220="","",$X220+$Y220+$W220),"")</f>
        <v/>
      </c>
      <c r="AA220" s="28" t="n"/>
      <c r="AB220" s="51" t="n"/>
      <c r="AC220" s="24">
        <f>IFERROR(IF($A220="","",IF($N220="Canceled","Canceled",IF($AA220=0,"Not Received",IF($AA220&lt;$R220,"Partially Received",IF($AA220=$R220,"Fully Received","Over Received"))))),"")</f>
        <v/>
      </c>
      <c r="AD220" s="25" t="n"/>
      <c r="AE220" s="23" t="n"/>
      <c r="AF220" s="51" t="n"/>
      <c r="AG220" s="52" t="n"/>
      <c r="AH220" s="53">
        <f>IFERROR(IF($A220="","",IF($AG220="","",$AG220-$Z220)),"")</f>
        <v/>
      </c>
      <c r="AI220" s="32">
        <f>IFERROR(IF($A220="","",IF(OR($AG220="",$Z220=0),"",($AG220-$Z220)/$Z220)),"")</f>
        <v/>
      </c>
      <c r="AJ220" s="23" t="n"/>
      <c r="AK220" s="51" t="n"/>
      <c r="AL220" s="53">
        <f>IFERROR(IF($A220="","",IF(OR($N220="Canceled",$N220="Closed"),0,MAX($Z220-IF($AG220="",0,$AG220),0))),"")</f>
        <v/>
      </c>
      <c r="AM220" s="27">
        <f>IFERROR(IF($A220="","",IF(OR($N220="Closed",$N220="Canceled"),IF($O220="","",MAX(0,$O220-$H220)),MAX(0,TODAY()-$H220))),"")</f>
        <v/>
      </c>
      <c r="AN220" s="24">
        <f>IFERROR(IF($A220="","",IF($AA220&gt;$R220,"Over Received",IF(AND($J220="Approved",OR($K220="",$L220="")),"Approval Missing",IF(AND($J220="Pending",$AM220&gt;'Settings'!$B$7),"Approval Follow-Up",IF(AND($N220="Open",$I220&lt;&gt;"",$I220+'Settings'!$B$8&lt;TODAY(),$AA220&lt;$R220),"Delivery Overdue",IF(AND($AG220&lt;&gt;"",OR(ABS($AH220)&gt;'Settings'!$B$9,ABS($AI220)&gt;'Settings'!$B$10)),"Invoice Variance",IF(AND($N220="Open",$AM220&gt;'Settings'!$B$11),"Aging Open PO",""))))))),"")</f>
        <v/>
      </c>
      <c r="AO220" s="25" t="n"/>
      <c r="AP220" s="24">
        <f>IFERROR(IF(AND($AN220&lt;&gt;"",$N220&lt;&gt;"Closed",$N220&lt;&gt;"Canceled",OR('Dashboard'!$B$4="All",$B220='Dashboard'!$B$4),OR('Dashboard'!$D$4="All",$C220='Dashboard'!$D$4)),COUNTIFS($AN$6:$AN220,"&lt;&gt;",$N$6:$N220,"&lt;&gt;Closed",$N$6:$N220,"&lt;&gt;Canceled",$B$6:$B220,IF('Dashboard'!$B$4="All","&lt;&gt;",'Dashboard'!$B$4),$C$6:$C220,IF('Dashboard'!$D$4="All","&lt;&gt;",'Dashboard'!$D$4)),""),"")</f>
        <v/>
      </c>
    </row>
    <row r="221">
      <c r="A221" s="23" t="n"/>
      <c r="B221" s="23" t="n"/>
      <c r="C221" s="23" t="n"/>
      <c r="D221" s="23" t="n"/>
      <c r="E221" s="23" t="n"/>
      <c r="F221" s="24">
        <f>IFERROR(IF($E221="","",VLOOKUP($E221,'Settings'!$G$16:$M$115,2,0)),"")</f>
        <v/>
      </c>
      <c r="G221" s="25" t="n"/>
      <c r="H221" s="51" t="n"/>
      <c r="I221" s="51" t="n"/>
      <c r="J221" s="23" t="n"/>
      <c r="K221" s="23" t="n"/>
      <c r="L221" s="51" t="n"/>
      <c r="M221" s="27">
        <f>IFERROR(IF($A221="","",IF($J221="Approved",MAX(0,$L221-$H221),"")),"")</f>
        <v/>
      </c>
      <c r="N221" s="23" t="n"/>
      <c r="O221" s="51" t="n"/>
      <c r="P221" s="23" t="n"/>
      <c r="Q221" s="25" t="n"/>
      <c r="R221" s="28" t="n"/>
      <c r="S221" s="52" t="n"/>
      <c r="T221" s="52" t="n"/>
      <c r="U221" s="23" t="n"/>
      <c r="V221" s="30" t="n"/>
      <c r="W221" s="52" t="n"/>
      <c r="X221" s="53">
        <f>IFERROR(IF($A221="","",MAX(0,$R221*$S221-$T221)),"")</f>
        <v/>
      </c>
      <c r="Y221" s="53">
        <f>IFERROR(IF($A221="","",IF($U221="Yes",$X221*$V221,0)),"")</f>
        <v/>
      </c>
      <c r="Z221" s="53">
        <f>IFERROR(IF($A221="","",$X221+$Y221+$W221),"")</f>
        <v/>
      </c>
      <c r="AA221" s="28" t="n"/>
      <c r="AB221" s="51" t="n"/>
      <c r="AC221" s="24">
        <f>IFERROR(IF($A221="","",IF($N221="Canceled","Canceled",IF($AA221=0,"Not Received",IF($AA221&lt;$R221,"Partially Received",IF($AA221=$R221,"Fully Received","Over Received"))))),"")</f>
        <v/>
      </c>
      <c r="AD221" s="25" t="n"/>
      <c r="AE221" s="23" t="n"/>
      <c r="AF221" s="51" t="n"/>
      <c r="AG221" s="52" t="n"/>
      <c r="AH221" s="53">
        <f>IFERROR(IF($A221="","",IF($AG221="","",$AG221-$Z221)),"")</f>
        <v/>
      </c>
      <c r="AI221" s="32">
        <f>IFERROR(IF($A221="","",IF(OR($AG221="",$Z221=0),"",($AG221-$Z221)/$Z221)),"")</f>
        <v/>
      </c>
      <c r="AJ221" s="23" t="n"/>
      <c r="AK221" s="51" t="n"/>
      <c r="AL221" s="53">
        <f>IFERROR(IF($A221="","",IF(OR($N221="Canceled",$N221="Closed"),0,MAX($Z221-IF($AG221="",0,$AG221),0))),"")</f>
        <v/>
      </c>
      <c r="AM221" s="27">
        <f>IFERROR(IF($A221="","",IF(OR($N221="Closed",$N221="Canceled"),IF($O221="","",MAX(0,$O221-$H221)),MAX(0,TODAY()-$H221))),"")</f>
        <v/>
      </c>
      <c r="AN221" s="24">
        <f>IFERROR(IF($A221="","",IF($AA221&gt;$R221,"Over Received",IF(AND($J221="Approved",OR($K221="",$L221="")),"Approval Missing",IF(AND($J221="Pending",$AM221&gt;'Settings'!$B$7),"Approval Follow-Up",IF(AND($N221="Open",$I221&lt;&gt;"",$I221+'Settings'!$B$8&lt;TODAY(),$AA221&lt;$R221),"Delivery Overdue",IF(AND($AG221&lt;&gt;"",OR(ABS($AH221)&gt;'Settings'!$B$9,ABS($AI221)&gt;'Settings'!$B$10)),"Invoice Variance",IF(AND($N221="Open",$AM221&gt;'Settings'!$B$11),"Aging Open PO",""))))))),"")</f>
        <v/>
      </c>
      <c r="AO221" s="25" t="n"/>
      <c r="AP221" s="24">
        <f>IFERROR(IF(AND($AN221&lt;&gt;"",$N221&lt;&gt;"Closed",$N221&lt;&gt;"Canceled",OR('Dashboard'!$B$4="All",$B221='Dashboard'!$B$4),OR('Dashboard'!$D$4="All",$C221='Dashboard'!$D$4)),COUNTIFS($AN$6:$AN221,"&lt;&gt;",$N$6:$N221,"&lt;&gt;Closed",$N$6:$N221,"&lt;&gt;Canceled",$B$6:$B221,IF('Dashboard'!$B$4="All","&lt;&gt;",'Dashboard'!$B$4),$C$6:$C221,IF('Dashboard'!$D$4="All","&lt;&gt;",'Dashboard'!$D$4)),""),"")</f>
        <v/>
      </c>
    </row>
    <row r="222">
      <c r="A222" s="23" t="n"/>
      <c r="B222" s="23" t="n"/>
      <c r="C222" s="23" t="n"/>
      <c r="D222" s="23" t="n"/>
      <c r="E222" s="23" t="n"/>
      <c r="F222" s="24">
        <f>IFERROR(IF($E222="","",VLOOKUP($E222,'Settings'!$G$16:$M$115,2,0)),"")</f>
        <v/>
      </c>
      <c r="G222" s="25" t="n"/>
      <c r="H222" s="51" t="n"/>
      <c r="I222" s="51" t="n"/>
      <c r="J222" s="23" t="n"/>
      <c r="K222" s="23" t="n"/>
      <c r="L222" s="51" t="n"/>
      <c r="M222" s="27">
        <f>IFERROR(IF($A222="","",IF($J222="Approved",MAX(0,$L222-$H222),"")),"")</f>
        <v/>
      </c>
      <c r="N222" s="23" t="n"/>
      <c r="O222" s="51" t="n"/>
      <c r="P222" s="23" t="n"/>
      <c r="Q222" s="25" t="n"/>
      <c r="R222" s="28" t="n"/>
      <c r="S222" s="52" t="n"/>
      <c r="T222" s="52" t="n"/>
      <c r="U222" s="23" t="n"/>
      <c r="V222" s="30" t="n"/>
      <c r="W222" s="52" t="n"/>
      <c r="X222" s="53">
        <f>IFERROR(IF($A222="","",MAX(0,$R222*$S222-$T222)),"")</f>
        <v/>
      </c>
      <c r="Y222" s="53">
        <f>IFERROR(IF($A222="","",IF($U222="Yes",$X222*$V222,0)),"")</f>
        <v/>
      </c>
      <c r="Z222" s="53">
        <f>IFERROR(IF($A222="","",$X222+$Y222+$W222),"")</f>
        <v/>
      </c>
      <c r="AA222" s="28" t="n"/>
      <c r="AB222" s="51" t="n"/>
      <c r="AC222" s="24">
        <f>IFERROR(IF($A222="","",IF($N222="Canceled","Canceled",IF($AA222=0,"Not Received",IF($AA222&lt;$R222,"Partially Received",IF($AA222=$R222,"Fully Received","Over Received"))))),"")</f>
        <v/>
      </c>
      <c r="AD222" s="25" t="n"/>
      <c r="AE222" s="23" t="n"/>
      <c r="AF222" s="51" t="n"/>
      <c r="AG222" s="52" t="n"/>
      <c r="AH222" s="53">
        <f>IFERROR(IF($A222="","",IF($AG222="","",$AG222-$Z222)),"")</f>
        <v/>
      </c>
      <c r="AI222" s="32">
        <f>IFERROR(IF($A222="","",IF(OR($AG222="",$Z222=0),"",($AG222-$Z222)/$Z222)),"")</f>
        <v/>
      </c>
      <c r="AJ222" s="23" t="n"/>
      <c r="AK222" s="51" t="n"/>
      <c r="AL222" s="53">
        <f>IFERROR(IF($A222="","",IF(OR($N222="Canceled",$N222="Closed"),0,MAX($Z222-IF($AG222="",0,$AG222),0))),"")</f>
        <v/>
      </c>
      <c r="AM222" s="27">
        <f>IFERROR(IF($A222="","",IF(OR($N222="Closed",$N222="Canceled"),IF($O222="","",MAX(0,$O222-$H222)),MAX(0,TODAY()-$H222))),"")</f>
        <v/>
      </c>
      <c r="AN222" s="24">
        <f>IFERROR(IF($A222="","",IF($AA222&gt;$R222,"Over Received",IF(AND($J222="Approved",OR($K222="",$L222="")),"Approval Missing",IF(AND($J222="Pending",$AM222&gt;'Settings'!$B$7),"Approval Follow-Up",IF(AND($N222="Open",$I222&lt;&gt;"",$I222+'Settings'!$B$8&lt;TODAY(),$AA222&lt;$R222),"Delivery Overdue",IF(AND($AG222&lt;&gt;"",OR(ABS($AH222)&gt;'Settings'!$B$9,ABS($AI222)&gt;'Settings'!$B$10)),"Invoice Variance",IF(AND($N222="Open",$AM222&gt;'Settings'!$B$11),"Aging Open PO",""))))))),"")</f>
        <v/>
      </c>
      <c r="AO222" s="25" t="n"/>
      <c r="AP222" s="24">
        <f>IFERROR(IF(AND($AN222&lt;&gt;"",$N222&lt;&gt;"Closed",$N222&lt;&gt;"Canceled",OR('Dashboard'!$B$4="All",$B222='Dashboard'!$B$4),OR('Dashboard'!$D$4="All",$C222='Dashboard'!$D$4)),COUNTIFS($AN$6:$AN222,"&lt;&gt;",$N$6:$N222,"&lt;&gt;Closed",$N$6:$N222,"&lt;&gt;Canceled",$B$6:$B222,IF('Dashboard'!$B$4="All","&lt;&gt;",'Dashboard'!$B$4),$C$6:$C222,IF('Dashboard'!$D$4="All","&lt;&gt;",'Dashboard'!$D$4)),""),"")</f>
        <v/>
      </c>
    </row>
    <row r="223">
      <c r="A223" s="23" t="n"/>
      <c r="B223" s="23" t="n"/>
      <c r="C223" s="23" t="n"/>
      <c r="D223" s="23" t="n"/>
      <c r="E223" s="23" t="n"/>
      <c r="F223" s="24">
        <f>IFERROR(IF($E223="","",VLOOKUP($E223,'Settings'!$G$16:$M$115,2,0)),"")</f>
        <v/>
      </c>
      <c r="G223" s="25" t="n"/>
      <c r="H223" s="51" t="n"/>
      <c r="I223" s="51" t="n"/>
      <c r="J223" s="23" t="n"/>
      <c r="K223" s="23" t="n"/>
      <c r="L223" s="51" t="n"/>
      <c r="M223" s="27">
        <f>IFERROR(IF($A223="","",IF($J223="Approved",MAX(0,$L223-$H223),"")),"")</f>
        <v/>
      </c>
      <c r="N223" s="23" t="n"/>
      <c r="O223" s="51" t="n"/>
      <c r="P223" s="23" t="n"/>
      <c r="Q223" s="25" t="n"/>
      <c r="R223" s="28" t="n"/>
      <c r="S223" s="52" t="n"/>
      <c r="T223" s="52" t="n"/>
      <c r="U223" s="23" t="n"/>
      <c r="V223" s="30" t="n"/>
      <c r="W223" s="52" t="n"/>
      <c r="X223" s="53">
        <f>IFERROR(IF($A223="","",MAX(0,$R223*$S223-$T223)),"")</f>
        <v/>
      </c>
      <c r="Y223" s="53">
        <f>IFERROR(IF($A223="","",IF($U223="Yes",$X223*$V223,0)),"")</f>
        <v/>
      </c>
      <c r="Z223" s="53">
        <f>IFERROR(IF($A223="","",$X223+$Y223+$W223),"")</f>
        <v/>
      </c>
      <c r="AA223" s="28" t="n"/>
      <c r="AB223" s="51" t="n"/>
      <c r="AC223" s="24">
        <f>IFERROR(IF($A223="","",IF($N223="Canceled","Canceled",IF($AA223=0,"Not Received",IF($AA223&lt;$R223,"Partially Received",IF($AA223=$R223,"Fully Received","Over Received"))))),"")</f>
        <v/>
      </c>
      <c r="AD223" s="25" t="n"/>
      <c r="AE223" s="23" t="n"/>
      <c r="AF223" s="51" t="n"/>
      <c r="AG223" s="52" t="n"/>
      <c r="AH223" s="53">
        <f>IFERROR(IF($A223="","",IF($AG223="","",$AG223-$Z223)),"")</f>
        <v/>
      </c>
      <c r="AI223" s="32">
        <f>IFERROR(IF($A223="","",IF(OR($AG223="",$Z223=0),"",($AG223-$Z223)/$Z223)),"")</f>
        <v/>
      </c>
      <c r="AJ223" s="23" t="n"/>
      <c r="AK223" s="51" t="n"/>
      <c r="AL223" s="53">
        <f>IFERROR(IF($A223="","",IF(OR($N223="Canceled",$N223="Closed"),0,MAX($Z223-IF($AG223="",0,$AG223),0))),"")</f>
        <v/>
      </c>
      <c r="AM223" s="27">
        <f>IFERROR(IF($A223="","",IF(OR($N223="Closed",$N223="Canceled"),IF($O223="","",MAX(0,$O223-$H223)),MAX(0,TODAY()-$H223))),"")</f>
        <v/>
      </c>
      <c r="AN223" s="24">
        <f>IFERROR(IF($A223="","",IF($AA223&gt;$R223,"Over Received",IF(AND($J223="Approved",OR($K223="",$L223="")),"Approval Missing",IF(AND($J223="Pending",$AM223&gt;'Settings'!$B$7),"Approval Follow-Up",IF(AND($N223="Open",$I223&lt;&gt;"",$I223+'Settings'!$B$8&lt;TODAY(),$AA223&lt;$R223),"Delivery Overdue",IF(AND($AG223&lt;&gt;"",OR(ABS($AH223)&gt;'Settings'!$B$9,ABS($AI223)&gt;'Settings'!$B$10)),"Invoice Variance",IF(AND($N223="Open",$AM223&gt;'Settings'!$B$11),"Aging Open PO",""))))))),"")</f>
        <v/>
      </c>
      <c r="AO223" s="25" t="n"/>
      <c r="AP223" s="24">
        <f>IFERROR(IF(AND($AN223&lt;&gt;"",$N223&lt;&gt;"Closed",$N223&lt;&gt;"Canceled",OR('Dashboard'!$B$4="All",$B223='Dashboard'!$B$4),OR('Dashboard'!$D$4="All",$C223='Dashboard'!$D$4)),COUNTIFS($AN$6:$AN223,"&lt;&gt;",$N$6:$N223,"&lt;&gt;Closed",$N$6:$N223,"&lt;&gt;Canceled",$B$6:$B223,IF('Dashboard'!$B$4="All","&lt;&gt;",'Dashboard'!$B$4),$C$6:$C223,IF('Dashboard'!$D$4="All","&lt;&gt;",'Dashboard'!$D$4)),""),"")</f>
        <v/>
      </c>
    </row>
    <row r="224">
      <c r="A224" s="23" t="n"/>
      <c r="B224" s="23" t="n"/>
      <c r="C224" s="23" t="n"/>
      <c r="D224" s="23" t="n"/>
      <c r="E224" s="23" t="n"/>
      <c r="F224" s="24">
        <f>IFERROR(IF($E224="","",VLOOKUP($E224,'Settings'!$G$16:$M$115,2,0)),"")</f>
        <v/>
      </c>
      <c r="G224" s="25" t="n"/>
      <c r="H224" s="51" t="n"/>
      <c r="I224" s="51" t="n"/>
      <c r="J224" s="23" t="n"/>
      <c r="K224" s="23" t="n"/>
      <c r="L224" s="51" t="n"/>
      <c r="M224" s="27">
        <f>IFERROR(IF($A224="","",IF($J224="Approved",MAX(0,$L224-$H224),"")),"")</f>
        <v/>
      </c>
      <c r="N224" s="23" t="n"/>
      <c r="O224" s="51" t="n"/>
      <c r="P224" s="23" t="n"/>
      <c r="Q224" s="25" t="n"/>
      <c r="R224" s="28" t="n"/>
      <c r="S224" s="52" t="n"/>
      <c r="T224" s="52" t="n"/>
      <c r="U224" s="23" t="n"/>
      <c r="V224" s="30" t="n"/>
      <c r="W224" s="52" t="n"/>
      <c r="X224" s="53">
        <f>IFERROR(IF($A224="","",MAX(0,$R224*$S224-$T224)),"")</f>
        <v/>
      </c>
      <c r="Y224" s="53">
        <f>IFERROR(IF($A224="","",IF($U224="Yes",$X224*$V224,0)),"")</f>
        <v/>
      </c>
      <c r="Z224" s="53">
        <f>IFERROR(IF($A224="","",$X224+$Y224+$W224),"")</f>
        <v/>
      </c>
      <c r="AA224" s="28" t="n"/>
      <c r="AB224" s="51" t="n"/>
      <c r="AC224" s="24">
        <f>IFERROR(IF($A224="","",IF($N224="Canceled","Canceled",IF($AA224=0,"Not Received",IF($AA224&lt;$R224,"Partially Received",IF($AA224=$R224,"Fully Received","Over Received"))))),"")</f>
        <v/>
      </c>
      <c r="AD224" s="25" t="n"/>
      <c r="AE224" s="23" t="n"/>
      <c r="AF224" s="51" t="n"/>
      <c r="AG224" s="52" t="n"/>
      <c r="AH224" s="53">
        <f>IFERROR(IF($A224="","",IF($AG224="","",$AG224-$Z224)),"")</f>
        <v/>
      </c>
      <c r="AI224" s="32">
        <f>IFERROR(IF($A224="","",IF(OR($AG224="",$Z224=0),"",($AG224-$Z224)/$Z224)),"")</f>
        <v/>
      </c>
      <c r="AJ224" s="23" t="n"/>
      <c r="AK224" s="51" t="n"/>
      <c r="AL224" s="53">
        <f>IFERROR(IF($A224="","",IF(OR($N224="Canceled",$N224="Closed"),0,MAX($Z224-IF($AG224="",0,$AG224),0))),"")</f>
        <v/>
      </c>
      <c r="AM224" s="27">
        <f>IFERROR(IF($A224="","",IF(OR($N224="Closed",$N224="Canceled"),IF($O224="","",MAX(0,$O224-$H224)),MAX(0,TODAY()-$H224))),"")</f>
        <v/>
      </c>
      <c r="AN224" s="24">
        <f>IFERROR(IF($A224="","",IF($AA224&gt;$R224,"Over Received",IF(AND($J224="Approved",OR($K224="",$L224="")),"Approval Missing",IF(AND($J224="Pending",$AM224&gt;'Settings'!$B$7),"Approval Follow-Up",IF(AND($N224="Open",$I224&lt;&gt;"",$I224+'Settings'!$B$8&lt;TODAY(),$AA224&lt;$R224),"Delivery Overdue",IF(AND($AG224&lt;&gt;"",OR(ABS($AH224)&gt;'Settings'!$B$9,ABS($AI224)&gt;'Settings'!$B$10)),"Invoice Variance",IF(AND($N224="Open",$AM224&gt;'Settings'!$B$11),"Aging Open PO",""))))))),"")</f>
        <v/>
      </c>
      <c r="AO224" s="25" t="n"/>
      <c r="AP224" s="24">
        <f>IFERROR(IF(AND($AN224&lt;&gt;"",$N224&lt;&gt;"Closed",$N224&lt;&gt;"Canceled",OR('Dashboard'!$B$4="All",$B224='Dashboard'!$B$4),OR('Dashboard'!$D$4="All",$C224='Dashboard'!$D$4)),COUNTIFS($AN$6:$AN224,"&lt;&gt;",$N$6:$N224,"&lt;&gt;Closed",$N$6:$N224,"&lt;&gt;Canceled",$B$6:$B224,IF('Dashboard'!$B$4="All","&lt;&gt;",'Dashboard'!$B$4),$C$6:$C224,IF('Dashboard'!$D$4="All","&lt;&gt;",'Dashboard'!$D$4)),""),"")</f>
        <v/>
      </c>
    </row>
    <row r="225">
      <c r="A225" s="23" t="n"/>
      <c r="B225" s="23" t="n"/>
      <c r="C225" s="23" t="n"/>
      <c r="D225" s="23" t="n"/>
      <c r="E225" s="23" t="n"/>
      <c r="F225" s="24">
        <f>IFERROR(IF($E225="","",VLOOKUP($E225,'Settings'!$G$16:$M$115,2,0)),"")</f>
        <v/>
      </c>
      <c r="G225" s="25" t="n"/>
      <c r="H225" s="51" t="n"/>
      <c r="I225" s="51" t="n"/>
      <c r="J225" s="23" t="n"/>
      <c r="K225" s="23" t="n"/>
      <c r="L225" s="51" t="n"/>
      <c r="M225" s="27">
        <f>IFERROR(IF($A225="","",IF($J225="Approved",MAX(0,$L225-$H225),"")),"")</f>
        <v/>
      </c>
      <c r="N225" s="23" t="n"/>
      <c r="O225" s="51" t="n"/>
      <c r="P225" s="23" t="n"/>
      <c r="Q225" s="25" t="n"/>
      <c r="R225" s="28" t="n"/>
      <c r="S225" s="52" t="n"/>
      <c r="T225" s="52" t="n"/>
      <c r="U225" s="23" t="n"/>
      <c r="V225" s="30" t="n"/>
      <c r="W225" s="52" t="n"/>
      <c r="X225" s="53">
        <f>IFERROR(IF($A225="","",MAX(0,$R225*$S225-$T225)),"")</f>
        <v/>
      </c>
      <c r="Y225" s="53">
        <f>IFERROR(IF($A225="","",IF($U225="Yes",$X225*$V225,0)),"")</f>
        <v/>
      </c>
      <c r="Z225" s="53">
        <f>IFERROR(IF($A225="","",$X225+$Y225+$W225),"")</f>
        <v/>
      </c>
      <c r="AA225" s="28" t="n"/>
      <c r="AB225" s="51" t="n"/>
      <c r="AC225" s="24">
        <f>IFERROR(IF($A225="","",IF($N225="Canceled","Canceled",IF($AA225=0,"Not Received",IF($AA225&lt;$R225,"Partially Received",IF($AA225=$R225,"Fully Received","Over Received"))))),"")</f>
        <v/>
      </c>
      <c r="AD225" s="25" t="n"/>
      <c r="AE225" s="23" t="n"/>
      <c r="AF225" s="51" t="n"/>
      <c r="AG225" s="52" t="n"/>
      <c r="AH225" s="53">
        <f>IFERROR(IF($A225="","",IF($AG225="","",$AG225-$Z225)),"")</f>
        <v/>
      </c>
      <c r="AI225" s="32">
        <f>IFERROR(IF($A225="","",IF(OR($AG225="",$Z225=0),"",($AG225-$Z225)/$Z225)),"")</f>
        <v/>
      </c>
      <c r="AJ225" s="23" t="n"/>
      <c r="AK225" s="51" t="n"/>
      <c r="AL225" s="53">
        <f>IFERROR(IF($A225="","",IF(OR($N225="Canceled",$N225="Closed"),0,MAX($Z225-IF($AG225="",0,$AG225),0))),"")</f>
        <v/>
      </c>
      <c r="AM225" s="27">
        <f>IFERROR(IF($A225="","",IF(OR($N225="Closed",$N225="Canceled"),IF($O225="","",MAX(0,$O225-$H225)),MAX(0,TODAY()-$H225))),"")</f>
        <v/>
      </c>
      <c r="AN225" s="24">
        <f>IFERROR(IF($A225="","",IF($AA225&gt;$R225,"Over Received",IF(AND($J225="Approved",OR($K225="",$L225="")),"Approval Missing",IF(AND($J225="Pending",$AM225&gt;'Settings'!$B$7),"Approval Follow-Up",IF(AND($N225="Open",$I225&lt;&gt;"",$I225+'Settings'!$B$8&lt;TODAY(),$AA225&lt;$R225),"Delivery Overdue",IF(AND($AG225&lt;&gt;"",OR(ABS($AH225)&gt;'Settings'!$B$9,ABS($AI225)&gt;'Settings'!$B$10)),"Invoice Variance",IF(AND($N225="Open",$AM225&gt;'Settings'!$B$11),"Aging Open PO",""))))))),"")</f>
        <v/>
      </c>
      <c r="AO225" s="25" t="n"/>
      <c r="AP225" s="24">
        <f>IFERROR(IF(AND($AN225&lt;&gt;"",$N225&lt;&gt;"Closed",$N225&lt;&gt;"Canceled",OR('Dashboard'!$B$4="All",$B225='Dashboard'!$B$4),OR('Dashboard'!$D$4="All",$C225='Dashboard'!$D$4)),COUNTIFS($AN$6:$AN225,"&lt;&gt;",$N$6:$N225,"&lt;&gt;Closed",$N$6:$N225,"&lt;&gt;Canceled",$B$6:$B225,IF('Dashboard'!$B$4="All","&lt;&gt;",'Dashboard'!$B$4),$C$6:$C225,IF('Dashboard'!$D$4="All","&lt;&gt;",'Dashboard'!$D$4)),""),"")</f>
        <v/>
      </c>
    </row>
    <row r="226">
      <c r="A226" s="23" t="n"/>
      <c r="B226" s="23" t="n"/>
      <c r="C226" s="23" t="n"/>
      <c r="D226" s="23" t="n"/>
      <c r="E226" s="23" t="n"/>
      <c r="F226" s="24">
        <f>IFERROR(IF($E226="","",VLOOKUP($E226,'Settings'!$G$16:$M$115,2,0)),"")</f>
        <v/>
      </c>
      <c r="G226" s="25" t="n"/>
      <c r="H226" s="51" t="n"/>
      <c r="I226" s="51" t="n"/>
      <c r="J226" s="23" t="n"/>
      <c r="K226" s="23" t="n"/>
      <c r="L226" s="51" t="n"/>
      <c r="M226" s="27">
        <f>IFERROR(IF($A226="","",IF($J226="Approved",MAX(0,$L226-$H226),"")),"")</f>
        <v/>
      </c>
      <c r="N226" s="23" t="n"/>
      <c r="O226" s="51" t="n"/>
      <c r="P226" s="23" t="n"/>
      <c r="Q226" s="25" t="n"/>
      <c r="R226" s="28" t="n"/>
      <c r="S226" s="52" t="n"/>
      <c r="T226" s="52" t="n"/>
      <c r="U226" s="23" t="n"/>
      <c r="V226" s="30" t="n"/>
      <c r="W226" s="52" t="n"/>
      <c r="X226" s="53">
        <f>IFERROR(IF($A226="","",MAX(0,$R226*$S226-$T226)),"")</f>
        <v/>
      </c>
      <c r="Y226" s="53">
        <f>IFERROR(IF($A226="","",IF($U226="Yes",$X226*$V226,0)),"")</f>
        <v/>
      </c>
      <c r="Z226" s="53">
        <f>IFERROR(IF($A226="","",$X226+$Y226+$W226),"")</f>
        <v/>
      </c>
      <c r="AA226" s="28" t="n"/>
      <c r="AB226" s="51" t="n"/>
      <c r="AC226" s="24">
        <f>IFERROR(IF($A226="","",IF($N226="Canceled","Canceled",IF($AA226=0,"Not Received",IF($AA226&lt;$R226,"Partially Received",IF($AA226=$R226,"Fully Received","Over Received"))))),"")</f>
        <v/>
      </c>
      <c r="AD226" s="25" t="n"/>
      <c r="AE226" s="23" t="n"/>
      <c r="AF226" s="51" t="n"/>
      <c r="AG226" s="52" t="n"/>
      <c r="AH226" s="53">
        <f>IFERROR(IF($A226="","",IF($AG226="","",$AG226-$Z226)),"")</f>
        <v/>
      </c>
      <c r="AI226" s="32">
        <f>IFERROR(IF($A226="","",IF(OR($AG226="",$Z226=0),"",($AG226-$Z226)/$Z226)),"")</f>
        <v/>
      </c>
      <c r="AJ226" s="23" t="n"/>
      <c r="AK226" s="51" t="n"/>
      <c r="AL226" s="53">
        <f>IFERROR(IF($A226="","",IF(OR($N226="Canceled",$N226="Closed"),0,MAX($Z226-IF($AG226="",0,$AG226),0))),"")</f>
        <v/>
      </c>
      <c r="AM226" s="27">
        <f>IFERROR(IF($A226="","",IF(OR($N226="Closed",$N226="Canceled"),IF($O226="","",MAX(0,$O226-$H226)),MAX(0,TODAY()-$H226))),"")</f>
        <v/>
      </c>
      <c r="AN226" s="24">
        <f>IFERROR(IF($A226="","",IF($AA226&gt;$R226,"Over Received",IF(AND($J226="Approved",OR($K226="",$L226="")),"Approval Missing",IF(AND($J226="Pending",$AM226&gt;'Settings'!$B$7),"Approval Follow-Up",IF(AND($N226="Open",$I226&lt;&gt;"",$I226+'Settings'!$B$8&lt;TODAY(),$AA226&lt;$R226),"Delivery Overdue",IF(AND($AG226&lt;&gt;"",OR(ABS($AH226)&gt;'Settings'!$B$9,ABS($AI226)&gt;'Settings'!$B$10)),"Invoice Variance",IF(AND($N226="Open",$AM226&gt;'Settings'!$B$11),"Aging Open PO",""))))))),"")</f>
        <v/>
      </c>
      <c r="AO226" s="25" t="n"/>
      <c r="AP226" s="24">
        <f>IFERROR(IF(AND($AN226&lt;&gt;"",$N226&lt;&gt;"Closed",$N226&lt;&gt;"Canceled",OR('Dashboard'!$B$4="All",$B226='Dashboard'!$B$4),OR('Dashboard'!$D$4="All",$C226='Dashboard'!$D$4)),COUNTIFS($AN$6:$AN226,"&lt;&gt;",$N$6:$N226,"&lt;&gt;Closed",$N$6:$N226,"&lt;&gt;Canceled",$B$6:$B226,IF('Dashboard'!$B$4="All","&lt;&gt;",'Dashboard'!$B$4),$C$6:$C226,IF('Dashboard'!$D$4="All","&lt;&gt;",'Dashboard'!$D$4)),""),"")</f>
        <v/>
      </c>
    </row>
    <row r="227">
      <c r="A227" s="23" t="n"/>
      <c r="B227" s="23" t="n"/>
      <c r="C227" s="23" t="n"/>
      <c r="D227" s="23" t="n"/>
      <c r="E227" s="23" t="n"/>
      <c r="F227" s="24">
        <f>IFERROR(IF($E227="","",VLOOKUP($E227,'Settings'!$G$16:$M$115,2,0)),"")</f>
        <v/>
      </c>
      <c r="G227" s="25" t="n"/>
      <c r="H227" s="51" t="n"/>
      <c r="I227" s="51" t="n"/>
      <c r="J227" s="23" t="n"/>
      <c r="K227" s="23" t="n"/>
      <c r="L227" s="51" t="n"/>
      <c r="M227" s="27">
        <f>IFERROR(IF($A227="","",IF($J227="Approved",MAX(0,$L227-$H227),"")),"")</f>
        <v/>
      </c>
      <c r="N227" s="23" t="n"/>
      <c r="O227" s="51" t="n"/>
      <c r="P227" s="23" t="n"/>
      <c r="Q227" s="25" t="n"/>
      <c r="R227" s="28" t="n"/>
      <c r="S227" s="52" t="n"/>
      <c r="T227" s="52" t="n"/>
      <c r="U227" s="23" t="n"/>
      <c r="V227" s="30" t="n"/>
      <c r="W227" s="52" t="n"/>
      <c r="X227" s="53">
        <f>IFERROR(IF($A227="","",MAX(0,$R227*$S227-$T227)),"")</f>
        <v/>
      </c>
      <c r="Y227" s="53">
        <f>IFERROR(IF($A227="","",IF($U227="Yes",$X227*$V227,0)),"")</f>
        <v/>
      </c>
      <c r="Z227" s="53">
        <f>IFERROR(IF($A227="","",$X227+$Y227+$W227),"")</f>
        <v/>
      </c>
      <c r="AA227" s="28" t="n"/>
      <c r="AB227" s="51" t="n"/>
      <c r="AC227" s="24">
        <f>IFERROR(IF($A227="","",IF($N227="Canceled","Canceled",IF($AA227=0,"Not Received",IF($AA227&lt;$R227,"Partially Received",IF($AA227=$R227,"Fully Received","Over Received"))))),"")</f>
        <v/>
      </c>
      <c r="AD227" s="25" t="n"/>
      <c r="AE227" s="23" t="n"/>
      <c r="AF227" s="51" t="n"/>
      <c r="AG227" s="52" t="n"/>
      <c r="AH227" s="53">
        <f>IFERROR(IF($A227="","",IF($AG227="","",$AG227-$Z227)),"")</f>
        <v/>
      </c>
      <c r="AI227" s="32">
        <f>IFERROR(IF($A227="","",IF(OR($AG227="",$Z227=0),"",($AG227-$Z227)/$Z227)),"")</f>
        <v/>
      </c>
      <c r="AJ227" s="23" t="n"/>
      <c r="AK227" s="51" t="n"/>
      <c r="AL227" s="53">
        <f>IFERROR(IF($A227="","",IF(OR($N227="Canceled",$N227="Closed"),0,MAX($Z227-IF($AG227="",0,$AG227),0))),"")</f>
        <v/>
      </c>
      <c r="AM227" s="27">
        <f>IFERROR(IF($A227="","",IF(OR($N227="Closed",$N227="Canceled"),IF($O227="","",MAX(0,$O227-$H227)),MAX(0,TODAY()-$H227))),"")</f>
        <v/>
      </c>
      <c r="AN227" s="24">
        <f>IFERROR(IF($A227="","",IF($AA227&gt;$R227,"Over Received",IF(AND($J227="Approved",OR($K227="",$L227="")),"Approval Missing",IF(AND($J227="Pending",$AM227&gt;'Settings'!$B$7),"Approval Follow-Up",IF(AND($N227="Open",$I227&lt;&gt;"",$I227+'Settings'!$B$8&lt;TODAY(),$AA227&lt;$R227),"Delivery Overdue",IF(AND($AG227&lt;&gt;"",OR(ABS($AH227)&gt;'Settings'!$B$9,ABS($AI227)&gt;'Settings'!$B$10)),"Invoice Variance",IF(AND($N227="Open",$AM227&gt;'Settings'!$B$11),"Aging Open PO",""))))))),"")</f>
        <v/>
      </c>
      <c r="AO227" s="25" t="n"/>
      <c r="AP227" s="24">
        <f>IFERROR(IF(AND($AN227&lt;&gt;"",$N227&lt;&gt;"Closed",$N227&lt;&gt;"Canceled",OR('Dashboard'!$B$4="All",$B227='Dashboard'!$B$4),OR('Dashboard'!$D$4="All",$C227='Dashboard'!$D$4)),COUNTIFS($AN$6:$AN227,"&lt;&gt;",$N$6:$N227,"&lt;&gt;Closed",$N$6:$N227,"&lt;&gt;Canceled",$B$6:$B227,IF('Dashboard'!$B$4="All","&lt;&gt;",'Dashboard'!$B$4),$C$6:$C227,IF('Dashboard'!$D$4="All","&lt;&gt;",'Dashboard'!$D$4)),""),"")</f>
        <v/>
      </c>
    </row>
    <row r="228">
      <c r="A228" s="23" t="n"/>
      <c r="B228" s="23" t="n"/>
      <c r="C228" s="23" t="n"/>
      <c r="D228" s="23" t="n"/>
      <c r="E228" s="23" t="n"/>
      <c r="F228" s="24">
        <f>IFERROR(IF($E228="","",VLOOKUP($E228,'Settings'!$G$16:$M$115,2,0)),"")</f>
        <v/>
      </c>
      <c r="G228" s="25" t="n"/>
      <c r="H228" s="51" t="n"/>
      <c r="I228" s="51" t="n"/>
      <c r="J228" s="23" t="n"/>
      <c r="K228" s="23" t="n"/>
      <c r="L228" s="51" t="n"/>
      <c r="M228" s="27">
        <f>IFERROR(IF($A228="","",IF($J228="Approved",MAX(0,$L228-$H228),"")),"")</f>
        <v/>
      </c>
      <c r="N228" s="23" t="n"/>
      <c r="O228" s="51" t="n"/>
      <c r="P228" s="23" t="n"/>
      <c r="Q228" s="25" t="n"/>
      <c r="R228" s="28" t="n"/>
      <c r="S228" s="52" t="n"/>
      <c r="T228" s="52" t="n"/>
      <c r="U228" s="23" t="n"/>
      <c r="V228" s="30" t="n"/>
      <c r="W228" s="52" t="n"/>
      <c r="X228" s="53">
        <f>IFERROR(IF($A228="","",MAX(0,$R228*$S228-$T228)),"")</f>
        <v/>
      </c>
      <c r="Y228" s="53">
        <f>IFERROR(IF($A228="","",IF($U228="Yes",$X228*$V228,0)),"")</f>
        <v/>
      </c>
      <c r="Z228" s="53">
        <f>IFERROR(IF($A228="","",$X228+$Y228+$W228),"")</f>
        <v/>
      </c>
      <c r="AA228" s="28" t="n"/>
      <c r="AB228" s="51" t="n"/>
      <c r="AC228" s="24">
        <f>IFERROR(IF($A228="","",IF($N228="Canceled","Canceled",IF($AA228=0,"Not Received",IF($AA228&lt;$R228,"Partially Received",IF($AA228=$R228,"Fully Received","Over Received"))))),"")</f>
        <v/>
      </c>
      <c r="AD228" s="25" t="n"/>
      <c r="AE228" s="23" t="n"/>
      <c r="AF228" s="51" t="n"/>
      <c r="AG228" s="52" t="n"/>
      <c r="AH228" s="53">
        <f>IFERROR(IF($A228="","",IF($AG228="","",$AG228-$Z228)),"")</f>
        <v/>
      </c>
      <c r="AI228" s="32">
        <f>IFERROR(IF($A228="","",IF(OR($AG228="",$Z228=0),"",($AG228-$Z228)/$Z228)),"")</f>
        <v/>
      </c>
      <c r="AJ228" s="23" t="n"/>
      <c r="AK228" s="51" t="n"/>
      <c r="AL228" s="53">
        <f>IFERROR(IF($A228="","",IF(OR($N228="Canceled",$N228="Closed"),0,MAX($Z228-IF($AG228="",0,$AG228),0))),"")</f>
        <v/>
      </c>
      <c r="AM228" s="27">
        <f>IFERROR(IF($A228="","",IF(OR($N228="Closed",$N228="Canceled"),IF($O228="","",MAX(0,$O228-$H228)),MAX(0,TODAY()-$H228))),"")</f>
        <v/>
      </c>
      <c r="AN228" s="24">
        <f>IFERROR(IF($A228="","",IF($AA228&gt;$R228,"Over Received",IF(AND($J228="Approved",OR($K228="",$L228="")),"Approval Missing",IF(AND($J228="Pending",$AM228&gt;'Settings'!$B$7),"Approval Follow-Up",IF(AND($N228="Open",$I228&lt;&gt;"",$I228+'Settings'!$B$8&lt;TODAY(),$AA228&lt;$R228),"Delivery Overdue",IF(AND($AG228&lt;&gt;"",OR(ABS($AH228)&gt;'Settings'!$B$9,ABS($AI228)&gt;'Settings'!$B$10)),"Invoice Variance",IF(AND($N228="Open",$AM228&gt;'Settings'!$B$11),"Aging Open PO",""))))))),"")</f>
        <v/>
      </c>
      <c r="AO228" s="25" t="n"/>
      <c r="AP228" s="24">
        <f>IFERROR(IF(AND($AN228&lt;&gt;"",$N228&lt;&gt;"Closed",$N228&lt;&gt;"Canceled",OR('Dashboard'!$B$4="All",$B228='Dashboard'!$B$4),OR('Dashboard'!$D$4="All",$C228='Dashboard'!$D$4)),COUNTIFS($AN$6:$AN228,"&lt;&gt;",$N$6:$N228,"&lt;&gt;Closed",$N$6:$N228,"&lt;&gt;Canceled",$B$6:$B228,IF('Dashboard'!$B$4="All","&lt;&gt;",'Dashboard'!$B$4),$C$6:$C228,IF('Dashboard'!$D$4="All","&lt;&gt;",'Dashboard'!$D$4)),""),"")</f>
        <v/>
      </c>
    </row>
    <row r="229">
      <c r="A229" s="23" t="n"/>
      <c r="B229" s="23" t="n"/>
      <c r="C229" s="23" t="n"/>
      <c r="D229" s="23" t="n"/>
      <c r="E229" s="23" t="n"/>
      <c r="F229" s="24">
        <f>IFERROR(IF($E229="","",VLOOKUP($E229,'Settings'!$G$16:$M$115,2,0)),"")</f>
        <v/>
      </c>
      <c r="G229" s="25" t="n"/>
      <c r="H229" s="51" t="n"/>
      <c r="I229" s="51" t="n"/>
      <c r="J229" s="23" t="n"/>
      <c r="K229" s="23" t="n"/>
      <c r="L229" s="51" t="n"/>
      <c r="M229" s="27">
        <f>IFERROR(IF($A229="","",IF($J229="Approved",MAX(0,$L229-$H229),"")),"")</f>
        <v/>
      </c>
      <c r="N229" s="23" t="n"/>
      <c r="O229" s="51" t="n"/>
      <c r="P229" s="23" t="n"/>
      <c r="Q229" s="25" t="n"/>
      <c r="R229" s="28" t="n"/>
      <c r="S229" s="52" t="n"/>
      <c r="T229" s="52" t="n"/>
      <c r="U229" s="23" t="n"/>
      <c r="V229" s="30" t="n"/>
      <c r="W229" s="52" t="n"/>
      <c r="X229" s="53">
        <f>IFERROR(IF($A229="","",MAX(0,$R229*$S229-$T229)),"")</f>
        <v/>
      </c>
      <c r="Y229" s="53">
        <f>IFERROR(IF($A229="","",IF($U229="Yes",$X229*$V229,0)),"")</f>
        <v/>
      </c>
      <c r="Z229" s="53">
        <f>IFERROR(IF($A229="","",$X229+$Y229+$W229),"")</f>
        <v/>
      </c>
      <c r="AA229" s="28" t="n"/>
      <c r="AB229" s="51" t="n"/>
      <c r="AC229" s="24">
        <f>IFERROR(IF($A229="","",IF($N229="Canceled","Canceled",IF($AA229=0,"Not Received",IF($AA229&lt;$R229,"Partially Received",IF($AA229=$R229,"Fully Received","Over Received"))))),"")</f>
        <v/>
      </c>
      <c r="AD229" s="25" t="n"/>
      <c r="AE229" s="23" t="n"/>
      <c r="AF229" s="51" t="n"/>
      <c r="AG229" s="52" t="n"/>
      <c r="AH229" s="53">
        <f>IFERROR(IF($A229="","",IF($AG229="","",$AG229-$Z229)),"")</f>
        <v/>
      </c>
      <c r="AI229" s="32">
        <f>IFERROR(IF($A229="","",IF(OR($AG229="",$Z229=0),"",($AG229-$Z229)/$Z229)),"")</f>
        <v/>
      </c>
      <c r="AJ229" s="23" t="n"/>
      <c r="AK229" s="51" t="n"/>
      <c r="AL229" s="53">
        <f>IFERROR(IF($A229="","",IF(OR($N229="Canceled",$N229="Closed"),0,MAX($Z229-IF($AG229="",0,$AG229),0))),"")</f>
        <v/>
      </c>
      <c r="AM229" s="27">
        <f>IFERROR(IF($A229="","",IF(OR($N229="Closed",$N229="Canceled"),IF($O229="","",MAX(0,$O229-$H229)),MAX(0,TODAY()-$H229))),"")</f>
        <v/>
      </c>
      <c r="AN229" s="24">
        <f>IFERROR(IF($A229="","",IF($AA229&gt;$R229,"Over Received",IF(AND($J229="Approved",OR($K229="",$L229="")),"Approval Missing",IF(AND($J229="Pending",$AM229&gt;'Settings'!$B$7),"Approval Follow-Up",IF(AND($N229="Open",$I229&lt;&gt;"",$I229+'Settings'!$B$8&lt;TODAY(),$AA229&lt;$R229),"Delivery Overdue",IF(AND($AG229&lt;&gt;"",OR(ABS($AH229)&gt;'Settings'!$B$9,ABS($AI229)&gt;'Settings'!$B$10)),"Invoice Variance",IF(AND($N229="Open",$AM229&gt;'Settings'!$B$11),"Aging Open PO",""))))))),"")</f>
        <v/>
      </c>
      <c r="AO229" s="25" t="n"/>
      <c r="AP229" s="24">
        <f>IFERROR(IF(AND($AN229&lt;&gt;"",$N229&lt;&gt;"Closed",$N229&lt;&gt;"Canceled",OR('Dashboard'!$B$4="All",$B229='Dashboard'!$B$4),OR('Dashboard'!$D$4="All",$C229='Dashboard'!$D$4)),COUNTIFS($AN$6:$AN229,"&lt;&gt;",$N$6:$N229,"&lt;&gt;Closed",$N$6:$N229,"&lt;&gt;Canceled",$B$6:$B229,IF('Dashboard'!$B$4="All","&lt;&gt;",'Dashboard'!$B$4),$C$6:$C229,IF('Dashboard'!$D$4="All","&lt;&gt;",'Dashboard'!$D$4)),""),"")</f>
        <v/>
      </c>
    </row>
    <row r="230">
      <c r="A230" s="23" t="n"/>
      <c r="B230" s="23" t="n"/>
      <c r="C230" s="23" t="n"/>
      <c r="D230" s="23" t="n"/>
      <c r="E230" s="23" t="n"/>
      <c r="F230" s="24">
        <f>IFERROR(IF($E230="","",VLOOKUP($E230,'Settings'!$G$16:$M$115,2,0)),"")</f>
        <v/>
      </c>
      <c r="G230" s="25" t="n"/>
      <c r="H230" s="51" t="n"/>
      <c r="I230" s="51" t="n"/>
      <c r="J230" s="23" t="n"/>
      <c r="K230" s="23" t="n"/>
      <c r="L230" s="51" t="n"/>
      <c r="M230" s="27">
        <f>IFERROR(IF($A230="","",IF($J230="Approved",MAX(0,$L230-$H230),"")),"")</f>
        <v/>
      </c>
      <c r="N230" s="23" t="n"/>
      <c r="O230" s="51" t="n"/>
      <c r="P230" s="23" t="n"/>
      <c r="Q230" s="25" t="n"/>
      <c r="R230" s="28" t="n"/>
      <c r="S230" s="52" t="n"/>
      <c r="T230" s="52" t="n"/>
      <c r="U230" s="23" t="n"/>
      <c r="V230" s="30" t="n"/>
      <c r="W230" s="52" t="n"/>
      <c r="X230" s="53">
        <f>IFERROR(IF($A230="","",MAX(0,$R230*$S230-$T230)),"")</f>
        <v/>
      </c>
      <c r="Y230" s="53">
        <f>IFERROR(IF($A230="","",IF($U230="Yes",$X230*$V230,0)),"")</f>
        <v/>
      </c>
      <c r="Z230" s="53">
        <f>IFERROR(IF($A230="","",$X230+$Y230+$W230),"")</f>
        <v/>
      </c>
      <c r="AA230" s="28" t="n"/>
      <c r="AB230" s="51" t="n"/>
      <c r="AC230" s="24">
        <f>IFERROR(IF($A230="","",IF($N230="Canceled","Canceled",IF($AA230=0,"Not Received",IF($AA230&lt;$R230,"Partially Received",IF($AA230=$R230,"Fully Received","Over Received"))))),"")</f>
        <v/>
      </c>
      <c r="AD230" s="25" t="n"/>
      <c r="AE230" s="23" t="n"/>
      <c r="AF230" s="51" t="n"/>
      <c r="AG230" s="52" t="n"/>
      <c r="AH230" s="53">
        <f>IFERROR(IF($A230="","",IF($AG230="","",$AG230-$Z230)),"")</f>
        <v/>
      </c>
      <c r="AI230" s="32">
        <f>IFERROR(IF($A230="","",IF(OR($AG230="",$Z230=0),"",($AG230-$Z230)/$Z230)),"")</f>
        <v/>
      </c>
      <c r="AJ230" s="23" t="n"/>
      <c r="AK230" s="51" t="n"/>
      <c r="AL230" s="53">
        <f>IFERROR(IF($A230="","",IF(OR($N230="Canceled",$N230="Closed"),0,MAX($Z230-IF($AG230="",0,$AG230),0))),"")</f>
        <v/>
      </c>
      <c r="AM230" s="27">
        <f>IFERROR(IF($A230="","",IF(OR($N230="Closed",$N230="Canceled"),IF($O230="","",MAX(0,$O230-$H230)),MAX(0,TODAY()-$H230))),"")</f>
        <v/>
      </c>
      <c r="AN230" s="24">
        <f>IFERROR(IF($A230="","",IF($AA230&gt;$R230,"Over Received",IF(AND($J230="Approved",OR($K230="",$L230="")),"Approval Missing",IF(AND($J230="Pending",$AM230&gt;'Settings'!$B$7),"Approval Follow-Up",IF(AND($N230="Open",$I230&lt;&gt;"",$I230+'Settings'!$B$8&lt;TODAY(),$AA230&lt;$R230),"Delivery Overdue",IF(AND($AG230&lt;&gt;"",OR(ABS($AH230)&gt;'Settings'!$B$9,ABS($AI230)&gt;'Settings'!$B$10)),"Invoice Variance",IF(AND($N230="Open",$AM230&gt;'Settings'!$B$11),"Aging Open PO",""))))))),"")</f>
        <v/>
      </c>
      <c r="AO230" s="25" t="n"/>
      <c r="AP230" s="24">
        <f>IFERROR(IF(AND($AN230&lt;&gt;"",$N230&lt;&gt;"Closed",$N230&lt;&gt;"Canceled",OR('Dashboard'!$B$4="All",$B230='Dashboard'!$B$4),OR('Dashboard'!$D$4="All",$C230='Dashboard'!$D$4)),COUNTIFS($AN$6:$AN230,"&lt;&gt;",$N$6:$N230,"&lt;&gt;Closed",$N$6:$N230,"&lt;&gt;Canceled",$B$6:$B230,IF('Dashboard'!$B$4="All","&lt;&gt;",'Dashboard'!$B$4),$C$6:$C230,IF('Dashboard'!$D$4="All","&lt;&gt;",'Dashboard'!$D$4)),""),"")</f>
        <v/>
      </c>
    </row>
    <row r="231">
      <c r="A231" s="23" t="n"/>
      <c r="B231" s="23" t="n"/>
      <c r="C231" s="23" t="n"/>
      <c r="D231" s="23" t="n"/>
      <c r="E231" s="23" t="n"/>
      <c r="F231" s="24">
        <f>IFERROR(IF($E231="","",VLOOKUP($E231,'Settings'!$G$16:$M$115,2,0)),"")</f>
        <v/>
      </c>
      <c r="G231" s="25" t="n"/>
      <c r="H231" s="51" t="n"/>
      <c r="I231" s="51" t="n"/>
      <c r="J231" s="23" t="n"/>
      <c r="K231" s="23" t="n"/>
      <c r="L231" s="51" t="n"/>
      <c r="M231" s="27">
        <f>IFERROR(IF($A231="","",IF($J231="Approved",MAX(0,$L231-$H231),"")),"")</f>
        <v/>
      </c>
      <c r="N231" s="23" t="n"/>
      <c r="O231" s="51" t="n"/>
      <c r="P231" s="23" t="n"/>
      <c r="Q231" s="25" t="n"/>
      <c r="R231" s="28" t="n"/>
      <c r="S231" s="52" t="n"/>
      <c r="T231" s="52" t="n"/>
      <c r="U231" s="23" t="n"/>
      <c r="V231" s="30" t="n"/>
      <c r="W231" s="52" t="n"/>
      <c r="X231" s="53">
        <f>IFERROR(IF($A231="","",MAX(0,$R231*$S231-$T231)),"")</f>
        <v/>
      </c>
      <c r="Y231" s="53">
        <f>IFERROR(IF($A231="","",IF($U231="Yes",$X231*$V231,0)),"")</f>
        <v/>
      </c>
      <c r="Z231" s="53">
        <f>IFERROR(IF($A231="","",$X231+$Y231+$W231),"")</f>
        <v/>
      </c>
      <c r="AA231" s="28" t="n"/>
      <c r="AB231" s="51" t="n"/>
      <c r="AC231" s="24">
        <f>IFERROR(IF($A231="","",IF($N231="Canceled","Canceled",IF($AA231=0,"Not Received",IF($AA231&lt;$R231,"Partially Received",IF($AA231=$R231,"Fully Received","Over Received"))))),"")</f>
        <v/>
      </c>
      <c r="AD231" s="25" t="n"/>
      <c r="AE231" s="23" t="n"/>
      <c r="AF231" s="51" t="n"/>
      <c r="AG231" s="52" t="n"/>
      <c r="AH231" s="53">
        <f>IFERROR(IF($A231="","",IF($AG231="","",$AG231-$Z231)),"")</f>
        <v/>
      </c>
      <c r="AI231" s="32">
        <f>IFERROR(IF($A231="","",IF(OR($AG231="",$Z231=0),"",($AG231-$Z231)/$Z231)),"")</f>
        <v/>
      </c>
      <c r="AJ231" s="23" t="n"/>
      <c r="AK231" s="51" t="n"/>
      <c r="AL231" s="53">
        <f>IFERROR(IF($A231="","",IF(OR($N231="Canceled",$N231="Closed"),0,MAX($Z231-IF($AG231="",0,$AG231),0))),"")</f>
        <v/>
      </c>
      <c r="AM231" s="27">
        <f>IFERROR(IF($A231="","",IF(OR($N231="Closed",$N231="Canceled"),IF($O231="","",MAX(0,$O231-$H231)),MAX(0,TODAY()-$H231))),"")</f>
        <v/>
      </c>
      <c r="AN231" s="24">
        <f>IFERROR(IF($A231="","",IF($AA231&gt;$R231,"Over Received",IF(AND($J231="Approved",OR($K231="",$L231="")),"Approval Missing",IF(AND($J231="Pending",$AM231&gt;'Settings'!$B$7),"Approval Follow-Up",IF(AND($N231="Open",$I231&lt;&gt;"",$I231+'Settings'!$B$8&lt;TODAY(),$AA231&lt;$R231),"Delivery Overdue",IF(AND($AG231&lt;&gt;"",OR(ABS($AH231)&gt;'Settings'!$B$9,ABS($AI231)&gt;'Settings'!$B$10)),"Invoice Variance",IF(AND($N231="Open",$AM231&gt;'Settings'!$B$11),"Aging Open PO",""))))))),"")</f>
        <v/>
      </c>
      <c r="AO231" s="25" t="n"/>
      <c r="AP231" s="24">
        <f>IFERROR(IF(AND($AN231&lt;&gt;"",$N231&lt;&gt;"Closed",$N231&lt;&gt;"Canceled",OR('Dashboard'!$B$4="All",$B231='Dashboard'!$B$4),OR('Dashboard'!$D$4="All",$C231='Dashboard'!$D$4)),COUNTIFS($AN$6:$AN231,"&lt;&gt;",$N$6:$N231,"&lt;&gt;Closed",$N$6:$N231,"&lt;&gt;Canceled",$B$6:$B231,IF('Dashboard'!$B$4="All","&lt;&gt;",'Dashboard'!$B$4),$C$6:$C231,IF('Dashboard'!$D$4="All","&lt;&gt;",'Dashboard'!$D$4)),""),"")</f>
        <v/>
      </c>
    </row>
    <row r="232">
      <c r="A232" s="23" t="n"/>
      <c r="B232" s="23" t="n"/>
      <c r="C232" s="23" t="n"/>
      <c r="D232" s="23" t="n"/>
      <c r="E232" s="23" t="n"/>
      <c r="F232" s="24">
        <f>IFERROR(IF($E232="","",VLOOKUP($E232,'Settings'!$G$16:$M$115,2,0)),"")</f>
        <v/>
      </c>
      <c r="G232" s="25" t="n"/>
      <c r="H232" s="51" t="n"/>
      <c r="I232" s="51" t="n"/>
      <c r="J232" s="23" t="n"/>
      <c r="K232" s="23" t="n"/>
      <c r="L232" s="51" t="n"/>
      <c r="M232" s="27">
        <f>IFERROR(IF($A232="","",IF($J232="Approved",MAX(0,$L232-$H232),"")),"")</f>
        <v/>
      </c>
      <c r="N232" s="23" t="n"/>
      <c r="O232" s="51" t="n"/>
      <c r="P232" s="23" t="n"/>
      <c r="Q232" s="25" t="n"/>
      <c r="R232" s="28" t="n"/>
      <c r="S232" s="52" t="n"/>
      <c r="T232" s="52" t="n"/>
      <c r="U232" s="23" t="n"/>
      <c r="V232" s="30" t="n"/>
      <c r="W232" s="52" t="n"/>
      <c r="X232" s="53">
        <f>IFERROR(IF($A232="","",MAX(0,$R232*$S232-$T232)),"")</f>
        <v/>
      </c>
      <c r="Y232" s="53">
        <f>IFERROR(IF($A232="","",IF($U232="Yes",$X232*$V232,0)),"")</f>
        <v/>
      </c>
      <c r="Z232" s="53">
        <f>IFERROR(IF($A232="","",$X232+$Y232+$W232),"")</f>
        <v/>
      </c>
      <c r="AA232" s="28" t="n"/>
      <c r="AB232" s="51" t="n"/>
      <c r="AC232" s="24">
        <f>IFERROR(IF($A232="","",IF($N232="Canceled","Canceled",IF($AA232=0,"Not Received",IF($AA232&lt;$R232,"Partially Received",IF($AA232=$R232,"Fully Received","Over Received"))))),"")</f>
        <v/>
      </c>
      <c r="AD232" s="25" t="n"/>
      <c r="AE232" s="23" t="n"/>
      <c r="AF232" s="51" t="n"/>
      <c r="AG232" s="52" t="n"/>
      <c r="AH232" s="53">
        <f>IFERROR(IF($A232="","",IF($AG232="","",$AG232-$Z232)),"")</f>
        <v/>
      </c>
      <c r="AI232" s="32">
        <f>IFERROR(IF($A232="","",IF(OR($AG232="",$Z232=0),"",($AG232-$Z232)/$Z232)),"")</f>
        <v/>
      </c>
      <c r="AJ232" s="23" t="n"/>
      <c r="AK232" s="51" t="n"/>
      <c r="AL232" s="53">
        <f>IFERROR(IF($A232="","",IF(OR($N232="Canceled",$N232="Closed"),0,MAX($Z232-IF($AG232="",0,$AG232),0))),"")</f>
        <v/>
      </c>
      <c r="AM232" s="27">
        <f>IFERROR(IF($A232="","",IF(OR($N232="Closed",$N232="Canceled"),IF($O232="","",MAX(0,$O232-$H232)),MAX(0,TODAY()-$H232))),"")</f>
        <v/>
      </c>
      <c r="AN232" s="24">
        <f>IFERROR(IF($A232="","",IF($AA232&gt;$R232,"Over Received",IF(AND($J232="Approved",OR($K232="",$L232="")),"Approval Missing",IF(AND($J232="Pending",$AM232&gt;'Settings'!$B$7),"Approval Follow-Up",IF(AND($N232="Open",$I232&lt;&gt;"",$I232+'Settings'!$B$8&lt;TODAY(),$AA232&lt;$R232),"Delivery Overdue",IF(AND($AG232&lt;&gt;"",OR(ABS($AH232)&gt;'Settings'!$B$9,ABS($AI232)&gt;'Settings'!$B$10)),"Invoice Variance",IF(AND($N232="Open",$AM232&gt;'Settings'!$B$11),"Aging Open PO",""))))))),"")</f>
        <v/>
      </c>
      <c r="AO232" s="25" t="n"/>
      <c r="AP232" s="24">
        <f>IFERROR(IF(AND($AN232&lt;&gt;"",$N232&lt;&gt;"Closed",$N232&lt;&gt;"Canceled",OR('Dashboard'!$B$4="All",$B232='Dashboard'!$B$4),OR('Dashboard'!$D$4="All",$C232='Dashboard'!$D$4)),COUNTIFS($AN$6:$AN232,"&lt;&gt;",$N$6:$N232,"&lt;&gt;Closed",$N$6:$N232,"&lt;&gt;Canceled",$B$6:$B232,IF('Dashboard'!$B$4="All","&lt;&gt;",'Dashboard'!$B$4),$C$6:$C232,IF('Dashboard'!$D$4="All","&lt;&gt;",'Dashboard'!$D$4)),""),"")</f>
        <v/>
      </c>
    </row>
    <row r="233">
      <c r="A233" s="23" t="n"/>
      <c r="B233" s="23" t="n"/>
      <c r="C233" s="23" t="n"/>
      <c r="D233" s="23" t="n"/>
      <c r="E233" s="23" t="n"/>
      <c r="F233" s="24">
        <f>IFERROR(IF($E233="","",VLOOKUP($E233,'Settings'!$G$16:$M$115,2,0)),"")</f>
        <v/>
      </c>
      <c r="G233" s="25" t="n"/>
      <c r="H233" s="51" t="n"/>
      <c r="I233" s="51" t="n"/>
      <c r="J233" s="23" t="n"/>
      <c r="K233" s="23" t="n"/>
      <c r="L233" s="51" t="n"/>
      <c r="M233" s="27">
        <f>IFERROR(IF($A233="","",IF($J233="Approved",MAX(0,$L233-$H233),"")),"")</f>
        <v/>
      </c>
      <c r="N233" s="23" t="n"/>
      <c r="O233" s="51" t="n"/>
      <c r="P233" s="23" t="n"/>
      <c r="Q233" s="25" t="n"/>
      <c r="R233" s="28" t="n"/>
      <c r="S233" s="52" t="n"/>
      <c r="T233" s="52" t="n"/>
      <c r="U233" s="23" t="n"/>
      <c r="V233" s="30" t="n"/>
      <c r="W233" s="52" t="n"/>
      <c r="X233" s="53">
        <f>IFERROR(IF($A233="","",MAX(0,$R233*$S233-$T233)),"")</f>
        <v/>
      </c>
      <c r="Y233" s="53">
        <f>IFERROR(IF($A233="","",IF($U233="Yes",$X233*$V233,0)),"")</f>
        <v/>
      </c>
      <c r="Z233" s="53">
        <f>IFERROR(IF($A233="","",$X233+$Y233+$W233),"")</f>
        <v/>
      </c>
      <c r="AA233" s="28" t="n"/>
      <c r="AB233" s="51" t="n"/>
      <c r="AC233" s="24">
        <f>IFERROR(IF($A233="","",IF($N233="Canceled","Canceled",IF($AA233=0,"Not Received",IF($AA233&lt;$R233,"Partially Received",IF($AA233=$R233,"Fully Received","Over Received"))))),"")</f>
        <v/>
      </c>
      <c r="AD233" s="25" t="n"/>
      <c r="AE233" s="23" t="n"/>
      <c r="AF233" s="51" t="n"/>
      <c r="AG233" s="52" t="n"/>
      <c r="AH233" s="53">
        <f>IFERROR(IF($A233="","",IF($AG233="","",$AG233-$Z233)),"")</f>
        <v/>
      </c>
      <c r="AI233" s="32">
        <f>IFERROR(IF($A233="","",IF(OR($AG233="",$Z233=0),"",($AG233-$Z233)/$Z233)),"")</f>
        <v/>
      </c>
      <c r="AJ233" s="23" t="n"/>
      <c r="AK233" s="51" t="n"/>
      <c r="AL233" s="53">
        <f>IFERROR(IF($A233="","",IF(OR($N233="Canceled",$N233="Closed"),0,MAX($Z233-IF($AG233="",0,$AG233),0))),"")</f>
        <v/>
      </c>
      <c r="AM233" s="27">
        <f>IFERROR(IF($A233="","",IF(OR($N233="Closed",$N233="Canceled"),IF($O233="","",MAX(0,$O233-$H233)),MAX(0,TODAY()-$H233))),"")</f>
        <v/>
      </c>
      <c r="AN233" s="24">
        <f>IFERROR(IF($A233="","",IF($AA233&gt;$R233,"Over Received",IF(AND($J233="Approved",OR($K233="",$L233="")),"Approval Missing",IF(AND($J233="Pending",$AM233&gt;'Settings'!$B$7),"Approval Follow-Up",IF(AND($N233="Open",$I233&lt;&gt;"",$I233+'Settings'!$B$8&lt;TODAY(),$AA233&lt;$R233),"Delivery Overdue",IF(AND($AG233&lt;&gt;"",OR(ABS($AH233)&gt;'Settings'!$B$9,ABS($AI233)&gt;'Settings'!$B$10)),"Invoice Variance",IF(AND($N233="Open",$AM233&gt;'Settings'!$B$11),"Aging Open PO",""))))))),"")</f>
        <v/>
      </c>
      <c r="AO233" s="25" t="n"/>
      <c r="AP233" s="24">
        <f>IFERROR(IF(AND($AN233&lt;&gt;"",$N233&lt;&gt;"Closed",$N233&lt;&gt;"Canceled",OR('Dashboard'!$B$4="All",$B233='Dashboard'!$B$4),OR('Dashboard'!$D$4="All",$C233='Dashboard'!$D$4)),COUNTIFS($AN$6:$AN233,"&lt;&gt;",$N$6:$N233,"&lt;&gt;Closed",$N$6:$N233,"&lt;&gt;Canceled",$B$6:$B233,IF('Dashboard'!$B$4="All","&lt;&gt;",'Dashboard'!$B$4),$C$6:$C233,IF('Dashboard'!$D$4="All","&lt;&gt;",'Dashboard'!$D$4)),""),"")</f>
        <v/>
      </c>
    </row>
    <row r="234">
      <c r="A234" s="23" t="n"/>
      <c r="B234" s="23" t="n"/>
      <c r="C234" s="23" t="n"/>
      <c r="D234" s="23" t="n"/>
      <c r="E234" s="23" t="n"/>
      <c r="F234" s="24">
        <f>IFERROR(IF($E234="","",VLOOKUP($E234,'Settings'!$G$16:$M$115,2,0)),"")</f>
        <v/>
      </c>
      <c r="G234" s="25" t="n"/>
      <c r="H234" s="51" t="n"/>
      <c r="I234" s="51" t="n"/>
      <c r="J234" s="23" t="n"/>
      <c r="K234" s="23" t="n"/>
      <c r="L234" s="51" t="n"/>
      <c r="M234" s="27">
        <f>IFERROR(IF($A234="","",IF($J234="Approved",MAX(0,$L234-$H234),"")),"")</f>
        <v/>
      </c>
      <c r="N234" s="23" t="n"/>
      <c r="O234" s="51" t="n"/>
      <c r="P234" s="23" t="n"/>
      <c r="Q234" s="25" t="n"/>
      <c r="R234" s="28" t="n"/>
      <c r="S234" s="52" t="n"/>
      <c r="T234" s="52" t="n"/>
      <c r="U234" s="23" t="n"/>
      <c r="V234" s="30" t="n"/>
      <c r="W234" s="52" t="n"/>
      <c r="X234" s="53">
        <f>IFERROR(IF($A234="","",MAX(0,$R234*$S234-$T234)),"")</f>
        <v/>
      </c>
      <c r="Y234" s="53">
        <f>IFERROR(IF($A234="","",IF($U234="Yes",$X234*$V234,0)),"")</f>
        <v/>
      </c>
      <c r="Z234" s="53">
        <f>IFERROR(IF($A234="","",$X234+$Y234+$W234),"")</f>
        <v/>
      </c>
      <c r="AA234" s="28" t="n"/>
      <c r="AB234" s="51" t="n"/>
      <c r="AC234" s="24">
        <f>IFERROR(IF($A234="","",IF($N234="Canceled","Canceled",IF($AA234=0,"Not Received",IF($AA234&lt;$R234,"Partially Received",IF($AA234=$R234,"Fully Received","Over Received"))))),"")</f>
        <v/>
      </c>
      <c r="AD234" s="25" t="n"/>
      <c r="AE234" s="23" t="n"/>
      <c r="AF234" s="51" t="n"/>
      <c r="AG234" s="52" t="n"/>
      <c r="AH234" s="53">
        <f>IFERROR(IF($A234="","",IF($AG234="","",$AG234-$Z234)),"")</f>
        <v/>
      </c>
      <c r="AI234" s="32">
        <f>IFERROR(IF($A234="","",IF(OR($AG234="",$Z234=0),"",($AG234-$Z234)/$Z234)),"")</f>
        <v/>
      </c>
      <c r="AJ234" s="23" t="n"/>
      <c r="AK234" s="51" t="n"/>
      <c r="AL234" s="53">
        <f>IFERROR(IF($A234="","",IF(OR($N234="Canceled",$N234="Closed"),0,MAX($Z234-IF($AG234="",0,$AG234),0))),"")</f>
        <v/>
      </c>
      <c r="AM234" s="27">
        <f>IFERROR(IF($A234="","",IF(OR($N234="Closed",$N234="Canceled"),IF($O234="","",MAX(0,$O234-$H234)),MAX(0,TODAY()-$H234))),"")</f>
        <v/>
      </c>
      <c r="AN234" s="24">
        <f>IFERROR(IF($A234="","",IF($AA234&gt;$R234,"Over Received",IF(AND($J234="Approved",OR($K234="",$L234="")),"Approval Missing",IF(AND($J234="Pending",$AM234&gt;'Settings'!$B$7),"Approval Follow-Up",IF(AND($N234="Open",$I234&lt;&gt;"",$I234+'Settings'!$B$8&lt;TODAY(),$AA234&lt;$R234),"Delivery Overdue",IF(AND($AG234&lt;&gt;"",OR(ABS($AH234)&gt;'Settings'!$B$9,ABS($AI234)&gt;'Settings'!$B$10)),"Invoice Variance",IF(AND($N234="Open",$AM234&gt;'Settings'!$B$11),"Aging Open PO",""))))))),"")</f>
        <v/>
      </c>
      <c r="AO234" s="25" t="n"/>
      <c r="AP234" s="24">
        <f>IFERROR(IF(AND($AN234&lt;&gt;"",$N234&lt;&gt;"Closed",$N234&lt;&gt;"Canceled",OR('Dashboard'!$B$4="All",$B234='Dashboard'!$B$4),OR('Dashboard'!$D$4="All",$C234='Dashboard'!$D$4)),COUNTIFS($AN$6:$AN234,"&lt;&gt;",$N$6:$N234,"&lt;&gt;Closed",$N$6:$N234,"&lt;&gt;Canceled",$B$6:$B234,IF('Dashboard'!$B$4="All","&lt;&gt;",'Dashboard'!$B$4),$C$6:$C234,IF('Dashboard'!$D$4="All","&lt;&gt;",'Dashboard'!$D$4)),""),"")</f>
        <v/>
      </c>
    </row>
    <row r="235">
      <c r="A235" s="23" t="n"/>
      <c r="B235" s="23" t="n"/>
      <c r="C235" s="23" t="n"/>
      <c r="D235" s="23" t="n"/>
      <c r="E235" s="23" t="n"/>
      <c r="F235" s="24">
        <f>IFERROR(IF($E235="","",VLOOKUP($E235,'Settings'!$G$16:$M$115,2,0)),"")</f>
        <v/>
      </c>
      <c r="G235" s="25" t="n"/>
      <c r="H235" s="51" t="n"/>
      <c r="I235" s="51" t="n"/>
      <c r="J235" s="23" t="n"/>
      <c r="K235" s="23" t="n"/>
      <c r="L235" s="51" t="n"/>
      <c r="M235" s="27">
        <f>IFERROR(IF($A235="","",IF($J235="Approved",MAX(0,$L235-$H235),"")),"")</f>
        <v/>
      </c>
      <c r="N235" s="23" t="n"/>
      <c r="O235" s="51" t="n"/>
      <c r="P235" s="23" t="n"/>
      <c r="Q235" s="25" t="n"/>
      <c r="R235" s="28" t="n"/>
      <c r="S235" s="52" t="n"/>
      <c r="T235" s="52" t="n"/>
      <c r="U235" s="23" t="n"/>
      <c r="V235" s="30" t="n"/>
      <c r="W235" s="52" t="n"/>
      <c r="X235" s="53">
        <f>IFERROR(IF($A235="","",MAX(0,$R235*$S235-$T235)),"")</f>
        <v/>
      </c>
      <c r="Y235" s="53">
        <f>IFERROR(IF($A235="","",IF($U235="Yes",$X235*$V235,0)),"")</f>
        <v/>
      </c>
      <c r="Z235" s="53">
        <f>IFERROR(IF($A235="","",$X235+$Y235+$W235),"")</f>
        <v/>
      </c>
      <c r="AA235" s="28" t="n"/>
      <c r="AB235" s="51" t="n"/>
      <c r="AC235" s="24">
        <f>IFERROR(IF($A235="","",IF($N235="Canceled","Canceled",IF($AA235=0,"Not Received",IF($AA235&lt;$R235,"Partially Received",IF($AA235=$R235,"Fully Received","Over Received"))))),"")</f>
        <v/>
      </c>
      <c r="AD235" s="25" t="n"/>
      <c r="AE235" s="23" t="n"/>
      <c r="AF235" s="51" t="n"/>
      <c r="AG235" s="52" t="n"/>
      <c r="AH235" s="53">
        <f>IFERROR(IF($A235="","",IF($AG235="","",$AG235-$Z235)),"")</f>
        <v/>
      </c>
      <c r="AI235" s="32">
        <f>IFERROR(IF($A235="","",IF(OR($AG235="",$Z235=0),"",($AG235-$Z235)/$Z235)),"")</f>
        <v/>
      </c>
      <c r="AJ235" s="23" t="n"/>
      <c r="AK235" s="51" t="n"/>
      <c r="AL235" s="53">
        <f>IFERROR(IF($A235="","",IF(OR($N235="Canceled",$N235="Closed"),0,MAX($Z235-IF($AG235="",0,$AG235),0))),"")</f>
        <v/>
      </c>
      <c r="AM235" s="27">
        <f>IFERROR(IF($A235="","",IF(OR($N235="Closed",$N235="Canceled"),IF($O235="","",MAX(0,$O235-$H235)),MAX(0,TODAY()-$H235))),"")</f>
        <v/>
      </c>
      <c r="AN235" s="24">
        <f>IFERROR(IF($A235="","",IF($AA235&gt;$R235,"Over Received",IF(AND($J235="Approved",OR($K235="",$L235="")),"Approval Missing",IF(AND($J235="Pending",$AM235&gt;'Settings'!$B$7),"Approval Follow-Up",IF(AND($N235="Open",$I235&lt;&gt;"",$I235+'Settings'!$B$8&lt;TODAY(),$AA235&lt;$R235),"Delivery Overdue",IF(AND($AG235&lt;&gt;"",OR(ABS($AH235)&gt;'Settings'!$B$9,ABS($AI235)&gt;'Settings'!$B$10)),"Invoice Variance",IF(AND($N235="Open",$AM235&gt;'Settings'!$B$11),"Aging Open PO",""))))))),"")</f>
        <v/>
      </c>
      <c r="AO235" s="25" t="n"/>
      <c r="AP235" s="24">
        <f>IFERROR(IF(AND($AN235&lt;&gt;"",$N235&lt;&gt;"Closed",$N235&lt;&gt;"Canceled",OR('Dashboard'!$B$4="All",$B235='Dashboard'!$B$4),OR('Dashboard'!$D$4="All",$C235='Dashboard'!$D$4)),COUNTIFS($AN$6:$AN235,"&lt;&gt;",$N$6:$N235,"&lt;&gt;Closed",$N$6:$N235,"&lt;&gt;Canceled",$B$6:$B235,IF('Dashboard'!$B$4="All","&lt;&gt;",'Dashboard'!$B$4),$C$6:$C235,IF('Dashboard'!$D$4="All","&lt;&gt;",'Dashboard'!$D$4)),""),"")</f>
        <v/>
      </c>
    </row>
    <row r="236">
      <c r="A236" s="23" t="n"/>
      <c r="B236" s="23" t="n"/>
      <c r="C236" s="23" t="n"/>
      <c r="D236" s="23" t="n"/>
      <c r="E236" s="23" t="n"/>
      <c r="F236" s="24">
        <f>IFERROR(IF($E236="","",VLOOKUP($E236,'Settings'!$G$16:$M$115,2,0)),"")</f>
        <v/>
      </c>
      <c r="G236" s="25" t="n"/>
      <c r="H236" s="51" t="n"/>
      <c r="I236" s="51" t="n"/>
      <c r="J236" s="23" t="n"/>
      <c r="K236" s="23" t="n"/>
      <c r="L236" s="51" t="n"/>
      <c r="M236" s="27">
        <f>IFERROR(IF($A236="","",IF($J236="Approved",MAX(0,$L236-$H236),"")),"")</f>
        <v/>
      </c>
      <c r="N236" s="23" t="n"/>
      <c r="O236" s="51" t="n"/>
      <c r="P236" s="23" t="n"/>
      <c r="Q236" s="25" t="n"/>
      <c r="R236" s="28" t="n"/>
      <c r="S236" s="52" t="n"/>
      <c r="T236" s="52" t="n"/>
      <c r="U236" s="23" t="n"/>
      <c r="V236" s="30" t="n"/>
      <c r="W236" s="52" t="n"/>
      <c r="X236" s="53">
        <f>IFERROR(IF($A236="","",MAX(0,$R236*$S236-$T236)),"")</f>
        <v/>
      </c>
      <c r="Y236" s="53">
        <f>IFERROR(IF($A236="","",IF($U236="Yes",$X236*$V236,0)),"")</f>
        <v/>
      </c>
      <c r="Z236" s="53">
        <f>IFERROR(IF($A236="","",$X236+$Y236+$W236),"")</f>
        <v/>
      </c>
      <c r="AA236" s="28" t="n"/>
      <c r="AB236" s="51" t="n"/>
      <c r="AC236" s="24">
        <f>IFERROR(IF($A236="","",IF($N236="Canceled","Canceled",IF($AA236=0,"Not Received",IF($AA236&lt;$R236,"Partially Received",IF($AA236=$R236,"Fully Received","Over Received"))))),"")</f>
        <v/>
      </c>
      <c r="AD236" s="25" t="n"/>
      <c r="AE236" s="23" t="n"/>
      <c r="AF236" s="51" t="n"/>
      <c r="AG236" s="52" t="n"/>
      <c r="AH236" s="53">
        <f>IFERROR(IF($A236="","",IF($AG236="","",$AG236-$Z236)),"")</f>
        <v/>
      </c>
      <c r="AI236" s="32">
        <f>IFERROR(IF($A236="","",IF(OR($AG236="",$Z236=0),"",($AG236-$Z236)/$Z236)),"")</f>
        <v/>
      </c>
      <c r="AJ236" s="23" t="n"/>
      <c r="AK236" s="51" t="n"/>
      <c r="AL236" s="53">
        <f>IFERROR(IF($A236="","",IF(OR($N236="Canceled",$N236="Closed"),0,MAX($Z236-IF($AG236="",0,$AG236),0))),"")</f>
        <v/>
      </c>
      <c r="AM236" s="27">
        <f>IFERROR(IF($A236="","",IF(OR($N236="Closed",$N236="Canceled"),IF($O236="","",MAX(0,$O236-$H236)),MAX(0,TODAY()-$H236))),"")</f>
        <v/>
      </c>
      <c r="AN236" s="24">
        <f>IFERROR(IF($A236="","",IF($AA236&gt;$R236,"Over Received",IF(AND($J236="Approved",OR($K236="",$L236="")),"Approval Missing",IF(AND($J236="Pending",$AM236&gt;'Settings'!$B$7),"Approval Follow-Up",IF(AND($N236="Open",$I236&lt;&gt;"",$I236+'Settings'!$B$8&lt;TODAY(),$AA236&lt;$R236),"Delivery Overdue",IF(AND($AG236&lt;&gt;"",OR(ABS($AH236)&gt;'Settings'!$B$9,ABS($AI236)&gt;'Settings'!$B$10)),"Invoice Variance",IF(AND($N236="Open",$AM236&gt;'Settings'!$B$11),"Aging Open PO",""))))))),"")</f>
        <v/>
      </c>
      <c r="AO236" s="25" t="n"/>
      <c r="AP236" s="24">
        <f>IFERROR(IF(AND($AN236&lt;&gt;"",$N236&lt;&gt;"Closed",$N236&lt;&gt;"Canceled",OR('Dashboard'!$B$4="All",$B236='Dashboard'!$B$4),OR('Dashboard'!$D$4="All",$C236='Dashboard'!$D$4)),COUNTIFS($AN$6:$AN236,"&lt;&gt;",$N$6:$N236,"&lt;&gt;Closed",$N$6:$N236,"&lt;&gt;Canceled",$B$6:$B236,IF('Dashboard'!$B$4="All","&lt;&gt;",'Dashboard'!$B$4),$C$6:$C236,IF('Dashboard'!$D$4="All","&lt;&gt;",'Dashboard'!$D$4)),""),"")</f>
        <v/>
      </c>
    </row>
    <row r="237">
      <c r="A237" s="23" t="n"/>
      <c r="B237" s="23" t="n"/>
      <c r="C237" s="23" t="n"/>
      <c r="D237" s="23" t="n"/>
      <c r="E237" s="23" t="n"/>
      <c r="F237" s="24">
        <f>IFERROR(IF($E237="","",VLOOKUP($E237,'Settings'!$G$16:$M$115,2,0)),"")</f>
        <v/>
      </c>
      <c r="G237" s="25" t="n"/>
      <c r="H237" s="51" t="n"/>
      <c r="I237" s="51" t="n"/>
      <c r="J237" s="23" t="n"/>
      <c r="K237" s="23" t="n"/>
      <c r="L237" s="51" t="n"/>
      <c r="M237" s="27">
        <f>IFERROR(IF($A237="","",IF($J237="Approved",MAX(0,$L237-$H237),"")),"")</f>
        <v/>
      </c>
      <c r="N237" s="23" t="n"/>
      <c r="O237" s="51" t="n"/>
      <c r="P237" s="23" t="n"/>
      <c r="Q237" s="25" t="n"/>
      <c r="R237" s="28" t="n"/>
      <c r="S237" s="52" t="n"/>
      <c r="T237" s="52" t="n"/>
      <c r="U237" s="23" t="n"/>
      <c r="V237" s="30" t="n"/>
      <c r="W237" s="52" t="n"/>
      <c r="X237" s="53">
        <f>IFERROR(IF($A237="","",MAX(0,$R237*$S237-$T237)),"")</f>
        <v/>
      </c>
      <c r="Y237" s="53">
        <f>IFERROR(IF($A237="","",IF($U237="Yes",$X237*$V237,0)),"")</f>
        <v/>
      </c>
      <c r="Z237" s="53">
        <f>IFERROR(IF($A237="","",$X237+$Y237+$W237),"")</f>
        <v/>
      </c>
      <c r="AA237" s="28" t="n"/>
      <c r="AB237" s="51" t="n"/>
      <c r="AC237" s="24">
        <f>IFERROR(IF($A237="","",IF($N237="Canceled","Canceled",IF($AA237=0,"Not Received",IF($AA237&lt;$R237,"Partially Received",IF($AA237=$R237,"Fully Received","Over Received"))))),"")</f>
        <v/>
      </c>
      <c r="AD237" s="25" t="n"/>
      <c r="AE237" s="23" t="n"/>
      <c r="AF237" s="51" t="n"/>
      <c r="AG237" s="52" t="n"/>
      <c r="AH237" s="53">
        <f>IFERROR(IF($A237="","",IF($AG237="","",$AG237-$Z237)),"")</f>
        <v/>
      </c>
      <c r="AI237" s="32">
        <f>IFERROR(IF($A237="","",IF(OR($AG237="",$Z237=0),"",($AG237-$Z237)/$Z237)),"")</f>
        <v/>
      </c>
      <c r="AJ237" s="23" t="n"/>
      <c r="AK237" s="51" t="n"/>
      <c r="AL237" s="53">
        <f>IFERROR(IF($A237="","",IF(OR($N237="Canceled",$N237="Closed"),0,MAX($Z237-IF($AG237="",0,$AG237),0))),"")</f>
        <v/>
      </c>
      <c r="AM237" s="27">
        <f>IFERROR(IF($A237="","",IF(OR($N237="Closed",$N237="Canceled"),IF($O237="","",MAX(0,$O237-$H237)),MAX(0,TODAY()-$H237))),"")</f>
        <v/>
      </c>
      <c r="AN237" s="24">
        <f>IFERROR(IF($A237="","",IF($AA237&gt;$R237,"Over Received",IF(AND($J237="Approved",OR($K237="",$L237="")),"Approval Missing",IF(AND($J237="Pending",$AM237&gt;'Settings'!$B$7),"Approval Follow-Up",IF(AND($N237="Open",$I237&lt;&gt;"",$I237+'Settings'!$B$8&lt;TODAY(),$AA237&lt;$R237),"Delivery Overdue",IF(AND($AG237&lt;&gt;"",OR(ABS($AH237)&gt;'Settings'!$B$9,ABS($AI237)&gt;'Settings'!$B$10)),"Invoice Variance",IF(AND($N237="Open",$AM237&gt;'Settings'!$B$11),"Aging Open PO",""))))))),"")</f>
        <v/>
      </c>
      <c r="AO237" s="25" t="n"/>
      <c r="AP237" s="24">
        <f>IFERROR(IF(AND($AN237&lt;&gt;"",$N237&lt;&gt;"Closed",$N237&lt;&gt;"Canceled",OR('Dashboard'!$B$4="All",$B237='Dashboard'!$B$4),OR('Dashboard'!$D$4="All",$C237='Dashboard'!$D$4)),COUNTIFS($AN$6:$AN237,"&lt;&gt;",$N$6:$N237,"&lt;&gt;Closed",$N$6:$N237,"&lt;&gt;Canceled",$B$6:$B237,IF('Dashboard'!$B$4="All","&lt;&gt;",'Dashboard'!$B$4),$C$6:$C237,IF('Dashboard'!$D$4="All","&lt;&gt;",'Dashboard'!$D$4)),""),"")</f>
        <v/>
      </c>
    </row>
    <row r="238">
      <c r="A238" s="23" t="n"/>
      <c r="B238" s="23" t="n"/>
      <c r="C238" s="23" t="n"/>
      <c r="D238" s="23" t="n"/>
      <c r="E238" s="23" t="n"/>
      <c r="F238" s="24">
        <f>IFERROR(IF($E238="","",VLOOKUP($E238,'Settings'!$G$16:$M$115,2,0)),"")</f>
        <v/>
      </c>
      <c r="G238" s="25" t="n"/>
      <c r="H238" s="51" t="n"/>
      <c r="I238" s="51" t="n"/>
      <c r="J238" s="23" t="n"/>
      <c r="K238" s="23" t="n"/>
      <c r="L238" s="51" t="n"/>
      <c r="M238" s="27">
        <f>IFERROR(IF($A238="","",IF($J238="Approved",MAX(0,$L238-$H238),"")),"")</f>
        <v/>
      </c>
      <c r="N238" s="23" t="n"/>
      <c r="O238" s="51" t="n"/>
      <c r="P238" s="23" t="n"/>
      <c r="Q238" s="25" t="n"/>
      <c r="R238" s="28" t="n"/>
      <c r="S238" s="52" t="n"/>
      <c r="T238" s="52" t="n"/>
      <c r="U238" s="23" t="n"/>
      <c r="V238" s="30" t="n"/>
      <c r="W238" s="52" t="n"/>
      <c r="X238" s="53">
        <f>IFERROR(IF($A238="","",MAX(0,$R238*$S238-$T238)),"")</f>
        <v/>
      </c>
      <c r="Y238" s="53">
        <f>IFERROR(IF($A238="","",IF($U238="Yes",$X238*$V238,0)),"")</f>
        <v/>
      </c>
      <c r="Z238" s="53">
        <f>IFERROR(IF($A238="","",$X238+$Y238+$W238),"")</f>
        <v/>
      </c>
      <c r="AA238" s="28" t="n"/>
      <c r="AB238" s="51" t="n"/>
      <c r="AC238" s="24">
        <f>IFERROR(IF($A238="","",IF($N238="Canceled","Canceled",IF($AA238=0,"Not Received",IF($AA238&lt;$R238,"Partially Received",IF($AA238=$R238,"Fully Received","Over Received"))))),"")</f>
        <v/>
      </c>
      <c r="AD238" s="25" t="n"/>
      <c r="AE238" s="23" t="n"/>
      <c r="AF238" s="51" t="n"/>
      <c r="AG238" s="52" t="n"/>
      <c r="AH238" s="53">
        <f>IFERROR(IF($A238="","",IF($AG238="","",$AG238-$Z238)),"")</f>
        <v/>
      </c>
      <c r="AI238" s="32">
        <f>IFERROR(IF($A238="","",IF(OR($AG238="",$Z238=0),"",($AG238-$Z238)/$Z238)),"")</f>
        <v/>
      </c>
      <c r="AJ238" s="23" t="n"/>
      <c r="AK238" s="51" t="n"/>
      <c r="AL238" s="53">
        <f>IFERROR(IF($A238="","",IF(OR($N238="Canceled",$N238="Closed"),0,MAX($Z238-IF($AG238="",0,$AG238),0))),"")</f>
        <v/>
      </c>
      <c r="AM238" s="27">
        <f>IFERROR(IF($A238="","",IF(OR($N238="Closed",$N238="Canceled"),IF($O238="","",MAX(0,$O238-$H238)),MAX(0,TODAY()-$H238))),"")</f>
        <v/>
      </c>
      <c r="AN238" s="24">
        <f>IFERROR(IF($A238="","",IF($AA238&gt;$R238,"Over Received",IF(AND($J238="Approved",OR($K238="",$L238="")),"Approval Missing",IF(AND($J238="Pending",$AM238&gt;'Settings'!$B$7),"Approval Follow-Up",IF(AND($N238="Open",$I238&lt;&gt;"",$I238+'Settings'!$B$8&lt;TODAY(),$AA238&lt;$R238),"Delivery Overdue",IF(AND($AG238&lt;&gt;"",OR(ABS($AH238)&gt;'Settings'!$B$9,ABS($AI238)&gt;'Settings'!$B$10)),"Invoice Variance",IF(AND($N238="Open",$AM238&gt;'Settings'!$B$11),"Aging Open PO",""))))))),"")</f>
        <v/>
      </c>
      <c r="AO238" s="25" t="n"/>
      <c r="AP238" s="24">
        <f>IFERROR(IF(AND($AN238&lt;&gt;"",$N238&lt;&gt;"Closed",$N238&lt;&gt;"Canceled",OR('Dashboard'!$B$4="All",$B238='Dashboard'!$B$4),OR('Dashboard'!$D$4="All",$C238='Dashboard'!$D$4)),COUNTIFS($AN$6:$AN238,"&lt;&gt;",$N$6:$N238,"&lt;&gt;Closed",$N$6:$N238,"&lt;&gt;Canceled",$B$6:$B238,IF('Dashboard'!$B$4="All","&lt;&gt;",'Dashboard'!$B$4),$C$6:$C238,IF('Dashboard'!$D$4="All","&lt;&gt;",'Dashboard'!$D$4)),""),"")</f>
        <v/>
      </c>
    </row>
    <row r="239">
      <c r="A239" s="23" t="n"/>
      <c r="B239" s="23" t="n"/>
      <c r="C239" s="23" t="n"/>
      <c r="D239" s="23" t="n"/>
      <c r="E239" s="23" t="n"/>
      <c r="F239" s="24">
        <f>IFERROR(IF($E239="","",VLOOKUP($E239,'Settings'!$G$16:$M$115,2,0)),"")</f>
        <v/>
      </c>
      <c r="G239" s="25" t="n"/>
      <c r="H239" s="51" t="n"/>
      <c r="I239" s="51" t="n"/>
      <c r="J239" s="23" t="n"/>
      <c r="K239" s="23" t="n"/>
      <c r="L239" s="51" t="n"/>
      <c r="M239" s="27">
        <f>IFERROR(IF($A239="","",IF($J239="Approved",MAX(0,$L239-$H239),"")),"")</f>
        <v/>
      </c>
      <c r="N239" s="23" t="n"/>
      <c r="O239" s="51" t="n"/>
      <c r="P239" s="23" t="n"/>
      <c r="Q239" s="25" t="n"/>
      <c r="R239" s="28" t="n"/>
      <c r="S239" s="52" t="n"/>
      <c r="T239" s="52" t="n"/>
      <c r="U239" s="23" t="n"/>
      <c r="V239" s="30" t="n"/>
      <c r="W239" s="52" t="n"/>
      <c r="X239" s="53">
        <f>IFERROR(IF($A239="","",MAX(0,$R239*$S239-$T239)),"")</f>
        <v/>
      </c>
      <c r="Y239" s="53">
        <f>IFERROR(IF($A239="","",IF($U239="Yes",$X239*$V239,0)),"")</f>
        <v/>
      </c>
      <c r="Z239" s="53">
        <f>IFERROR(IF($A239="","",$X239+$Y239+$W239),"")</f>
        <v/>
      </c>
      <c r="AA239" s="28" t="n"/>
      <c r="AB239" s="51" t="n"/>
      <c r="AC239" s="24">
        <f>IFERROR(IF($A239="","",IF($N239="Canceled","Canceled",IF($AA239=0,"Not Received",IF($AA239&lt;$R239,"Partially Received",IF($AA239=$R239,"Fully Received","Over Received"))))),"")</f>
        <v/>
      </c>
      <c r="AD239" s="25" t="n"/>
      <c r="AE239" s="23" t="n"/>
      <c r="AF239" s="51" t="n"/>
      <c r="AG239" s="52" t="n"/>
      <c r="AH239" s="53">
        <f>IFERROR(IF($A239="","",IF($AG239="","",$AG239-$Z239)),"")</f>
        <v/>
      </c>
      <c r="AI239" s="32">
        <f>IFERROR(IF($A239="","",IF(OR($AG239="",$Z239=0),"",($AG239-$Z239)/$Z239)),"")</f>
        <v/>
      </c>
      <c r="AJ239" s="23" t="n"/>
      <c r="AK239" s="51" t="n"/>
      <c r="AL239" s="53">
        <f>IFERROR(IF($A239="","",IF(OR($N239="Canceled",$N239="Closed"),0,MAX($Z239-IF($AG239="",0,$AG239),0))),"")</f>
        <v/>
      </c>
      <c r="AM239" s="27">
        <f>IFERROR(IF($A239="","",IF(OR($N239="Closed",$N239="Canceled"),IF($O239="","",MAX(0,$O239-$H239)),MAX(0,TODAY()-$H239))),"")</f>
        <v/>
      </c>
      <c r="AN239" s="24">
        <f>IFERROR(IF($A239="","",IF($AA239&gt;$R239,"Over Received",IF(AND($J239="Approved",OR($K239="",$L239="")),"Approval Missing",IF(AND($J239="Pending",$AM239&gt;'Settings'!$B$7),"Approval Follow-Up",IF(AND($N239="Open",$I239&lt;&gt;"",$I239+'Settings'!$B$8&lt;TODAY(),$AA239&lt;$R239),"Delivery Overdue",IF(AND($AG239&lt;&gt;"",OR(ABS($AH239)&gt;'Settings'!$B$9,ABS($AI239)&gt;'Settings'!$B$10)),"Invoice Variance",IF(AND($N239="Open",$AM239&gt;'Settings'!$B$11),"Aging Open PO",""))))))),"")</f>
        <v/>
      </c>
      <c r="AO239" s="25" t="n"/>
      <c r="AP239" s="24">
        <f>IFERROR(IF(AND($AN239&lt;&gt;"",$N239&lt;&gt;"Closed",$N239&lt;&gt;"Canceled",OR('Dashboard'!$B$4="All",$B239='Dashboard'!$B$4),OR('Dashboard'!$D$4="All",$C239='Dashboard'!$D$4)),COUNTIFS($AN$6:$AN239,"&lt;&gt;",$N$6:$N239,"&lt;&gt;Closed",$N$6:$N239,"&lt;&gt;Canceled",$B$6:$B239,IF('Dashboard'!$B$4="All","&lt;&gt;",'Dashboard'!$B$4),$C$6:$C239,IF('Dashboard'!$D$4="All","&lt;&gt;",'Dashboard'!$D$4)),""),"")</f>
        <v/>
      </c>
    </row>
    <row r="240">
      <c r="A240" s="23" t="n"/>
      <c r="B240" s="23" t="n"/>
      <c r="C240" s="23" t="n"/>
      <c r="D240" s="23" t="n"/>
      <c r="E240" s="23" t="n"/>
      <c r="F240" s="24">
        <f>IFERROR(IF($E240="","",VLOOKUP($E240,'Settings'!$G$16:$M$115,2,0)),"")</f>
        <v/>
      </c>
      <c r="G240" s="25" t="n"/>
      <c r="H240" s="51" t="n"/>
      <c r="I240" s="51" t="n"/>
      <c r="J240" s="23" t="n"/>
      <c r="K240" s="23" t="n"/>
      <c r="L240" s="51" t="n"/>
      <c r="M240" s="27">
        <f>IFERROR(IF($A240="","",IF($J240="Approved",MAX(0,$L240-$H240),"")),"")</f>
        <v/>
      </c>
      <c r="N240" s="23" t="n"/>
      <c r="O240" s="51" t="n"/>
      <c r="P240" s="23" t="n"/>
      <c r="Q240" s="25" t="n"/>
      <c r="R240" s="28" t="n"/>
      <c r="S240" s="52" t="n"/>
      <c r="T240" s="52" t="n"/>
      <c r="U240" s="23" t="n"/>
      <c r="V240" s="30" t="n"/>
      <c r="W240" s="52" t="n"/>
      <c r="X240" s="53">
        <f>IFERROR(IF($A240="","",MAX(0,$R240*$S240-$T240)),"")</f>
        <v/>
      </c>
      <c r="Y240" s="53">
        <f>IFERROR(IF($A240="","",IF($U240="Yes",$X240*$V240,0)),"")</f>
        <v/>
      </c>
      <c r="Z240" s="53">
        <f>IFERROR(IF($A240="","",$X240+$Y240+$W240),"")</f>
        <v/>
      </c>
      <c r="AA240" s="28" t="n"/>
      <c r="AB240" s="51" t="n"/>
      <c r="AC240" s="24">
        <f>IFERROR(IF($A240="","",IF($N240="Canceled","Canceled",IF($AA240=0,"Not Received",IF($AA240&lt;$R240,"Partially Received",IF($AA240=$R240,"Fully Received","Over Received"))))),"")</f>
        <v/>
      </c>
      <c r="AD240" s="25" t="n"/>
      <c r="AE240" s="23" t="n"/>
      <c r="AF240" s="51" t="n"/>
      <c r="AG240" s="52" t="n"/>
      <c r="AH240" s="53">
        <f>IFERROR(IF($A240="","",IF($AG240="","",$AG240-$Z240)),"")</f>
        <v/>
      </c>
      <c r="AI240" s="32">
        <f>IFERROR(IF($A240="","",IF(OR($AG240="",$Z240=0),"",($AG240-$Z240)/$Z240)),"")</f>
        <v/>
      </c>
      <c r="AJ240" s="23" t="n"/>
      <c r="AK240" s="51" t="n"/>
      <c r="AL240" s="53">
        <f>IFERROR(IF($A240="","",IF(OR($N240="Canceled",$N240="Closed"),0,MAX($Z240-IF($AG240="",0,$AG240),0))),"")</f>
        <v/>
      </c>
      <c r="AM240" s="27">
        <f>IFERROR(IF($A240="","",IF(OR($N240="Closed",$N240="Canceled"),IF($O240="","",MAX(0,$O240-$H240)),MAX(0,TODAY()-$H240))),"")</f>
        <v/>
      </c>
      <c r="AN240" s="24">
        <f>IFERROR(IF($A240="","",IF($AA240&gt;$R240,"Over Received",IF(AND($J240="Approved",OR($K240="",$L240="")),"Approval Missing",IF(AND($J240="Pending",$AM240&gt;'Settings'!$B$7),"Approval Follow-Up",IF(AND($N240="Open",$I240&lt;&gt;"",$I240+'Settings'!$B$8&lt;TODAY(),$AA240&lt;$R240),"Delivery Overdue",IF(AND($AG240&lt;&gt;"",OR(ABS($AH240)&gt;'Settings'!$B$9,ABS($AI240)&gt;'Settings'!$B$10)),"Invoice Variance",IF(AND($N240="Open",$AM240&gt;'Settings'!$B$11),"Aging Open PO",""))))))),"")</f>
        <v/>
      </c>
      <c r="AO240" s="25" t="n"/>
      <c r="AP240" s="24">
        <f>IFERROR(IF(AND($AN240&lt;&gt;"",$N240&lt;&gt;"Closed",$N240&lt;&gt;"Canceled",OR('Dashboard'!$B$4="All",$B240='Dashboard'!$B$4),OR('Dashboard'!$D$4="All",$C240='Dashboard'!$D$4)),COUNTIFS($AN$6:$AN240,"&lt;&gt;",$N$6:$N240,"&lt;&gt;Closed",$N$6:$N240,"&lt;&gt;Canceled",$B$6:$B240,IF('Dashboard'!$B$4="All","&lt;&gt;",'Dashboard'!$B$4),$C$6:$C240,IF('Dashboard'!$D$4="All","&lt;&gt;",'Dashboard'!$D$4)),""),"")</f>
        <v/>
      </c>
    </row>
    <row r="241">
      <c r="A241" s="23" t="n"/>
      <c r="B241" s="23" t="n"/>
      <c r="C241" s="23" t="n"/>
      <c r="D241" s="23" t="n"/>
      <c r="E241" s="23" t="n"/>
      <c r="F241" s="24">
        <f>IFERROR(IF($E241="","",VLOOKUP($E241,'Settings'!$G$16:$M$115,2,0)),"")</f>
        <v/>
      </c>
      <c r="G241" s="25" t="n"/>
      <c r="H241" s="51" t="n"/>
      <c r="I241" s="51" t="n"/>
      <c r="J241" s="23" t="n"/>
      <c r="K241" s="23" t="n"/>
      <c r="L241" s="51" t="n"/>
      <c r="M241" s="27">
        <f>IFERROR(IF($A241="","",IF($J241="Approved",MAX(0,$L241-$H241),"")),"")</f>
        <v/>
      </c>
      <c r="N241" s="23" t="n"/>
      <c r="O241" s="51" t="n"/>
      <c r="P241" s="23" t="n"/>
      <c r="Q241" s="25" t="n"/>
      <c r="R241" s="28" t="n"/>
      <c r="S241" s="52" t="n"/>
      <c r="T241" s="52" t="n"/>
      <c r="U241" s="23" t="n"/>
      <c r="V241" s="30" t="n"/>
      <c r="W241" s="52" t="n"/>
      <c r="X241" s="53">
        <f>IFERROR(IF($A241="","",MAX(0,$R241*$S241-$T241)),"")</f>
        <v/>
      </c>
      <c r="Y241" s="53">
        <f>IFERROR(IF($A241="","",IF($U241="Yes",$X241*$V241,0)),"")</f>
        <v/>
      </c>
      <c r="Z241" s="53">
        <f>IFERROR(IF($A241="","",$X241+$Y241+$W241),"")</f>
        <v/>
      </c>
      <c r="AA241" s="28" t="n"/>
      <c r="AB241" s="51" t="n"/>
      <c r="AC241" s="24">
        <f>IFERROR(IF($A241="","",IF($N241="Canceled","Canceled",IF($AA241=0,"Not Received",IF($AA241&lt;$R241,"Partially Received",IF($AA241=$R241,"Fully Received","Over Received"))))),"")</f>
        <v/>
      </c>
      <c r="AD241" s="25" t="n"/>
      <c r="AE241" s="23" t="n"/>
      <c r="AF241" s="51" t="n"/>
      <c r="AG241" s="52" t="n"/>
      <c r="AH241" s="53">
        <f>IFERROR(IF($A241="","",IF($AG241="","",$AG241-$Z241)),"")</f>
        <v/>
      </c>
      <c r="AI241" s="32">
        <f>IFERROR(IF($A241="","",IF(OR($AG241="",$Z241=0),"",($AG241-$Z241)/$Z241)),"")</f>
        <v/>
      </c>
      <c r="AJ241" s="23" t="n"/>
      <c r="AK241" s="51" t="n"/>
      <c r="AL241" s="53">
        <f>IFERROR(IF($A241="","",IF(OR($N241="Canceled",$N241="Closed"),0,MAX($Z241-IF($AG241="",0,$AG241),0))),"")</f>
        <v/>
      </c>
      <c r="AM241" s="27">
        <f>IFERROR(IF($A241="","",IF(OR($N241="Closed",$N241="Canceled"),IF($O241="","",MAX(0,$O241-$H241)),MAX(0,TODAY()-$H241))),"")</f>
        <v/>
      </c>
      <c r="AN241" s="24">
        <f>IFERROR(IF($A241="","",IF($AA241&gt;$R241,"Over Received",IF(AND($J241="Approved",OR($K241="",$L241="")),"Approval Missing",IF(AND($J241="Pending",$AM241&gt;'Settings'!$B$7),"Approval Follow-Up",IF(AND($N241="Open",$I241&lt;&gt;"",$I241+'Settings'!$B$8&lt;TODAY(),$AA241&lt;$R241),"Delivery Overdue",IF(AND($AG241&lt;&gt;"",OR(ABS($AH241)&gt;'Settings'!$B$9,ABS($AI241)&gt;'Settings'!$B$10)),"Invoice Variance",IF(AND($N241="Open",$AM241&gt;'Settings'!$B$11),"Aging Open PO",""))))))),"")</f>
        <v/>
      </c>
      <c r="AO241" s="25" t="n"/>
      <c r="AP241" s="24">
        <f>IFERROR(IF(AND($AN241&lt;&gt;"",$N241&lt;&gt;"Closed",$N241&lt;&gt;"Canceled",OR('Dashboard'!$B$4="All",$B241='Dashboard'!$B$4),OR('Dashboard'!$D$4="All",$C241='Dashboard'!$D$4)),COUNTIFS($AN$6:$AN241,"&lt;&gt;",$N$6:$N241,"&lt;&gt;Closed",$N$6:$N241,"&lt;&gt;Canceled",$B$6:$B241,IF('Dashboard'!$B$4="All","&lt;&gt;",'Dashboard'!$B$4),$C$6:$C241,IF('Dashboard'!$D$4="All","&lt;&gt;",'Dashboard'!$D$4)),""),"")</f>
        <v/>
      </c>
    </row>
    <row r="242">
      <c r="A242" s="23" t="n"/>
      <c r="B242" s="23" t="n"/>
      <c r="C242" s="23" t="n"/>
      <c r="D242" s="23" t="n"/>
      <c r="E242" s="23" t="n"/>
      <c r="F242" s="24">
        <f>IFERROR(IF($E242="","",VLOOKUP($E242,'Settings'!$G$16:$M$115,2,0)),"")</f>
        <v/>
      </c>
      <c r="G242" s="25" t="n"/>
      <c r="H242" s="51" t="n"/>
      <c r="I242" s="51" t="n"/>
      <c r="J242" s="23" t="n"/>
      <c r="K242" s="23" t="n"/>
      <c r="L242" s="51" t="n"/>
      <c r="M242" s="27">
        <f>IFERROR(IF($A242="","",IF($J242="Approved",MAX(0,$L242-$H242),"")),"")</f>
        <v/>
      </c>
      <c r="N242" s="23" t="n"/>
      <c r="O242" s="51" t="n"/>
      <c r="P242" s="23" t="n"/>
      <c r="Q242" s="25" t="n"/>
      <c r="R242" s="28" t="n"/>
      <c r="S242" s="52" t="n"/>
      <c r="T242" s="52" t="n"/>
      <c r="U242" s="23" t="n"/>
      <c r="V242" s="30" t="n"/>
      <c r="W242" s="52" t="n"/>
      <c r="X242" s="53">
        <f>IFERROR(IF($A242="","",MAX(0,$R242*$S242-$T242)),"")</f>
        <v/>
      </c>
      <c r="Y242" s="53">
        <f>IFERROR(IF($A242="","",IF($U242="Yes",$X242*$V242,0)),"")</f>
        <v/>
      </c>
      <c r="Z242" s="53">
        <f>IFERROR(IF($A242="","",$X242+$Y242+$W242),"")</f>
        <v/>
      </c>
      <c r="AA242" s="28" t="n"/>
      <c r="AB242" s="51" t="n"/>
      <c r="AC242" s="24">
        <f>IFERROR(IF($A242="","",IF($N242="Canceled","Canceled",IF($AA242=0,"Not Received",IF($AA242&lt;$R242,"Partially Received",IF($AA242=$R242,"Fully Received","Over Received"))))),"")</f>
        <v/>
      </c>
      <c r="AD242" s="25" t="n"/>
      <c r="AE242" s="23" t="n"/>
      <c r="AF242" s="51" t="n"/>
      <c r="AG242" s="52" t="n"/>
      <c r="AH242" s="53">
        <f>IFERROR(IF($A242="","",IF($AG242="","",$AG242-$Z242)),"")</f>
        <v/>
      </c>
      <c r="AI242" s="32">
        <f>IFERROR(IF($A242="","",IF(OR($AG242="",$Z242=0),"",($AG242-$Z242)/$Z242)),"")</f>
        <v/>
      </c>
      <c r="AJ242" s="23" t="n"/>
      <c r="AK242" s="51" t="n"/>
      <c r="AL242" s="53">
        <f>IFERROR(IF($A242="","",IF(OR($N242="Canceled",$N242="Closed"),0,MAX($Z242-IF($AG242="",0,$AG242),0))),"")</f>
        <v/>
      </c>
      <c r="AM242" s="27">
        <f>IFERROR(IF($A242="","",IF(OR($N242="Closed",$N242="Canceled"),IF($O242="","",MAX(0,$O242-$H242)),MAX(0,TODAY()-$H242))),"")</f>
        <v/>
      </c>
      <c r="AN242" s="24">
        <f>IFERROR(IF($A242="","",IF($AA242&gt;$R242,"Over Received",IF(AND($J242="Approved",OR($K242="",$L242="")),"Approval Missing",IF(AND($J242="Pending",$AM242&gt;'Settings'!$B$7),"Approval Follow-Up",IF(AND($N242="Open",$I242&lt;&gt;"",$I242+'Settings'!$B$8&lt;TODAY(),$AA242&lt;$R242),"Delivery Overdue",IF(AND($AG242&lt;&gt;"",OR(ABS($AH242)&gt;'Settings'!$B$9,ABS($AI242)&gt;'Settings'!$B$10)),"Invoice Variance",IF(AND($N242="Open",$AM242&gt;'Settings'!$B$11),"Aging Open PO",""))))))),"")</f>
        <v/>
      </c>
      <c r="AO242" s="25" t="n"/>
      <c r="AP242" s="24">
        <f>IFERROR(IF(AND($AN242&lt;&gt;"",$N242&lt;&gt;"Closed",$N242&lt;&gt;"Canceled",OR('Dashboard'!$B$4="All",$B242='Dashboard'!$B$4),OR('Dashboard'!$D$4="All",$C242='Dashboard'!$D$4)),COUNTIFS($AN$6:$AN242,"&lt;&gt;",$N$6:$N242,"&lt;&gt;Closed",$N$6:$N242,"&lt;&gt;Canceled",$B$6:$B242,IF('Dashboard'!$B$4="All","&lt;&gt;",'Dashboard'!$B$4),$C$6:$C242,IF('Dashboard'!$D$4="All","&lt;&gt;",'Dashboard'!$D$4)),""),"")</f>
        <v/>
      </c>
    </row>
    <row r="243">
      <c r="A243" s="23" t="n"/>
      <c r="B243" s="23" t="n"/>
      <c r="C243" s="23" t="n"/>
      <c r="D243" s="23" t="n"/>
      <c r="E243" s="23" t="n"/>
      <c r="F243" s="24">
        <f>IFERROR(IF($E243="","",VLOOKUP($E243,'Settings'!$G$16:$M$115,2,0)),"")</f>
        <v/>
      </c>
      <c r="G243" s="25" t="n"/>
      <c r="H243" s="51" t="n"/>
      <c r="I243" s="51" t="n"/>
      <c r="J243" s="23" t="n"/>
      <c r="K243" s="23" t="n"/>
      <c r="L243" s="51" t="n"/>
      <c r="M243" s="27">
        <f>IFERROR(IF($A243="","",IF($J243="Approved",MAX(0,$L243-$H243),"")),"")</f>
        <v/>
      </c>
      <c r="N243" s="23" t="n"/>
      <c r="O243" s="51" t="n"/>
      <c r="P243" s="23" t="n"/>
      <c r="Q243" s="25" t="n"/>
      <c r="R243" s="28" t="n"/>
      <c r="S243" s="52" t="n"/>
      <c r="T243" s="52" t="n"/>
      <c r="U243" s="23" t="n"/>
      <c r="V243" s="30" t="n"/>
      <c r="W243" s="52" t="n"/>
      <c r="X243" s="53">
        <f>IFERROR(IF($A243="","",MAX(0,$R243*$S243-$T243)),"")</f>
        <v/>
      </c>
      <c r="Y243" s="53">
        <f>IFERROR(IF($A243="","",IF($U243="Yes",$X243*$V243,0)),"")</f>
        <v/>
      </c>
      <c r="Z243" s="53">
        <f>IFERROR(IF($A243="","",$X243+$Y243+$W243),"")</f>
        <v/>
      </c>
      <c r="AA243" s="28" t="n"/>
      <c r="AB243" s="51" t="n"/>
      <c r="AC243" s="24">
        <f>IFERROR(IF($A243="","",IF($N243="Canceled","Canceled",IF($AA243=0,"Not Received",IF($AA243&lt;$R243,"Partially Received",IF($AA243=$R243,"Fully Received","Over Received"))))),"")</f>
        <v/>
      </c>
      <c r="AD243" s="25" t="n"/>
      <c r="AE243" s="23" t="n"/>
      <c r="AF243" s="51" t="n"/>
      <c r="AG243" s="52" t="n"/>
      <c r="AH243" s="53">
        <f>IFERROR(IF($A243="","",IF($AG243="","",$AG243-$Z243)),"")</f>
        <v/>
      </c>
      <c r="AI243" s="32">
        <f>IFERROR(IF($A243="","",IF(OR($AG243="",$Z243=0),"",($AG243-$Z243)/$Z243)),"")</f>
        <v/>
      </c>
      <c r="AJ243" s="23" t="n"/>
      <c r="AK243" s="51" t="n"/>
      <c r="AL243" s="53">
        <f>IFERROR(IF($A243="","",IF(OR($N243="Canceled",$N243="Closed"),0,MAX($Z243-IF($AG243="",0,$AG243),0))),"")</f>
        <v/>
      </c>
      <c r="AM243" s="27">
        <f>IFERROR(IF($A243="","",IF(OR($N243="Closed",$N243="Canceled"),IF($O243="","",MAX(0,$O243-$H243)),MAX(0,TODAY()-$H243))),"")</f>
        <v/>
      </c>
      <c r="AN243" s="24">
        <f>IFERROR(IF($A243="","",IF($AA243&gt;$R243,"Over Received",IF(AND($J243="Approved",OR($K243="",$L243="")),"Approval Missing",IF(AND($J243="Pending",$AM243&gt;'Settings'!$B$7),"Approval Follow-Up",IF(AND($N243="Open",$I243&lt;&gt;"",$I243+'Settings'!$B$8&lt;TODAY(),$AA243&lt;$R243),"Delivery Overdue",IF(AND($AG243&lt;&gt;"",OR(ABS($AH243)&gt;'Settings'!$B$9,ABS($AI243)&gt;'Settings'!$B$10)),"Invoice Variance",IF(AND($N243="Open",$AM243&gt;'Settings'!$B$11),"Aging Open PO",""))))))),"")</f>
        <v/>
      </c>
      <c r="AO243" s="25" t="n"/>
      <c r="AP243" s="24">
        <f>IFERROR(IF(AND($AN243&lt;&gt;"",$N243&lt;&gt;"Closed",$N243&lt;&gt;"Canceled",OR('Dashboard'!$B$4="All",$B243='Dashboard'!$B$4),OR('Dashboard'!$D$4="All",$C243='Dashboard'!$D$4)),COUNTIFS($AN$6:$AN243,"&lt;&gt;",$N$6:$N243,"&lt;&gt;Closed",$N$6:$N243,"&lt;&gt;Canceled",$B$6:$B243,IF('Dashboard'!$B$4="All","&lt;&gt;",'Dashboard'!$B$4),$C$6:$C243,IF('Dashboard'!$D$4="All","&lt;&gt;",'Dashboard'!$D$4)),""),"")</f>
        <v/>
      </c>
    </row>
    <row r="244">
      <c r="A244" s="23" t="n"/>
      <c r="B244" s="23" t="n"/>
      <c r="C244" s="23" t="n"/>
      <c r="D244" s="23" t="n"/>
      <c r="E244" s="23" t="n"/>
      <c r="F244" s="24">
        <f>IFERROR(IF($E244="","",VLOOKUP($E244,'Settings'!$G$16:$M$115,2,0)),"")</f>
        <v/>
      </c>
      <c r="G244" s="25" t="n"/>
      <c r="H244" s="51" t="n"/>
      <c r="I244" s="51" t="n"/>
      <c r="J244" s="23" t="n"/>
      <c r="K244" s="23" t="n"/>
      <c r="L244" s="51" t="n"/>
      <c r="M244" s="27">
        <f>IFERROR(IF($A244="","",IF($J244="Approved",MAX(0,$L244-$H244),"")),"")</f>
        <v/>
      </c>
      <c r="N244" s="23" t="n"/>
      <c r="O244" s="51" t="n"/>
      <c r="P244" s="23" t="n"/>
      <c r="Q244" s="25" t="n"/>
      <c r="R244" s="28" t="n"/>
      <c r="S244" s="52" t="n"/>
      <c r="T244" s="52" t="n"/>
      <c r="U244" s="23" t="n"/>
      <c r="V244" s="30" t="n"/>
      <c r="W244" s="52" t="n"/>
      <c r="X244" s="53">
        <f>IFERROR(IF($A244="","",MAX(0,$R244*$S244-$T244)),"")</f>
        <v/>
      </c>
      <c r="Y244" s="53">
        <f>IFERROR(IF($A244="","",IF($U244="Yes",$X244*$V244,0)),"")</f>
        <v/>
      </c>
      <c r="Z244" s="53">
        <f>IFERROR(IF($A244="","",$X244+$Y244+$W244),"")</f>
        <v/>
      </c>
      <c r="AA244" s="28" t="n"/>
      <c r="AB244" s="51" t="n"/>
      <c r="AC244" s="24">
        <f>IFERROR(IF($A244="","",IF($N244="Canceled","Canceled",IF($AA244=0,"Not Received",IF($AA244&lt;$R244,"Partially Received",IF($AA244=$R244,"Fully Received","Over Received"))))),"")</f>
        <v/>
      </c>
      <c r="AD244" s="25" t="n"/>
      <c r="AE244" s="23" t="n"/>
      <c r="AF244" s="51" t="n"/>
      <c r="AG244" s="52" t="n"/>
      <c r="AH244" s="53">
        <f>IFERROR(IF($A244="","",IF($AG244="","",$AG244-$Z244)),"")</f>
        <v/>
      </c>
      <c r="AI244" s="32">
        <f>IFERROR(IF($A244="","",IF(OR($AG244="",$Z244=0),"",($AG244-$Z244)/$Z244)),"")</f>
        <v/>
      </c>
      <c r="AJ244" s="23" t="n"/>
      <c r="AK244" s="51" t="n"/>
      <c r="AL244" s="53">
        <f>IFERROR(IF($A244="","",IF(OR($N244="Canceled",$N244="Closed"),0,MAX($Z244-IF($AG244="",0,$AG244),0))),"")</f>
        <v/>
      </c>
      <c r="AM244" s="27">
        <f>IFERROR(IF($A244="","",IF(OR($N244="Closed",$N244="Canceled"),IF($O244="","",MAX(0,$O244-$H244)),MAX(0,TODAY()-$H244))),"")</f>
        <v/>
      </c>
      <c r="AN244" s="24">
        <f>IFERROR(IF($A244="","",IF($AA244&gt;$R244,"Over Received",IF(AND($J244="Approved",OR($K244="",$L244="")),"Approval Missing",IF(AND($J244="Pending",$AM244&gt;'Settings'!$B$7),"Approval Follow-Up",IF(AND($N244="Open",$I244&lt;&gt;"",$I244+'Settings'!$B$8&lt;TODAY(),$AA244&lt;$R244),"Delivery Overdue",IF(AND($AG244&lt;&gt;"",OR(ABS($AH244)&gt;'Settings'!$B$9,ABS($AI244)&gt;'Settings'!$B$10)),"Invoice Variance",IF(AND($N244="Open",$AM244&gt;'Settings'!$B$11),"Aging Open PO",""))))))),"")</f>
        <v/>
      </c>
      <c r="AO244" s="25" t="n"/>
      <c r="AP244" s="24">
        <f>IFERROR(IF(AND($AN244&lt;&gt;"",$N244&lt;&gt;"Closed",$N244&lt;&gt;"Canceled",OR('Dashboard'!$B$4="All",$B244='Dashboard'!$B$4),OR('Dashboard'!$D$4="All",$C244='Dashboard'!$D$4)),COUNTIFS($AN$6:$AN244,"&lt;&gt;",$N$6:$N244,"&lt;&gt;Closed",$N$6:$N244,"&lt;&gt;Canceled",$B$6:$B244,IF('Dashboard'!$B$4="All","&lt;&gt;",'Dashboard'!$B$4),$C$6:$C244,IF('Dashboard'!$D$4="All","&lt;&gt;",'Dashboard'!$D$4)),""),"")</f>
        <v/>
      </c>
    </row>
    <row r="245">
      <c r="A245" s="23" t="n"/>
      <c r="B245" s="23" t="n"/>
      <c r="C245" s="23" t="n"/>
      <c r="D245" s="23" t="n"/>
      <c r="E245" s="23" t="n"/>
      <c r="F245" s="24">
        <f>IFERROR(IF($E245="","",VLOOKUP($E245,'Settings'!$G$16:$M$115,2,0)),"")</f>
        <v/>
      </c>
      <c r="G245" s="25" t="n"/>
      <c r="H245" s="51" t="n"/>
      <c r="I245" s="51" t="n"/>
      <c r="J245" s="23" t="n"/>
      <c r="K245" s="23" t="n"/>
      <c r="L245" s="51" t="n"/>
      <c r="M245" s="27">
        <f>IFERROR(IF($A245="","",IF($J245="Approved",MAX(0,$L245-$H245),"")),"")</f>
        <v/>
      </c>
      <c r="N245" s="23" t="n"/>
      <c r="O245" s="51" t="n"/>
      <c r="P245" s="23" t="n"/>
      <c r="Q245" s="25" t="n"/>
      <c r="R245" s="28" t="n"/>
      <c r="S245" s="52" t="n"/>
      <c r="T245" s="52" t="n"/>
      <c r="U245" s="23" t="n"/>
      <c r="V245" s="30" t="n"/>
      <c r="W245" s="52" t="n"/>
      <c r="X245" s="53">
        <f>IFERROR(IF($A245="","",MAX(0,$R245*$S245-$T245)),"")</f>
        <v/>
      </c>
      <c r="Y245" s="53">
        <f>IFERROR(IF($A245="","",IF($U245="Yes",$X245*$V245,0)),"")</f>
        <v/>
      </c>
      <c r="Z245" s="53">
        <f>IFERROR(IF($A245="","",$X245+$Y245+$W245),"")</f>
        <v/>
      </c>
      <c r="AA245" s="28" t="n"/>
      <c r="AB245" s="51" t="n"/>
      <c r="AC245" s="24">
        <f>IFERROR(IF($A245="","",IF($N245="Canceled","Canceled",IF($AA245=0,"Not Received",IF($AA245&lt;$R245,"Partially Received",IF($AA245=$R245,"Fully Received","Over Received"))))),"")</f>
        <v/>
      </c>
      <c r="AD245" s="25" t="n"/>
      <c r="AE245" s="23" t="n"/>
      <c r="AF245" s="51" t="n"/>
      <c r="AG245" s="52" t="n"/>
      <c r="AH245" s="53">
        <f>IFERROR(IF($A245="","",IF($AG245="","",$AG245-$Z245)),"")</f>
        <v/>
      </c>
      <c r="AI245" s="32">
        <f>IFERROR(IF($A245="","",IF(OR($AG245="",$Z245=0),"",($AG245-$Z245)/$Z245)),"")</f>
        <v/>
      </c>
      <c r="AJ245" s="23" t="n"/>
      <c r="AK245" s="51" t="n"/>
      <c r="AL245" s="53">
        <f>IFERROR(IF($A245="","",IF(OR($N245="Canceled",$N245="Closed"),0,MAX($Z245-IF($AG245="",0,$AG245),0))),"")</f>
        <v/>
      </c>
      <c r="AM245" s="27">
        <f>IFERROR(IF($A245="","",IF(OR($N245="Closed",$N245="Canceled"),IF($O245="","",MAX(0,$O245-$H245)),MAX(0,TODAY()-$H245))),"")</f>
        <v/>
      </c>
      <c r="AN245" s="24">
        <f>IFERROR(IF($A245="","",IF($AA245&gt;$R245,"Over Received",IF(AND($J245="Approved",OR($K245="",$L245="")),"Approval Missing",IF(AND($J245="Pending",$AM245&gt;'Settings'!$B$7),"Approval Follow-Up",IF(AND($N245="Open",$I245&lt;&gt;"",$I245+'Settings'!$B$8&lt;TODAY(),$AA245&lt;$R245),"Delivery Overdue",IF(AND($AG245&lt;&gt;"",OR(ABS($AH245)&gt;'Settings'!$B$9,ABS($AI245)&gt;'Settings'!$B$10)),"Invoice Variance",IF(AND($N245="Open",$AM245&gt;'Settings'!$B$11),"Aging Open PO",""))))))),"")</f>
        <v/>
      </c>
      <c r="AO245" s="25" t="n"/>
      <c r="AP245" s="24">
        <f>IFERROR(IF(AND($AN245&lt;&gt;"",$N245&lt;&gt;"Closed",$N245&lt;&gt;"Canceled",OR('Dashboard'!$B$4="All",$B245='Dashboard'!$B$4),OR('Dashboard'!$D$4="All",$C245='Dashboard'!$D$4)),COUNTIFS($AN$6:$AN245,"&lt;&gt;",$N$6:$N245,"&lt;&gt;Closed",$N$6:$N245,"&lt;&gt;Canceled",$B$6:$B245,IF('Dashboard'!$B$4="All","&lt;&gt;",'Dashboard'!$B$4),$C$6:$C245,IF('Dashboard'!$D$4="All","&lt;&gt;",'Dashboard'!$D$4)),""),"")</f>
        <v/>
      </c>
    </row>
    <row r="246">
      <c r="A246" s="23" t="n"/>
      <c r="B246" s="23" t="n"/>
      <c r="C246" s="23" t="n"/>
      <c r="D246" s="23" t="n"/>
      <c r="E246" s="23" t="n"/>
      <c r="F246" s="24">
        <f>IFERROR(IF($E246="","",VLOOKUP($E246,'Settings'!$G$16:$M$115,2,0)),"")</f>
        <v/>
      </c>
      <c r="G246" s="25" t="n"/>
      <c r="H246" s="51" t="n"/>
      <c r="I246" s="51" t="n"/>
      <c r="J246" s="23" t="n"/>
      <c r="K246" s="23" t="n"/>
      <c r="L246" s="51" t="n"/>
      <c r="M246" s="27">
        <f>IFERROR(IF($A246="","",IF($J246="Approved",MAX(0,$L246-$H246),"")),"")</f>
        <v/>
      </c>
      <c r="N246" s="23" t="n"/>
      <c r="O246" s="51" t="n"/>
      <c r="P246" s="23" t="n"/>
      <c r="Q246" s="25" t="n"/>
      <c r="R246" s="28" t="n"/>
      <c r="S246" s="52" t="n"/>
      <c r="T246" s="52" t="n"/>
      <c r="U246" s="23" t="n"/>
      <c r="V246" s="30" t="n"/>
      <c r="W246" s="52" t="n"/>
      <c r="X246" s="53">
        <f>IFERROR(IF($A246="","",MAX(0,$R246*$S246-$T246)),"")</f>
        <v/>
      </c>
      <c r="Y246" s="53">
        <f>IFERROR(IF($A246="","",IF($U246="Yes",$X246*$V246,0)),"")</f>
        <v/>
      </c>
      <c r="Z246" s="53">
        <f>IFERROR(IF($A246="","",$X246+$Y246+$W246),"")</f>
        <v/>
      </c>
      <c r="AA246" s="28" t="n"/>
      <c r="AB246" s="51" t="n"/>
      <c r="AC246" s="24">
        <f>IFERROR(IF($A246="","",IF($N246="Canceled","Canceled",IF($AA246=0,"Not Received",IF($AA246&lt;$R246,"Partially Received",IF($AA246=$R246,"Fully Received","Over Received"))))),"")</f>
        <v/>
      </c>
      <c r="AD246" s="25" t="n"/>
      <c r="AE246" s="23" t="n"/>
      <c r="AF246" s="51" t="n"/>
      <c r="AG246" s="52" t="n"/>
      <c r="AH246" s="53">
        <f>IFERROR(IF($A246="","",IF($AG246="","",$AG246-$Z246)),"")</f>
        <v/>
      </c>
      <c r="AI246" s="32">
        <f>IFERROR(IF($A246="","",IF(OR($AG246="",$Z246=0),"",($AG246-$Z246)/$Z246)),"")</f>
        <v/>
      </c>
      <c r="AJ246" s="23" t="n"/>
      <c r="AK246" s="51" t="n"/>
      <c r="AL246" s="53">
        <f>IFERROR(IF($A246="","",IF(OR($N246="Canceled",$N246="Closed"),0,MAX($Z246-IF($AG246="",0,$AG246),0))),"")</f>
        <v/>
      </c>
      <c r="AM246" s="27">
        <f>IFERROR(IF($A246="","",IF(OR($N246="Closed",$N246="Canceled"),IF($O246="","",MAX(0,$O246-$H246)),MAX(0,TODAY()-$H246))),"")</f>
        <v/>
      </c>
      <c r="AN246" s="24">
        <f>IFERROR(IF($A246="","",IF($AA246&gt;$R246,"Over Received",IF(AND($J246="Approved",OR($K246="",$L246="")),"Approval Missing",IF(AND($J246="Pending",$AM246&gt;'Settings'!$B$7),"Approval Follow-Up",IF(AND($N246="Open",$I246&lt;&gt;"",$I246+'Settings'!$B$8&lt;TODAY(),$AA246&lt;$R246),"Delivery Overdue",IF(AND($AG246&lt;&gt;"",OR(ABS($AH246)&gt;'Settings'!$B$9,ABS($AI246)&gt;'Settings'!$B$10)),"Invoice Variance",IF(AND($N246="Open",$AM246&gt;'Settings'!$B$11),"Aging Open PO",""))))))),"")</f>
        <v/>
      </c>
      <c r="AO246" s="25" t="n"/>
      <c r="AP246" s="24">
        <f>IFERROR(IF(AND($AN246&lt;&gt;"",$N246&lt;&gt;"Closed",$N246&lt;&gt;"Canceled",OR('Dashboard'!$B$4="All",$B246='Dashboard'!$B$4),OR('Dashboard'!$D$4="All",$C246='Dashboard'!$D$4)),COUNTIFS($AN$6:$AN246,"&lt;&gt;",$N$6:$N246,"&lt;&gt;Closed",$N$6:$N246,"&lt;&gt;Canceled",$B$6:$B246,IF('Dashboard'!$B$4="All","&lt;&gt;",'Dashboard'!$B$4),$C$6:$C246,IF('Dashboard'!$D$4="All","&lt;&gt;",'Dashboard'!$D$4)),""),"")</f>
        <v/>
      </c>
    </row>
    <row r="247">
      <c r="A247" s="23" t="n"/>
      <c r="B247" s="23" t="n"/>
      <c r="C247" s="23" t="n"/>
      <c r="D247" s="23" t="n"/>
      <c r="E247" s="23" t="n"/>
      <c r="F247" s="24">
        <f>IFERROR(IF($E247="","",VLOOKUP($E247,'Settings'!$G$16:$M$115,2,0)),"")</f>
        <v/>
      </c>
      <c r="G247" s="25" t="n"/>
      <c r="H247" s="51" t="n"/>
      <c r="I247" s="51" t="n"/>
      <c r="J247" s="23" t="n"/>
      <c r="K247" s="23" t="n"/>
      <c r="L247" s="51" t="n"/>
      <c r="M247" s="27">
        <f>IFERROR(IF($A247="","",IF($J247="Approved",MAX(0,$L247-$H247),"")),"")</f>
        <v/>
      </c>
      <c r="N247" s="23" t="n"/>
      <c r="O247" s="51" t="n"/>
      <c r="P247" s="23" t="n"/>
      <c r="Q247" s="25" t="n"/>
      <c r="R247" s="28" t="n"/>
      <c r="S247" s="52" t="n"/>
      <c r="T247" s="52" t="n"/>
      <c r="U247" s="23" t="n"/>
      <c r="V247" s="30" t="n"/>
      <c r="W247" s="52" t="n"/>
      <c r="X247" s="53">
        <f>IFERROR(IF($A247="","",MAX(0,$R247*$S247-$T247)),"")</f>
        <v/>
      </c>
      <c r="Y247" s="53">
        <f>IFERROR(IF($A247="","",IF($U247="Yes",$X247*$V247,0)),"")</f>
        <v/>
      </c>
      <c r="Z247" s="53">
        <f>IFERROR(IF($A247="","",$X247+$Y247+$W247),"")</f>
        <v/>
      </c>
      <c r="AA247" s="28" t="n"/>
      <c r="AB247" s="51" t="n"/>
      <c r="AC247" s="24">
        <f>IFERROR(IF($A247="","",IF($N247="Canceled","Canceled",IF($AA247=0,"Not Received",IF($AA247&lt;$R247,"Partially Received",IF($AA247=$R247,"Fully Received","Over Received"))))),"")</f>
        <v/>
      </c>
      <c r="AD247" s="25" t="n"/>
      <c r="AE247" s="23" t="n"/>
      <c r="AF247" s="51" t="n"/>
      <c r="AG247" s="52" t="n"/>
      <c r="AH247" s="53">
        <f>IFERROR(IF($A247="","",IF($AG247="","",$AG247-$Z247)),"")</f>
        <v/>
      </c>
      <c r="AI247" s="32">
        <f>IFERROR(IF($A247="","",IF(OR($AG247="",$Z247=0),"",($AG247-$Z247)/$Z247)),"")</f>
        <v/>
      </c>
      <c r="AJ247" s="23" t="n"/>
      <c r="AK247" s="51" t="n"/>
      <c r="AL247" s="53">
        <f>IFERROR(IF($A247="","",IF(OR($N247="Canceled",$N247="Closed"),0,MAX($Z247-IF($AG247="",0,$AG247),0))),"")</f>
        <v/>
      </c>
      <c r="AM247" s="27">
        <f>IFERROR(IF($A247="","",IF(OR($N247="Closed",$N247="Canceled"),IF($O247="","",MAX(0,$O247-$H247)),MAX(0,TODAY()-$H247))),"")</f>
        <v/>
      </c>
      <c r="AN247" s="24">
        <f>IFERROR(IF($A247="","",IF($AA247&gt;$R247,"Over Received",IF(AND($J247="Approved",OR($K247="",$L247="")),"Approval Missing",IF(AND($J247="Pending",$AM247&gt;'Settings'!$B$7),"Approval Follow-Up",IF(AND($N247="Open",$I247&lt;&gt;"",$I247+'Settings'!$B$8&lt;TODAY(),$AA247&lt;$R247),"Delivery Overdue",IF(AND($AG247&lt;&gt;"",OR(ABS($AH247)&gt;'Settings'!$B$9,ABS($AI247)&gt;'Settings'!$B$10)),"Invoice Variance",IF(AND($N247="Open",$AM247&gt;'Settings'!$B$11),"Aging Open PO",""))))))),"")</f>
        <v/>
      </c>
      <c r="AO247" s="25" t="n"/>
      <c r="AP247" s="24">
        <f>IFERROR(IF(AND($AN247&lt;&gt;"",$N247&lt;&gt;"Closed",$N247&lt;&gt;"Canceled",OR('Dashboard'!$B$4="All",$B247='Dashboard'!$B$4),OR('Dashboard'!$D$4="All",$C247='Dashboard'!$D$4)),COUNTIFS($AN$6:$AN247,"&lt;&gt;",$N$6:$N247,"&lt;&gt;Closed",$N$6:$N247,"&lt;&gt;Canceled",$B$6:$B247,IF('Dashboard'!$B$4="All","&lt;&gt;",'Dashboard'!$B$4),$C$6:$C247,IF('Dashboard'!$D$4="All","&lt;&gt;",'Dashboard'!$D$4)),""),"")</f>
        <v/>
      </c>
    </row>
    <row r="248">
      <c r="A248" s="23" t="n"/>
      <c r="B248" s="23" t="n"/>
      <c r="C248" s="23" t="n"/>
      <c r="D248" s="23" t="n"/>
      <c r="E248" s="23" t="n"/>
      <c r="F248" s="24">
        <f>IFERROR(IF($E248="","",VLOOKUP($E248,'Settings'!$G$16:$M$115,2,0)),"")</f>
        <v/>
      </c>
      <c r="G248" s="25" t="n"/>
      <c r="H248" s="51" t="n"/>
      <c r="I248" s="51" t="n"/>
      <c r="J248" s="23" t="n"/>
      <c r="K248" s="23" t="n"/>
      <c r="L248" s="51" t="n"/>
      <c r="M248" s="27">
        <f>IFERROR(IF($A248="","",IF($J248="Approved",MAX(0,$L248-$H248),"")),"")</f>
        <v/>
      </c>
      <c r="N248" s="23" t="n"/>
      <c r="O248" s="51" t="n"/>
      <c r="P248" s="23" t="n"/>
      <c r="Q248" s="25" t="n"/>
      <c r="R248" s="28" t="n"/>
      <c r="S248" s="52" t="n"/>
      <c r="T248" s="52" t="n"/>
      <c r="U248" s="23" t="n"/>
      <c r="V248" s="30" t="n"/>
      <c r="W248" s="52" t="n"/>
      <c r="X248" s="53">
        <f>IFERROR(IF($A248="","",MAX(0,$R248*$S248-$T248)),"")</f>
        <v/>
      </c>
      <c r="Y248" s="53">
        <f>IFERROR(IF($A248="","",IF($U248="Yes",$X248*$V248,0)),"")</f>
        <v/>
      </c>
      <c r="Z248" s="53">
        <f>IFERROR(IF($A248="","",$X248+$Y248+$W248),"")</f>
        <v/>
      </c>
      <c r="AA248" s="28" t="n"/>
      <c r="AB248" s="51" t="n"/>
      <c r="AC248" s="24">
        <f>IFERROR(IF($A248="","",IF($N248="Canceled","Canceled",IF($AA248=0,"Not Received",IF($AA248&lt;$R248,"Partially Received",IF($AA248=$R248,"Fully Received","Over Received"))))),"")</f>
        <v/>
      </c>
      <c r="AD248" s="25" t="n"/>
      <c r="AE248" s="23" t="n"/>
      <c r="AF248" s="51" t="n"/>
      <c r="AG248" s="52" t="n"/>
      <c r="AH248" s="53">
        <f>IFERROR(IF($A248="","",IF($AG248="","",$AG248-$Z248)),"")</f>
        <v/>
      </c>
      <c r="AI248" s="32">
        <f>IFERROR(IF($A248="","",IF(OR($AG248="",$Z248=0),"",($AG248-$Z248)/$Z248)),"")</f>
        <v/>
      </c>
      <c r="AJ248" s="23" t="n"/>
      <c r="AK248" s="51" t="n"/>
      <c r="AL248" s="53">
        <f>IFERROR(IF($A248="","",IF(OR($N248="Canceled",$N248="Closed"),0,MAX($Z248-IF($AG248="",0,$AG248),0))),"")</f>
        <v/>
      </c>
      <c r="AM248" s="27">
        <f>IFERROR(IF($A248="","",IF(OR($N248="Closed",$N248="Canceled"),IF($O248="","",MAX(0,$O248-$H248)),MAX(0,TODAY()-$H248))),"")</f>
        <v/>
      </c>
      <c r="AN248" s="24">
        <f>IFERROR(IF($A248="","",IF($AA248&gt;$R248,"Over Received",IF(AND($J248="Approved",OR($K248="",$L248="")),"Approval Missing",IF(AND($J248="Pending",$AM248&gt;'Settings'!$B$7),"Approval Follow-Up",IF(AND($N248="Open",$I248&lt;&gt;"",$I248+'Settings'!$B$8&lt;TODAY(),$AA248&lt;$R248),"Delivery Overdue",IF(AND($AG248&lt;&gt;"",OR(ABS($AH248)&gt;'Settings'!$B$9,ABS($AI248)&gt;'Settings'!$B$10)),"Invoice Variance",IF(AND($N248="Open",$AM248&gt;'Settings'!$B$11),"Aging Open PO",""))))))),"")</f>
        <v/>
      </c>
      <c r="AO248" s="25" t="n"/>
      <c r="AP248" s="24">
        <f>IFERROR(IF(AND($AN248&lt;&gt;"",$N248&lt;&gt;"Closed",$N248&lt;&gt;"Canceled",OR('Dashboard'!$B$4="All",$B248='Dashboard'!$B$4),OR('Dashboard'!$D$4="All",$C248='Dashboard'!$D$4)),COUNTIFS($AN$6:$AN248,"&lt;&gt;",$N$6:$N248,"&lt;&gt;Closed",$N$6:$N248,"&lt;&gt;Canceled",$B$6:$B248,IF('Dashboard'!$B$4="All","&lt;&gt;",'Dashboard'!$B$4),$C$6:$C248,IF('Dashboard'!$D$4="All","&lt;&gt;",'Dashboard'!$D$4)),""),"")</f>
        <v/>
      </c>
    </row>
    <row r="249">
      <c r="A249" s="23" t="n"/>
      <c r="B249" s="23" t="n"/>
      <c r="C249" s="23" t="n"/>
      <c r="D249" s="23" t="n"/>
      <c r="E249" s="23" t="n"/>
      <c r="F249" s="24">
        <f>IFERROR(IF($E249="","",VLOOKUP($E249,'Settings'!$G$16:$M$115,2,0)),"")</f>
        <v/>
      </c>
      <c r="G249" s="25" t="n"/>
      <c r="H249" s="51" t="n"/>
      <c r="I249" s="51" t="n"/>
      <c r="J249" s="23" t="n"/>
      <c r="K249" s="23" t="n"/>
      <c r="L249" s="51" t="n"/>
      <c r="M249" s="27">
        <f>IFERROR(IF($A249="","",IF($J249="Approved",MAX(0,$L249-$H249),"")),"")</f>
        <v/>
      </c>
      <c r="N249" s="23" t="n"/>
      <c r="O249" s="51" t="n"/>
      <c r="P249" s="23" t="n"/>
      <c r="Q249" s="25" t="n"/>
      <c r="R249" s="28" t="n"/>
      <c r="S249" s="52" t="n"/>
      <c r="T249" s="52" t="n"/>
      <c r="U249" s="23" t="n"/>
      <c r="V249" s="30" t="n"/>
      <c r="W249" s="52" t="n"/>
      <c r="X249" s="53">
        <f>IFERROR(IF($A249="","",MAX(0,$R249*$S249-$T249)),"")</f>
        <v/>
      </c>
      <c r="Y249" s="53">
        <f>IFERROR(IF($A249="","",IF($U249="Yes",$X249*$V249,0)),"")</f>
        <v/>
      </c>
      <c r="Z249" s="53">
        <f>IFERROR(IF($A249="","",$X249+$Y249+$W249),"")</f>
        <v/>
      </c>
      <c r="AA249" s="28" t="n"/>
      <c r="AB249" s="51" t="n"/>
      <c r="AC249" s="24">
        <f>IFERROR(IF($A249="","",IF($N249="Canceled","Canceled",IF($AA249=0,"Not Received",IF($AA249&lt;$R249,"Partially Received",IF($AA249=$R249,"Fully Received","Over Received"))))),"")</f>
        <v/>
      </c>
      <c r="AD249" s="25" t="n"/>
      <c r="AE249" s="23" t="n"/>
      <c r="AF249" s="51" t="n"/>
      <c r="AG249" s="52" t="n"/>
      <c r="AH249" s="53">
        <f>IFERROR(IF($A249="","",IF($AG249="","",$AG249-$Z249)),"")</f>
        <v/>
      </c>
      <c r="AI249" s="32">
        <f>IFERROR(IF($A249="","",IF(OR($AG249="",$Z249=0),"",($AG249-$Z249)/$Z249)),"")</f>
        <v/>
      </c>
      <c r="AJ249" s="23" t="n"/>
      <c r="AK249" s="51" t="n"/>
      <c r="AL249" s="53">
        <f>IFERROR(IF($A249="","",IF(OR($N249="Canceled",$N249="Closed"),0,MAX($Z249-IF($AG249="",0,$AG249),0))),"")</f>
        <v/>
      </c>
      <c r="AM249" s="27">
        <f>IFERROR(IF($A249="","",IF(OR($N249="Closed",$N249="Canceled"),IF($O249="","",MAX(0,$O249-$H249)),MAX(0,TODAY()-$H249))),"")</f>
        <v/>
      </c>
      <c r="AN249" s="24">
        <f>IFERROR(IF($A249="","",IF($AA249&gt;$R249,"Over Received",IF(AND($J249="Approved",OR($K249="",$L249="")),"Approval Missing",IF(AND($J249="Pending",$AM249&gt;'Settings'!$B$7),"Approval Follow-Up",IF(AND($N249="Open",$I249&lt;&gt;"",$I249+'Settings'!$B$8&lt;TODAY(),$AA249&lt;$R249),"Delivery Overdue",IF(AND($AG249&lt;&gt;"",OR(ABS($AH249)&gt;'Settings'!$B$9,ABS($AI249)&gt;'Settings'!$B$10)),"Invoice Variance",IF(AND($N249="Open",$AM249&gt;'Settings'!$B$11),"Aging Open PO",""))))))),"")</f>
        <v/>
      </c>
      <c r="AO249" s="25" t="n"/>
      <c r="AP249" s="24">
        <f>IFERROR(IF(AND($AN249&lt;&gt;"",$N249&lt;&gt;"Closed",$N249&lt;&gt;"Canceled",OR('Dashboard'!$B$4="All",$B249='Dashboard'!$B$4),OR('Dashboard'!$D$4="All",$C249='Dashboard'!$D$4)),COUNTIFS($AN$6:$AN249,"&lt;&gt;",$N$6:$N249,"&lt;&gt;Closed",$N$6:$N249,"&lt;&gt;Canceled",$B$6:$B249,IF('Dashboard'!$B$4="All","&lt;&gt;",'Dashboard'!$B$4),$C$6:$C249,IF('Dashboard'!$D$4="All","&lt;&gt;",'Dashboard'!$D$4)),""),"")</f>
        <v/>
      </c>
    </row>
    <row r="250">
      <c r="A250" s="23" t="n"/>
      <c r="B250" s="23" t="n"/>
      <c r="C250" s="23" t="n"/>
      <c r="D250" s="23" t="n"/>
      <c r="E250" s="23" t="n"/>
      <c r="F250" s="24">
        <f>IFERROR(IF($E250="","",VLOOKUP($E250,'Settings'!$G$16:$M$115,2,0)),"")</f>
        <v/>
      </c>
      <c r="G250" s="25" t="n"/>
      <c r="H250" s="51" t="n"/>
      <c r="I250" s="51" t="n"/>
      <c r="J250" s="23" t="n"/>
      <c r="K250" s="23" t="n"/>
      <c r="L250" s="51" t="n"/>
      <c r="M250" s="27">
        <f>IFERROR(IF($A250="","",IF($J250="Approved",MAX(0,$L250-$H250),"")),"")</f>
        <v/>
      </c>
      <c r="N250" s="23" t="n"/>
      <c r="O250" s="51" t="n"/>
      <c r="P250" s="23" t="n"/>
      <c r="Q250" s="25" t="n"/>
      <c r="R250" s="28" t="n"/>
      <c r="S250" s="52" t="n"/>
      <c r="T250" s="52" t="n"/>
      <c r="U250" s="23" t="n"/>
      <c r="V250" s="30" t="n"/>
      <c r="W250" s="52" t="n"/>
      <c r="X250" s="53">
        <f>IFERROR(IF($A250="","",MAX(0,$R250*$S250-$T250)),"")</f>
        <v/>
      </c>
      <c r="Y250" s="53">
        <f>IFERROR(IF($A250="","",IF($U250="Yes",$X250*$V250,0)),"")</f>
        <v/>
      </c>
      <c r="Z250" s="53">
        <f>IFERROR(IF($A250="","",$X250+$Y250+$W250),"")</f>
        <v/>
      </c>
      <c r="AA250" s="28" t="n"/>
      <c r="AB250" s="51" t="n"/>
      <c r="AC250" s="24">
        <f>IFERROR(IF($A250="","",IF($N250="Canceled","Canceled",IF($AA250=0,"Not Received",IF($AA250&lt;$R250,"Partially Received",IF($AA250=$R250,"Fully Received","Over Received"))))),"")</f>
        <v/>
      </c>
      <c r="AD250" s="25" t="n"/>
      <c r="AE250" s="23" t="n"/>
      <c r="AF250" s="51" t="n"/>
      <c r="AG250" s="52" t="n"/>
      <c r="AH250" s="53">
        <f>IFERROR(IF($A250="","",IF($AG250="","",$AG250-$Z250)),"")</f>
        <v/>
      </c>
      <c r="AI250" s="32">
        <f>IFERROR(IF($A250="","",IF(OR($AG250="",$Z250=0),"",($AG250-$Z250)/$Z250)),"")</f>
        <v/>
      </c>
      <c r="AJ250" s="23" t="n"/>
      <c r="AK250" s="51" t="n"/>
      <c r="AL250" s="53">
        <f>IFERROR(IF($A250="","",IF(OR($N250="Canceled",$N250="Closed"),0,MAX($Z250-IF($AG250="",0,$AG250),0))),"")</f>
        <v/>
      </c>
      <c r="AM250" s="27">
        <f>IFERROR(IF($A250="","",IF(OR($N250="Closed",$N250="Canceled"),IF($O250="","",MAX(0,$O250-$H250)),MAX(0,TODAY()-$H250))),"")</f>
        <v/>
      </c>
      <c r="AN250" s="24">
        <f>IFERROR(IF($A250="","",IF($AA250&gt;$R250,"Over Received",IF(AND($J250="Approved",OR($K250="",$L250="")),"Approval Missing",IF(AND($J250="Pending",$AM250&gt;'Settings'!$B$7),"Approval Follow-Up",IF(AND($N250="Open",$I250&lt;&gt;"",$I250+'Settings'!$B$8&lt;TODAY(),$AA250&lt;$R250),"Delivery Overdue",IF(AND($AG250&lt;&gt;"",OR(ABS($AH250)&gt;'Settings'!$B$9,ABS($AI250)&gt;'Settings'!$B$10)),"Invoice Variance",IF(AND($N250="Open",$AM250&gt;'Settings'!$B$11),"Aging Open PO",""))))))),"")</f>
        <v/>
      </c>
      <c r="AO250" s="25" t="n"/>
      <c r="AP250" s="24">
        <f>IFERROR(IF(AND($AN250&lt;&gt;"",$N250&lt;&gt;"Closed",$N250&lt;&gt;"Canceled",OR('Dashboard'!$B$4="All",$B250='Dashboard'!$B$4),OR('Dashboard'!$D$4="All",$C250='Dashboard'!$D$4)),COUNTIFS($AN$6:$AN250,"&lt;&gt;",$N$6:$N250,"&lt;&gt;Closed",$N$6:$N250,"&lt;&gt;Canceled",$B$6:$B250,IF('Dashboard'!$B$4="All","&lt;&gt;",'Dashboard'!$B$4),$C$6:$C250,IF('Dashboard'!$D$4="All","&lt;&gt;",'Dashboard'!$D$4)),""),"")</f>
        <v/>
      </c>
    </row>
    <row r="251">
      <c r="A251" s="23" t="n"/>
      <c r="B251" s="23" t="n"/>
      <c r="C251" s="23" t="n"/>
      <c r="D251" s="23" t="n"/>
      <c r="E251" s="23" t="n"/>
      <c r="F251" s="24">
        <f>IFERROR(IF($E251="","",VLOOKUP($E251,'Settings'!$G$16:$M$115,2,0)),"")</f>
        <v/>
      </c>
      <c r="G251" s="25" t="n"/>
      <c r="H251" s="51" t="n"/>
      <c r="I251" s="51" t="n"/>
      <c r="J251" s="23" t="n"/>
      <c r="K251" s="23" t="n"/>
      <c r="L251" s="51" t="n"/>
      <c r="M251" s="27">
        <f>IFERROR(IF($A251="","",IF($J251="Approved",MAX(0,$L251-$H251),"")),"")</f>
        <v/>
      </c>
      <c r="N251" s="23" t="n"/>
      <c r="O251" s="51" t="n"/>
      <c r="P251" s="23" t="n"/>
      <c r="Q251" s="25" t="n"/>
      <c r="R251" s="28" t="n"/>
      <c r="S251" s="52" t="n"/>
      <c r="T251" s="52" t="n"/>
      <c r="U251" s="23" t="n"/>
      <c r="V251" s="30" t="n"/>
      <c r="W251" s="52" t="n"/>
      <c r="X251" s="53">
        <f>IFERROR(IF($A251="","",MAX(0,$R251*$S251-$T251)),"")</f>
        <v/>
      </c>
      <c r="Y251" s="53">
        <f>IFERROR(IF($A251="","",IF($U251="Yes",$X251*$V251,0)),"")</f>
        <v/>
      </c>
      <c r="Z251" s="53">
        <f>IFERROR(IF($A251="","",$X251+$Y251+$W251),"")</f>
        <v/>
      </c>
      <c r="AA251" s="28" t="n"/>
      <c r="AB251" s="51" t="n"/>
      <c r="AC251" s="24">
        <f>IFERROR(IF($A251="","",IF($N251="Canceled","Canceled",IF($AA251=0,"Not Received",IF($AA251&lt;$R251,"Partially Received",IF($AA251=$R251,"Fully Received","Over Received"))))),"")</f>
        <v/>
      </c>
      <c r="AD251" s="25" t="n"/>
      <c r="AE251" s="23" t="n"/>
      <c r="AF251" s="51" t="n"/>
      <c r="AG251" s="52" t="n"/>
      <c r="AH251" s="53">
        <f>IFERROR(IF($A251="","",IF($AG251="","",$AG251-$Z251)),"")</f>
        <v/>
      </c>
      <c r="AI251" s="32">
        <f>IFERROR(IF($A251="","",IF(OR($AG251="",$Z251=0),"",($AG251-$Z251)/$Z251)),"")</f>
        <v/>
      </c>
      <c r="AJ251" s="23" t="n"/>
      <c r="AK251" s="51" t="n"/>
      <c r="AL251" s="53">
        <f>IFERROR(IF($A251="","",IF(OR($N251="Canceled",$N251="Closed"),0,MAX($Z251-IF($AG251="",0,$AG251),0))),"")</f>
        <v/>
      </c>
      <c r="AM251" s="27">
        <f>IFERROR(IF($A251="","",IF(OR($N251="Closed",$N251="Canceled"),IF($O251="","",MAX(0,$O251-$H251)),MAX(0,TODAY()-$H251))),"")</f>
        <v/>
      </c>
      <c r="AN251" s="24">
        <f>IFERROR(IF($A251="","",IF($AA251&gt;$R251,"Over Received",IF(AND($J251="Approved",OR($K251="",$L251="")),"Approval Missing",IF(AND($J251="Pending",$AM251&gt;'Settings'!$B$7),"Approval Follow-Up",IF(AND($N251="Open",$I251&lt;&gt;"",$I251+'Settings'!$B$8&lt;TODAY(),$AA251&lt;$R251),"Delivery Overdue",IF(AND($AG251&lt;&gt;"",OR(ABS($AH251)&gt;'Settings'!$B$9,ABS($AI251)&gt;'Settings'!$B$10)),"Invoice Variance",IF(AND($N251="Open",$AM251&gt;'Settings'!$B$11),"Aging Open PO",""))))))),"")</f>
        <v/>
      </c>
      <c r="AO251" s="25" t="n"/>
      <c r="AP251" s="24">
        <f>IFERROR(IF(AND($AN251&lt;&gt;"",$N251&lt;&gt;"Closed",$N251&lt;&gt;"Canceled",OR('Dashboard'!$B$4="All",$B251='Dashboard'!$B$4),OR('Dashboard'!$D$4="All",$C251='Dashboard'!$D$4)),COUNTIFS($AN$6:$AN251,"&lt;&gt;",$N$6:$N251,"&lt;&gt;Closed",$N$6:$N251,"&lt;&gt;Canceled",$B$6:$B251,IF('Dashboard'!$B$4="All","&lt;&gt;",'Dashboard'!$B$4),$C$6:$C251,IF('Dashboard'!$D$4="All","&lt;&gt;",'Dashboard'!$D$4)),""),"")</f>
        <v/>
      </c>
    </row>
    <row r="252">
      <c r="A252" s="23" t="n"/>
      <c r="B252" s="23" t="n"/>
      <c r="C252" s="23" t="n"/>
      <c r="D252" s="23" t="n"/>
      <c r="E252" s="23" t="n"/>
      <c r="F252" s="24">
        <f>IFERROR(IF($E252="","",VLOOKUP($E252,'Settings'!$G$16:$M$115,2,0)),"")</f>
        <v/>
      </c>
      <c r="G252" s="25" t="n"/>
      <c r="H252" s="51" t="n"/>
      <c r="I252" s="51" t="n"/>
      <c r="J252" s="23" t="n"/>
      <c r="K252" s="23" t="n"/>
      <c r="L252" s="51" t="n"/>
      <c r="M252" s="27">
        <f>IFERROR(IF($A252="","",IF($J252="Approved",MAX(0,$L252-$H252),"")),"")</f>
        <v/>
      </c>
      <c r="N252" s="23" t="n"/>
      <c r="O252" s="51" t="n"/>
      <c r="P252" s="23" t="n"/>
      <c r="Q252" s="25" t="n"/>
      <c r="R252" s="28" t="n"/>
      <c r="S252" s="52" t="n"/>
      <c r="T252" s="52" t="n"/>
      <c r="U252" s="23" t="n"/>
      <c r="V252" s="30" t="n"/>
      <c r="W252" s="52" t="n"/>
      <c r="X252" s="53">
        <f>IFERROR(IF($A252="","",MAX(0,$R252*$S252-$T252)),"")</f>
        <v/>
      </c>
      <c r="Y252" s="53">
        <f>IFERROR(IF($A252="","",IF($U252="Yes",$X252*$V252,0)),"")</f>
        <v/>
      </c>
      <c r="Z252" s="53">
        <f>IFERROR(IF($A252="","",$X252+$Y252+$W252),"")</f>
        <v/>
      </c>
      <c r="AA252" s="28" t="n"/>
      <c r="AB252" s="51" t="n"/>
      <c r="AC252" s="24">
        <f>IFERROR(IF($A252="","",IF($N252="Canceled","Canceled",IF($AA252=0,"Not Received",IF($AA252&lt;$R252,"Partially Received",IF($AA252=$R252,"Fully Received","Over Received"))))),"")</f>
        <v/>
      </c>
      <c r="AD252" s="25" t="n"/>
      <c r="AE252" s="23" t="n"/>
      <c r="AF252" s="51" t="n"/>
      <c r="AG252" s="52" t="n"/>
      <c r="AH252" s="53">
        <f>IFERROR(IF($A252="","",IF($AG252="","",$AG252-$Z252)),"")</f>
        <v/>
      </c>
      <c r="AI252" s="32">
        <f>IFERROR(IF($A252="","",IF(OR($AG252="",$Z252=0),"",($AG252-$Z252)/$Z252)),"")</f>
        <v/>
      </c>
      <c r="AJ252" s="23" t="n"/>
      <c r="AK252" s="51" t="n"/>
      <c r="AL252" s="53">
        <f>IFERROR(IF($A252="","",IF(OR($N252="Canceled",$N252="Closed"),0,MAX($Z252-IF($AG252="",0,$AG252),0))),"")</f>
        <v/>
      </c>
      <c r="AM252" s="27">
        <f>IFERROR(IF($A252="","",IF(OR($N252="Closed",$N252="Canceled"),IF($O252="","",MAX(0,$O252-$H252)),MAX(0,TODAY()-$H252))),"")</f>
        <v/>
      </c>
      <c r="AN252" s="24">
        <f>IFERROR(IF($A252="","",IF($AA252&gt;$R252,"Over Received",IF(AND($J252="Approved",OR($K252="",$L252="")),"Approval Missing",IF(AND($J252="Pending",$AM252&gt;'Settings'!$B$7),"Approval Follow-Up",IF(AND($N252="Open",$I252&lt;&gt;"",$I252+'Settings'!$B$8&lt;TODAY(),$AA252&lt;$R252),"Delivery Overdue",IF(AND($AG252&lt;&gt;"",OR(ABS($AH252)&gt;'Settings'!$B$9,ABS($AI252)&gt;'Settings'!$B$10)),"Invoice Variance",IF(AND($N252="Open",$AM252&gt;'Settings'!$B$11),"Aging Open PO",""))))))),"")</f>
        <v/>
      </c>
      <c r="AO252" s="25" t="n"/>
      <c r="AP252" s="24">
        <f>IFERROR(IF(AND($AN252&lt;&gt;"",$N252&lt;&gt;"Closed",$N252&lt;&gt;"Canceled",OR('Dashboard'!$B$4="All",$B252='Dashboard'!$B$4),OR('Dashboard'!$D$4="All",$C252='Dashboard'!$D$4)),COUNTIFS($AN$6:$AN252,"&lt;&gt;",$N$6:$N252,"&lt;&gt;Closed",$N$6:$N252,"&lt;&gt;Canceled",$B$6:$B252,IF('Dashboard'!$B$4="All","&lt;&gt;",'Dashboard'!$B$4),$C$6:$C252,IF('Dashboard'!$D$4="All","&lt;&gt;",'Dashboard'!$D$4)),""),"")</f>
        <v/>
      </c>
    </row>
    <row r="253">
      <c r="A253" s="23" t="n"/>
      <c r="B253" s="23" t="n"/>
      <c r="C253" s="23" t="n"/>
      <c r="D253" s="23" t="n"/>
      <c r="E253" s="23" t="n"/>
      <c r="F253" s="24">
        <f>IFERROR(IF($E253="","",VLOOKUP($E253,'Settings'!$G$16:$M$115,2,0)),"")</f>
        <v/>
      </c>
      <c r="G253" s="25" t="n"/>
      <c r="H253" s="51" t="n"/>
      <c r="I253" s="51" t="n"/>
      <c r="J253" s="23" t="n"/>
      <c r="K253" s="23" t="n"/>
      <c r="L253" s="51" t="n"/>
      <c r="M253" s="27">
        <f>IFERROR(IF($A253="","",IF($J253="Approved",MAX(0,$L253-$H253),"")),"")</f>
        <v/>
      </c>
      <c r="N253" s="23" t="n"/>
      <c r="O253" s="51" t="n"/>
      <c r="P253" s="23" t="n"/>
      <c r="Q253" s="25" t="n"/>
      <c r="R253" s="28" t="n"/>
      <c r="S253" s="52" t="n"/>
      <c r="T253" s="52" t="n"/>
      <c r="U253" s="23" t="n"/>
      <c r="V253" s="30" t="n"/>
      <c r="W253" s="52" t="n"/>
      <c r="X253" s="53">
        <f>IFERROR(IF($A253="","",MAX(0,$R253*$S253-$T253)),"")</f>
        <v/>
      </c>
      <c r="Y253" s="53">
        <f>IFERROR(IF($A253="","",IF($U253="Yes",$X253*$V253,0)),"")</f>
        <v/>
      </c>
      <c r="Z253" s="53">
        <f>IFERROR(IF($A253="","",$X253+$Y253+$W253),"")</f>
        <v/>
      </c>
      <c r="AA253" s="28" t="n"/>
      <c r="AB253" s="51" t="n"/>
      <c r="AC253" s="24">
        <f>IFERROR(IF($A253="","",IF($N253="Canceled","Canceled",IF($AA253=0,"Not Received",IF($AA253&lt;$R253,"Partially Received",IF($AA253=$R253,"Fully Received","Over Received"))))),"")</f>
        <v/>
      </c>
      <c r="AD253" s="25" t="n"/>
      <c r="AE253" s="23" t="n"/>
      <c r="AF253" s="51" t="n"/>
      <c r="AG253" s="52" t="n"/>
      <c r="AH253" s="53">
        <f>IFERROR(IF($A253="","",IF($AG253="","",$AG253-$Z253)),"")</f>
        <v/>
      </c>
      <c r="AI253" s="32">
        <f>IFERROR(IF($A253="","",IF(OR($AG253="",$Z253=0),"",($AG253-$Z253)/$Z253)),"")</f>
        <v/>
      </c>
      <c r="AJ253" s="23" t="n"/>
      <c r="AK253" s="51" t="n"/>
      <c r="AL253" s="53">
        <f>IFERROR(IF($A253="","",IF(OR($N253="Canceled",$N253="Closed"),0,MAX($Z253-IF($AG253="",0,$AG253),0))),"")</f>
        <v/>
      </c>
      <c r="AM253" s="27">
        <f>IFERROR(IF($A253="","",IF(OR($N253="Closed",$N253="Canceled"),IF($O253="","",MAX(0,$O253-$H253)),MAX(0,TODAY()-$H253))),"")</f>
        <v/>
      </c>
      <c r="AN253" s="24">
        <f>IFERROR(IF($A253="","",IF($AA253&gt;$R253,"Over Received",IF(AND($J253="Approved",OR($K253="",$L253="")),"Approval Missing",IF(AND($J253="Pending",$AM253&gt;'Settings'!$B$7),"Approval Follow-Up",IF(AND($N253="Open",$I253&lt;&gt;"",$I253+'Settings'!$B$8&lt;TODAY(),$AA253&lt;$R253),"Delivery Overdue",IF(AND($AG253&lt;&gt;"",OR(ABS($AH253)&gt;'Settings'!$B$9,ABS($AI253)&gt;'Settings'!$B$10)),"Invoice Variance",IF(AND($N253="Open",$AM253&gt;'Settings'!$B$11),"Aging Open PO",""))))))),"")</f>
        <v/>
      </c>
      <c r="AO253" s="25" t="n"/>
      <c r="AP253" s="24">
        <f>IFERROR(IF(AND($AN253&lt;&gt;"",$N253&lt;&gt;"Closed",$N253&lt;&gt;"Canceled",OR('Dashboard'!$B$4="All",$B253='Dashboard'!$B$4),OR('Dashboard'!$D$4="All",$C253='Dashboard'!$D$4)),COUNTIFS($AN$6:$AN253,"&lt;&gt;",$N$6:$N253,"&lt;&gt;Closed",$N$6:$N253,"&lt;&gt;Canceled",$B$6:$B253,IF('Dashboard'!$B$4="All","&lt;&gt;",'Dashboard'!$B$4),$C$6:$C253,IF('Dashboard'!$D$4="All","&lt;&gt;",'Dashboard'!$D$4)),""),"")</f>
        <v/>
      </c>
    </row>
    <row r="254">
      <c r="A254" s="23" t="n"/>
      <c r="B254" s="23" t="n"/>
      <c r="C254" s="23" t="n"/>
      <c r="D254" s="23" t="n"/>
      <c r="E254" s="23" t="n"/>
      <c r="F254" s="24">
        <f>IFERROR(IF($E254="","",VLOOKUP($E254,'Settings'!$G$16:$M$115,2,0)),"")</f>
        <v/>
      </c>
      <c r="G254" s="25" t="n"/>
      <c r="H254" s="51" t="n"/>
      <c r="I254" s="51" t="n"/>
      <c r="J254" s="23" t="n"/>
      <c r="K254" s="23" t="n"/>
      <c r="L254" s="51" t="n"/>
      <c r="M254" s="27">
        <f>IFERROR(IF($A254="","",IF($J254="Approved",MAX(0,$L254-$H254),"")),"")</f>
        <v/>
      </c>
      <c r="N254" s="23" t="n"/>
      <c r="O254" s="51" t="n"/>
      <c r="P254" s="23" t="n"/>
      <c r="Q254" s="25" t="n"/>
      <c r="R254" s="28" t="n"/>
      <c r="S254" s="52" t="n"/>
      <c r="T254" s="52" t="n"/>
      <c r="U254" s="23" t="n"/>
      <c r="V254" s="30" t="n"/>
      <c r="W254" s="52" t="n"/>
      <c r="X254" s="53">
        <f>IFERROR(IF($A254="","",MAX(0,$R254*$S254-$T254)),"")</f>
        <v/>
      </c>
      <c r="Y254" s="53">
        <f>IFERROR(IF($A254="","",IF($U254="Yes",$X254*$V254,0)),"")</f>
        <v/>
      </c>
      <c r="Z254" s="53">
        <f>IFERROR(IF($A254="","",$X254+$Y254+$W254),"")</f>
        <v/>
      </c>
      <c r="AA254" s="28" t="n"/>
      <c r="AB254" s="51" t="n"/>
      <c r="AC254" s="24">
        <f>IFERROR(IF($A254="","",IF($N254="Canceled","Canceled",IF($AA254=0,"Not Received",IF($AA254&lt;$R254,"Partially Received",IF($AA254=$R254,"Fully Received","Over Received"))))),"")</f>
        <v/>
      </c>
      <c r="AD254" s="25" t="n"/>
      <c r="AE254" s="23" t="n"/>
      <c r="AF254" s="51" t="n"/>
      <c r="AG254" s="52" t="n"/>
      <c r="AH254" s="53">
        <f>IFERROR(IF($A254="","",IF($AG254="","",$AG254-$Z254)),"")</f>
        <v/>
      </c>
      <c r="AI254" s="32">
        <f>IFERROR(IF($A254="","",IF(OR($AG254="",$Z254=0),"",($AG254-$Z254)/$Z254)),"")</f>
        <v/>
      </c>
      <c r="AJ254" s="23" t="n"/>
      <c r="AK254" s="51" t="n"/>
      <c r="AL254" s="53">
        <f>IFERROR(IF($A254="","",IF(OR($N254="Canceled",$N254="Closed"),0,MAX($Z254-IF($AG254="",0,$AG254),0))),"")</f>
        <v/>
      </c>
      <c r="AM254" s="27">
        <f>IFERROR(IF($A254="","",IF(OR($N254="Closed",$N254="Canceled"),IF($O254="","",MAX(0,$O254-$H254)),MAX(0,TODAY()-$H254))),"")</f>
        <v/>
      </c>
      <c r="AN254" s="24">
        <f>IFERROR(IF($A254="","",IF($AA254&gt;$R254,"Over Received",IF(AND($J254="Approved",OR($K254="",$L254="")),"Approval Missing",IF(AND($J254="Pending",$AM254&gt;'Settings'!$B$7),"Approval Follow-Up",IF(AND($N254="Open",$I254&lt;&gt;"",$I254+'Settings'!$B$8&lt;TODAY(),$AA254&lt;$R254),"Delivery Overdue",IF(AND($AG254&lt;&gt;"",OR(ABS($AH254)&gt;'Settings'!$B$9,ABS($AI254)&gt;'Settings'!$B$10)),"Invoice Variance",IF(AND($N254="Open",$AM254&gt;'Settings'!$B$11),"Aging Open PO",""))))))),"")</f>
        <v/>
      </c>
      <c r="AO254" s="25" t="n"/>
      <c r="AP254" s="24">
        <f>IFERROR(IF(AND($AN254&lt;&gt;"",$N254&lt;&gt;"Closed",$N254&lt;&gt;"Canceled",OR('Dashboard'!$B$4="All",$B254='Dashboard'!$B$4),OR('Dashboard'!$D$4="All",$C254='Dashboard'!$D$4)),COUNTIFS($AN$6:$AN254,"&lt;&gt;",$N$6:$N254,"&lt;&gt;Closed",$N$6:$N254,"&lt;&gt;Canceled",$B$6:$B254,IF('Dashboard'!$B$4="All","&lt;&gt;",'Dashboard'!$B$4),$C$6:$C254,IF('Dashboard'!$D$4="All","&lt;&gt;",'Dashboard'!$D$4)),""),"")</f>
        <v/>
      </c>
    </row>
    <row r="255">
      <c r="A255" s="23" t="n"/>
      <c r="B255" s="23" t="n"/>
      <c r="C255" s="23" t="n"/>
      <c r="D255" s="23" t="n"/>
      <c r="E255" s="23" t="n"/>
      <c r="F255" s="24">
        <f>IFERROR(IF($E255="","",VLOOKUP($E255,'Settings'!$G$16:$M$115,2,0)),"")</f>
        <v/>
      </c>
      <c r="G255" s="25" t="n"/>
      <c r="H255" s="51" t="n"/>
      <c r="I255" s="51" t="n"/>
      <c r="J255" s="23" t="n"/>
      <c r="K255" s="23" t="n"/>
      <c r="L255" s="51" t="n"/>
      <c r="M255" s="27">
        <f>IFERROR(IF($A255="","",IF($J255="Approved",MAX(0,$L255-$H255),"")),"")</f>
        <v/>
      </c>
      <c r="N255" s="23" t="n"/>
      <c r="O255" s="51" t="n"/>
      <c r="P255" s="23" t="n"/>
      <c r="Q255" s="25" t="n"/>
      <c r="R255" s="28" t="n"/>
      <c r="S255" s="52" t="n"/>
      <c r="T255" s="52" t="n"/>
      <c r="U255" s="23" t="n"/>
      <c r="V255" s="30" t="n"/>
      <c r="W255" s="52" t="n"/>
      <c r="X255" s="53">
        <f>IFERROR(IF($A255="","",MAX(0,$R255*$S255-$T255)),"")</f>
        <v/>
      </c>
      <c r="Y255" s="53">
        <f>IFERROR(IF($A255="","",IF($U255="Yes",$X255*$V255,0)),"")</f>
        <v/>
      </c>
      <c r="Z255" s="53">
        <f>IFERROR(IF($A255="","",$X255+$Y255+$W255),"")</f>
        <v/>
      </c>
      <c r="AA255" s="28" t="n"/>
      <c r="AB255" s="51" t="n"/>
      <c r="AC255" s="24">
        <f>IFERROR(IF($A255="","",IF($N255="Canceled","Canceled",IF($AA255=0,"Not Received",IF($AA255&lt;$R255,"Partially Received",IF($AA255=$R255,"Fully Received","Over Received"))))),"")</f>
        <v/>
      </c>
      <c r="AD255" s="25" t="n"/>
      <c r="AE255" s="23" t="n"/>
      <c r="AF255" s="51" t="n"/>
      <c r="AG255" s="52" t="n"/>
      <c r="AH255" s="53">
        <f>IFERROR(IF($A255="","",IF($AG255="","",$AG255-$Z255)),"")</f>
        <v/>
      </c>
      <c r="AI255" s="32">
        <f>IFERROR(IF($A255="","",IF(OR($AG255="",$Z255=0),"",($AG255-$Z255)/$Z255)),"")</f>
        <v/>
      </c>
      <c r="AJ255" s="23" t="n"/>
      <c r="AK255" s="51" t="n"/>
      <c r="AL255" s="53">
        <f>IFERROR(IF($A255="","",IF(OR($N255="Canceled",$N255="Closed"),0,MAX($Z255-IF($AG255="",0,$AG255),0))),"")</f>
        <v/>
      </c>
      <c r="AM255" s="27">
        <f>IFERROR(IF($A255="","",IF(OR($N255="Closed",$N255="Canceled"),IF($O255="","",MAX(0,$O255-$H255)),MAX(0,TODAY()-$H255))),"")</f>
        <v/>
      </c>
      <c r="AN255" s="24">
        <f>IFERROR(IF($A255="","",IF($AA255&gt;$R255,"Over Received",IF(AND($J255="Approved",OR($K255="",$L255="")),"Approval Missing",IF(AND($J255="Pending",$AM255&gt;'Settings'!$B$7),"Approval Follow-Up",IF(AND($N255="Open",$I255&lt;&gt;"",$I255+'Settings'!$B$8&lt;TODAY(),$AA255&lt;$R255),"Delivery Overdue",IF(AND($AG255&lt;&gt;"",OR(ABS($AH255)&gt;'Settings'!$B$9,ABS($AI255)&gt;'Settings'!$B$10)),"Invoice Variance",IF(AND($N255="Open",$AM255&gt;'Settings'!$B$11),"Aging Open PO",""))))))),"")</f>
        <v/>
      </c>
      <c r="AO255" s="25" t="n"/>
      <c r="AP255" s="24">
        <f>IFERROR(IF(AND($AN255&lt;&gt;"",$N255&lt;&gt;"Closed",$N255&lt;&gt;"Canceled",OR('Dashboard'!$B$4="All",$B255='Dashboard'!$B$4),OR('Dashboard'!$D$4="All",$C255='Dashboard'!$D$4)),COUNTIFS($AN$6:$AN255,"&lt;&gt;",$N$6:$N255,"&lt;&gt;Closed",$N$6:$N255,"&lt;&gt;Canceled",$B$6:$B255,IF('Dashboard'!$B$4="All","&lt;&gt;",'Dashboard'!$B$4),$C$6:$C255,IF('Dashboard'!$D$4="All","&lt;&gt;",'Dashboard'!$D$4)),""),"")</f>
        <v/>
      </c>
    </row>
  </sheetData>
  <mergeCells count="1">
    <mergeCell ref="A1:AO1"/>
  </mergeCells>
  <conditionalFormatting sqref="A6:A255">
    <cfRule type="expression" priority="1" dxfId="0">
      <formula>AND($A6&lt;&gt;"",COUNTIF($A$6:$A$255,$A6)&gt;1)</formula>
    </cfRule>
  </conditionalFormatting>
  <conditionalFormatting sqref="J6:J255">
    <cfRule type="expression" priority="2" dxfId="1">
      <formula>$J6="Pending"</formula>
    </cfRule>
    <cfRule type="expression" priority="3" dxfId="0">
      <formula>$J6="Rejected"</formula>
    </cfRule>
  </conditionalFormatting>
  <conditionalFormatting sqref="AC6:AC255">
    <cfRule type="expression" priority="4" dxfId="2">
      <formula>$AC6="Fully Received"</formula>
    </cfRule>
    <cfRule type="expression" priority="5" dxfId="0">
      <formula>$AC6="Over Received"</formula>
    </cfRule>
  </conditionalFormatting>
  <conditionalFormatting sqref="AN6:AN255">
    <cfRule type="expression" priority="6" dxfId="0">
      <formula>OR($AN6="Over Received",$AN6="Approval Missing",$AN6="Delivery Overdue",$AN6="Invoice Variance")</formula>
    </cfRule>
    <cfRule type="expression" priority="7" dxfId="1">
      <formula>OR($AN6="Approval Follow-Up",$AN6="Aging Open PO")</formula>
    </cfRule>
  </conditionalFormatting>
  <dataValidations count="12">
    <dataValidation sqref="B6:B255" showDropDown="0" showInputMessage="0" showErrorMessage="0" allowBlank="0" errorTitle="Invalid selection" error="Select a value from the Settings list." type="list">
      <formula1>'Settings'!$A$16:$A$115</formula1>
    </dataValidation>
    <dataValidation sqref="C6:C255" showDropDown="0" showInputMessage="0" showErrorMessage="0" allowBlank="0" errorTitle="Invalid selection" error="Select a value from the Settings list." type="list">
      <formula1>'Settings'!$D$16:$D$115</formula1>
    </dataValidation>
    <dataValidation sqref="E6:E255" showDropDown="0" showInputMessage="0" showErrorMessage="0" allowBlank="0" errorTitle="Invalid selection" error="Select a value from the Settings list." type="list">
      <formula1>'Settings'!$G$16:$G$115</formula1>
    </dataValidation>
    <dataValidation sqref="J6:J255" showDropDown="0" showInputMessage="0" showErrorMessage="0" allowBlank="0" errorTitle="Invalid selection" error="Select a value from the Settings list." type="list">
      <formula1>'Settings'!$S$16:$S$19</formula1>
    </dataValidation>
    <dataValidation sqref="N6:N255" showDropDown="0" showInputMessage="0" showErrorMessage="0" allowBlank="0" errorTitle="Invalid selection" error="Select a value from the Settings list." type="list">
      <formula1>'Settings'!$T$16:$T$19</formula1>
    </dataValidation>
    <dataValidation sqref="P6:P255" showDropDown="0" showInputMessage="0" showErrorMessage="0" allowBlank="0" errorTitle="Invalid selection" error="Select a value from the Settings list." type="list">
      <formula1>'Settings'!$O$16:$O$115</formula1>
    </dataValidation>
    <dataValidation sqref="U6:U255" showDropDown="0" showInputMessage="0" showErrorMessage="0" allowBlank="0" errorTitle="Invalid selection" error="Select a value from the Settings list." type="list">
      <formula1>'Settings'!$V$16:$V$17</formula1>
    </dataValidation>
    <dataValidation sqref="AJ6:AJ255" showDropDown="0" showInputMessage="0" showErrorMessage="0" allowBlank="0" errorTitle="Invalid selection" error="Select a value from the Settings list." type="list">
      <formula1>'Settings'!$U$16:$U$20</formula1>
    </dataValidation>
    <dataValidation sqref="H6:I255 L6:L255 O6:O255 AB6:AB255 AF6:AF255 AK6:AK255" showDropDown="0" showInputMessage="0" showErrorMessage="0" allowBlank="0" type="date" operator="between">
      <formula1>DATE(2000,1,1)</formula1>
      <formula2>DATE(2100,12,31)</formula2>
    </dataValidation>
    <dataValidation sqref="R6:R255" showDropDown="0" showInputMessage="0" showErrorMessage="0" allowBlank="0" type="decimal" operator="greaterThan">
      <formula1>0</formula1>
    </dataValidation>
    <dataValidation sqref="S6:T255 W6:W255 AA6:AA255 AG6:AG255" showDropDown="0" showInputMessage="0" showErrorMessage="0" allowBlank="0" type="decimal" operator="greaterThanOrEqual">
      <formula1>0</formula1>
    </dataValidation>
    <dataValidation sqref="V6:V255" showDropDown="0" showInputMessage="0" showErrorMessage="0" allowBlank="0" type="decimal" operator="between">
      <formula1>0</formula1>
      <formula2>0.2</formula2>
    </dataValidation>
  </dataValidations>
  <pageMargins left="0.75" right="0.75" top="1" bottom="1" header="0.5" footer="0.5"/>
  <pageSetup orientation="landscape" fitToHeight="0" fitToWidth="1"/>
  <headerFooter>
    <oddHeader/>
    <oddFooter>&amp;CHotel Purchase Order Tracker&amp;RPage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W216"/>
  <sheetViews>
    <sheetView zoomScale="70" zoomScaleNormal="70" workbookViewId="0">
      <pane ySplit="14" topLeftCell="A15" activePane="bottomLeft" state="frozen"/>
      <selection pane="bottomLeft" activeCell="A1" sqref="A1"/>
    </sheetView>
  </sheetViews>
  <sheetFormatPr baseColWidth="8" defaultRowHeight="15"/>
  <cols>
    <col width="30" customWidth="1" min="1" max="1"/>
    <col width="16" customWidth="1" min="2" max="2"/>
    <col width="27" customWidth="1" min="4" max="4"/>
    <col width="14" customWidth="1" min="5" max="5"/>
    <col width="12" customWidth="1" min="7" max="7"/>
    <col width="31" customWidth="1" min="8" max="8"/>
    <col width="30" customWidth="1" min="9" max="9"/>
    <col width="20" customWidth="1" min="10" max="10"/>
    <col width="17" customWidth="1" min="11" max="11"/>
    <col width="31" customWidth="1" min="12" max="12"/>
    <col width="12" customWidth="1" min="13" max="13"/>
    <col width="17" customWidth="1" min="15" max="15"/>
    <col width="31" customWidth="1" min="16" max="16"/>
    <col width="12" customWidth="1" min="17" max="17"/>
    <col width="24" customWidth="1" min="19" max="19"/>
    <col width="24" customWidth="1" min="20" max="20"/>
    <col width="24" customWidth="1" min="21" max="21"/>
    <col width="24" customWidth="1" min="22" max="22"/>
    <col width="24" customWidth="1" min="23" max="23"/>
  </cols>
  <sheetData>
    <row r="1">
      <c r="A1" s="1" t="inlineStr">
        <is>
          <t>Purchase Order Settings</t>
        </is>
      </c>
    </row>
    <row r="2" ht="30" customHeight="1">
      <c r="A2" s="33" t="inlineStr">
        <is>
          <t>Edit the blue input cells to match the property's purchasing practices. Confirm tax treatment and approval rules with the organization.</t>
        </is>
      </c>
    </row>
    <row r="4">
      <c r="A4" s="11" t="inlineStr">
        <is>
          <t>Setting</t>
        </is>
      </c>
      <c r="B4" s="11" t="inlineStr">
        <is>
          <t>Initial Value</t>
        </is>
      </c>
      <c r="C4" s="11" t="inlineStr">
        <is>
          <t>Format</t>
        </is>
      </c>
      <c r="D4" s="11" t="inlineStr">
        <is>
          <t>Purpose</t>
        </is>
      </c>
    </row>
    <row r="5">
      <c r="A5" s="34" t="inlineStr">
        <is>
          <t>Default Sales Tax Rate</t>
        </is>
      </c>
      <c r="B5" s="35" t="n">
        <v>0.0625</v>
      </c>
      <c r="C5" s="34" t="inlineStr">
        <is>
          <t>0.00%</t>
        </is>
      </c>
      <c r="D5" s="36" t="inlineStr">
        <is>
          <t>Starting tax rate for new purchase orders; confirm applicability</t>
        </is>
      </c>
    </row>
    <row r="6">
      <c r="A6" s="34" t="inlineStr">
        <is>
          <t>Approval Amount Threshold</t>
        </is>
      </c>
      <c r="B6" s="54" t="n">
        <v>2500</v>
      </c>
      <c r="C6" s="34" t="inlineStr">
        <is>
          <t>$#,##0.00</t>
        </is>
      </c>
      <c r="D6" s="36" t="inlineStr">
        <is>
          <t>Internal review reference only</t>
        </is>
      </c>
    </row>
    <row r="7">
      <c r="A7" s="34" t="inlineStr">
        <is>
          <t>Approval Follow-Up Days</t>
        </is>
      </c>
      <c r="B7" s="38" t="n">
        <v>3</v>
      </c>
      <c r="C7" s="34" t="inlineStr">
        <is>
          <t>0</t>
        </is>
      </c>
      <c r="D7" s="36" t="inlineStr">
        <is>
          <t>Days before a pending approval is flagged</t>
        </is>
      </c>
    </row>
    <row r="8">
      <c r="A8" s="34" t="inlineStr">
        <is>
          <t>Delivery Grace Days</t>
        </is>
      </c>
      <c r="B8" s="38" t="n">
        <v>0</v>
      </c>
      <c r="C8" s="34" t="inlineStr">
        <is>
          <t>0</t>
        </is>
      </c>
      <c r="D8" s="36" t="inlineStr">
        <is>
          <t>Days after the Need-By Date before delivery is flagged overdue</t>
        </is>
      </c>
    </row>
    <row r="9">
      <c r="A9" s="34" t="inlineStr">
        <is>
          <t>Invoice Variance Tolerance</t>
        </is>
      </c>
      <c r="B9" s="54" t="n">
        <v>25</v>
      </c>
      <c r="C9" s="34" t="inlineStr">
        <is>
          <t>$#,##0.00</t>
        </is>
      </c>
      <c r="D9" s="36" t="inlineStr">
        <is>
          <t>Dollar variance requiring review</t>
        </is>
      </c>
    </row>
    <row r="10">
      <c r="A10" s="34" t="inlineStr">
        <is>
          <t>Invoice Variance Percent Tolerance</t>
        </is>
      </c>
      <c r="B10" s="35" t="n">
        <v>0.02</v>
      </c>
      <c r="C10" s="34" t="inlineStr">
        <is>
          <t>0.00%</t>
        </is>
      </c>
      <c r="D10" s="36" t="inlineStr">
        <is>
          <t>Percentage variance requiring review</t>
        </is>
      </c>
    </row>
    <row r="11">
      <c r="A11" s="34" t="inlineStr">
        <is>
          <t>Open PO Aging Threshold</t>
        </is>
      </c>
      <c r="B11" s="38" t="n">
        <v>30</v>
      </c>
      <c r="C11" s="34" t="inlineStr">
        <is>
          <t>0</t>
        </is>
      </c>
      <c r="D11" s="36" t="inlineStr">
        <is>
          <t>Days before an open purchase order is flagged for review</t>
        </is>
      </c>
    </row>
    <row r="13">
      <c r="A13" s="10" t="inlineStr">
        <is>
          <t>Property List</t>
        </is>
      </c>
      <c r="D13" s="10" t="inlineStr">
        <is>
          <t>Department List</t>
        </is>
      </c>
      <c r="G13" s="10" t="inlineStr">
        <is>
          <t>Vendor List</t>
        </is>
      </c>
      <c r="O13" s="10" t="inlineStr">
        <is>
          <t>Cost Code List</t>
        </is>
      </c>
      <c r="S13" s="10" t="inlineStr">
        <is>
          <t>Dropdown Support Lists</t>
        </is>
      </c>
    </row>
    <row r="15">
      <c r="A15" s="11" t="inlineStr">
        <is>
          <t>Property</t>
        </is>
      </c>
      <c r="B15" s="11" t="inlineStr">
        <is>
          <t>Active</t>
        </is>
      </c>
      <c r="D15" s="11" t="inlineStr">
        <is>
          <t>Department</t>
        </is>
      </c>
      <c r="E15" s="11" t="inlineStr">
        <is>
          <t>Active</t>
        </is>
      </c>
      <c r="G15" s="11" t="inlineStr">
        <is>
          <t>Vendor ID</t>
        </is>
      </c>
      <c r="H15" s="11" t="inlineStr">
        <is>
          <t>Vendor Name</t>
        </is>
      </c>
      <c r="I15" s="11" t="inlineStr">
        <is>
          <t>Primary Category</t>
        </is>
      </c>
      <c r="J15" s="11" t="inlineStr">
        <is>
          <t>Contact Name</t>
        </is>
      </c>
      <c r="K15" s="11" t="inlineStr">
        <is>
          <t>Contact Phone</t>
        </is>
      </c>
      <c r="L15" s="11" t="inlineStr">
        <is>
          <t>Contact Email</t>
        </is>
      </c>
      <c r="M15" s="11" t="inlineStr">
        <is>
          <t>Active</t>
        </is>
      </c>
      <c r="O15" s="11" t="inlineStr">
        <is>
          <t>Cost Code</t>
        </is>
      </c>
      <c r="P15" s="11" t="inlineStr">
        <is>
          <t>Cost Code Description</t>
        </is>
      </c>
      <c r="Q15" s="11" t="inlineStr">
        <is>
          <t>Active</t>
        </is>
      </c>
      <c r="S15" s="4" t="inlineStr">
        <is>
          <t>Approval Status</t>
        </is>
      </c>
      <c r="T15" s="4" t="inlineStr">
        <is>
          <t>PO Status</t>
        </is>
      </c>
      <c r="U15" s="4" t="inlineStr">
        <is>
          <t>Payment Status</t>
        </is>
      </c>
      <c r="V15" s="4" t="inlineStr">
        <is>
          <t>Taxable</t>
        </is>
      </c>
      <c r="W15" s="4" t="inlineStr">
        <is>
          <t>Active Status</t>
        </is>
      </c>
    </row>
    <row r="16">
      <c r="A16" s="39" t="inlineStr">
        <is>
          <t>Harbor View Hotel</t>
        </is>
      </c>
      <c r="B16" s="39" t="inlineStr">
        <is>
          <t>Yes</t>
        </is>
      </c>
      <c r="D16" s="39" t="inlineStr">
        <is>
          <t>Administration</t>
        </is>
      </c>
      <c r="E16" s="39" t="inlineStr">
        <is>
          <t>Yes</t>
        </is>
      </c>
      <c r="G16" s="39" t="inlineStr">
        <is>
          <t>V001</t>
        </is>
      </c>
      <c r="H16" s="39" t="inlineStr">
        <is>
          <t>Coastal Hospitality Textiles</t>
        </is>
      </c>
      <c r="I16" s="39" t="inlineStr">
        <is>
          <t>Linens and guest supplies</t>
        </is>
      </c>
      <c r="J16" s="39" t="inlineStr">
        <is>
          <t>Erin Wallace</t>
        </is>
      </c>
      <c r="K16" s="39" t="inlineStr">
        <is>
          <t>617-555-0142</t>
        </is>
      </c>
      <c r="L16" s="39" t="inlineStr">
        <is>
          <t>erin.wallace@example.com</t>
        </is>
      </c>
      <c r="M16" s="39" t="inlineStr">
        <is>
          <t>Yes</t>
        </is>
      </c>
      <c r="O16" s="39" t="inlineStr">
        <is>
          <t>ADM-TECH</t>
        </is>
      </c>
      <c r="P16" s="39" t="inlineStr">
        <is>
          <t>Administration technology</t>
        </is>
      </c>
      <c r="Q16" s="39" t="inlineStr">
        <is>
          <t>Yes</t>
        </is>
      </c>
      <c r="S16" s="40" t="inlineStr">
        <is>
          <t>Pending</t>
        </is>
      </c>
      <c r="T16" s="40" t="inlineStr">
        <is>
          <t>Draft</t>
        </is>
      </c>
      <c r="U16" s="40" t="inlineStr">
        <is>
          <t>Not Invoiced</t>
        </is>
      </c>
      <c r="V16" s="40" t="inlineStr">
        <is>
          <t>Yes</t>
        </is>
      </c>
      <c r="W16" s="40" t="inlineStr">
        <is>
          <t>Yes</t>
        </is>
      </c>
    </row>
    <row r="17">
      <c r="A17" s="39" t="inlineStr">
        <is>
          <t>Lakeside Conference Center</t>
        </is>
      </c>
      <c r="B17" s="39" t="inlineStr">
        <is>
          <t>Yes</t>
        </is>
      </c>
      <c r="D17" s="39" t="inlineStr">
        <is>
          <t>Engineering</t>
        </is>
      </c>
      <c r="E17" s="39" t="inlineStr">
        <is>
          <t>Yes</t>
        </is>
      </c>
      <c r="G17" s="39" t="inlineStr">
        <is>
          <t>V002</t>
        </is>
      </c>
      <c r="H17" s="39" t="inlineStr">
        <is>
          <t>Metro Building Systems</t>
        </is>
      </c>
      <c r="I17" s="39" t="inlineStr">
        <is>
          <t>Engineering supplies</t>
        </is>
      </c>
      <c r="J17" s="39" t="inlineStr">
        <is>
          <t>Marcus Hill</t>
        </is>
      </c>
      <c r="K17" s="39" t="inlineStr">
        <is>
          <t>617-555-0168</t>
        </is>
      </c>
      <c r="L17" s="39" t="inlineStr">
        <is>
          <t>marcus.hill@example.com</t>
        </is>
      </c>
      <c r="M17" s="39" t="inlineStr">
        <is>
          <t>Yes</t>
        </is>
      </c>
      <c r="O17" s="39" t="inlineStr">
        <is>
          <t>ENG-HVAC</t>
        </is>
      </c>
      <c r="P17" s="39" t="inlineStr">
        <is>
          <t>HVAC supplies</t>
        </is>
      </c>
      <c r="Q17" s="39" t="inlineStr">
        <is>
          <t>Yes</t>
        </is>
      </c>
      <c r="S17" s="40" t="inlineStr">
        <is>
          <t>Approved</t>
        </is>
      </c>
      <c r="T17" s="40" t="inlineStr">
        <is>
          <t>Open</t>
        </is>
      </c>
      <c r="U17" s="40" t="inlineStr">
        <is>
          <t>Invoice Received</t>
        </is>
      </c>
      <c r="V17" s="40" t="inlineStr">
        <is>
          <t>No</t>
        </is>
      </c>
      <c r="W17" s="40" t="inlineStr">
        <is>
          <t>No</t>
        </is>
      </c>
    </row>
    <row r="18">
      <c r="A18" s="39" t="inlineStr"/>
      <c r="B18" s="39" t="inlineStr"/>
      <c r="D18" s="39" t="inlineStr">
        <is>
          <t>Events</t>
        </is>
      </c>
      <c r="E18" s="39" t="inlineStr">
        <is>
          <t>Yes</t>
        </is>
      </c>
      <c r="G18" s="39" t="inlineStr">
        <is>
          <t>V003</t>
        </is>
      </c>
      <c r="H18" s="39" t="inlineStr">
        <is>
          <t>Beacon Glass and Serviceware</t>
        </is>
      </c>
      <c r="I18" s="39" t="inlineStr">
        <is>
          <t>Food and beverage smallwares</t>
        </is>
      </c>
      <c r="J18" s="39" t="inlineStr">
        <is>
          <t>Chloe Martin</t>
        </is>
      </c>
      <c r="K18" s="39" t="inlineStr">
        <is>
          <t>617-555-0116</t>
        </is>
      </c>
      <c r="L18" s="39" t="inlineStr">
        <is>
          <t>chloe.martin@example.com</t>
        </is>
      </c>
      <c r="M18" s="39" t="inlineStr">
        <is>
          <t>Yes</t>
        </is>
      </c>
      <c r="O18" s="39" t="inlineStr">
        <is>
          <t>ENG-REPAIR</t>
        </is>
      </c>
      <c r="P18" s="39" t="inlineStr">
        <is>
          <t>Engineering repairs</t>
        </is>
      </c>
      <c r="Q18" s="39" t="inlineStr">
        <is>
          <t>Yes</t>
        </is>
      </c>
      <c r="S18" s="40" t="inlineStr">
        <is>
          <t>Rejected</t>
        </is>
      </c>
      <c r="T18" s="40" t="inlineStr">
        <is>
          <t>Closed</t>
        </is>
      </c>
      <c r="U18" s="40" t="inlineStr">
        <is>
          <t>Submitted for Payment</t>
        </is>
      </c>
    </row>
    <row r="19">
      <c r="A19" s="39" t="inlineStr"/>
      <c r="B19" s="39" t="inlineStr"/>
      <c r="D19" s="39" t="inlineStr">
        <is>
          <t>Food and Beverage</t>
        </is>
      </c>
      <c r="E19" s="39" t="inlineStr">
        <is>
          <t>Yes</t>
        </is>
      </c>
      <c r="G19" s="39" t="inlineStr">
        <is>
          <t>V004</t>
        </is>
      </c>
      <c r="H19" s="39" t="inlineStr">
        <is>
          <t>Guest Access Supply Company</t>
        </is>
      </c>
      <c r="I19" s="39" t="inlineStr">
        <is>
          <t>Front office and security supplies</t>
        </is>
      </c>
      <c r="J19" s="39" t="inlineStr">
        <is>
          <t>Owen Clark</t>
        </is>
      </c>
      <c r="K19" s="39" t="inlineStr">
        <is>
          <t>617-555-0187</t>
        </is>
      </c>
      <c r="L19" s="39" t="inlineStr">
        <is>
          <t>owen.clark@example.com</t>
        </is>
      </c>
      <c r="M19" s="39" t="inlineStr">
        <is>
          <t>Yes</t>
        </is>
      </c>
      <c r="O19" s="39" t="inlineStr">
        <is>
          <t>EVT-RENTAL</t>
        </is>
      </c>
      <c r="P19" s="39" t="inlineStr">
        <is>
          <t>Event equipment rental</t>
        </is>
      </c>
      <c r="Q19" s="39" t="inlineStr">
        <is>
          <t>Yes</t>
        </is>
      </c>
      <c r="S19" s="40" t="inlineStr">
        <is>
          <t>Not Required</t>
        </is>
      </c>
      <c r="T19" s="40" t="inlineStr">
        <is>
          <t>Canceled</t>
        </is>
      </c>
      <c r="U19" s="40" t="inlineStr">
        <is>
          <t>Paid</t>
        </is>
      </c>
    </row>
    <row r="20">
      <c r="A20" s="39" t="inlineStr"/>
      <c r="B20" s="39" t="inlineStr"/>
      <c r="D20" s="39" t="inlineStr">
        <is>
          <t>Front Office</t>
        </is>
      </c>
      <c r="E20" s="39" t="inlineStr">
        <is>
          <t>Yes</t>
        </is>
      </c>
      <c r="G20" s="39" t="inlineStr">
        <is>
          <t>V005</t>
        </is>
      </c>
      <c r="H20" s="39" t="inlineStr">
        <is>
          <t>Premier Event Staging</t>
        </is>
      </c>
      <c r="I20" s="39" t="inlineStr">
        <is>
          <t>Event rentals</t>
        </is>
      </c>
      <c r="J20" s="39" t="inlineStr">
        <is>
          <t>Lauren Perry</t>
        </is>
      </c>
      <c r="K20" s="39" t="inlineStr">
        <is>
          <t>312-555-0135</t>
        </is>
      </c>
      <c r="L20" s="39" t="inlineStr">
        <is>
          <t>lauren.perry@example.com</t>
        </is>
      </c>
      <c r="M20" s="39" t="inlineStr">
        <is>
          <t>Yes</t>
        </is>
      </c>
      <c r="O20" s="39" t="inlineStr">
        <is>
          <t>FB-FOOD</t>
        </is>
      </c>
      <c r="P20" s="39" t="inlineStr">
        <is>
          <t>Food and beverage supplies</t>
        </is>
      </c>
      <c r="Q20" s="39" t="inlineStr">
        <is>
          <t>Yes</t>
        </is>
      </c>
      <c r="U20" s="40" t="inlineStr">
        <is>
          <t>On Hold</t>
        </is>
      </c>
    </row>
    <row r="21">
      <c r="A21" s="39" t="inlineStr"/>
      <c r="B21" s="39" t="inlineStr"/>
      <c r="D21" s="39" t="inlineStr">
        <is>
          <t>Housekeeping</t>
        </is>
      </c>
      <c r="E21" s="39" t="inlineStr">
        <is>
          <t>Yes</t>
        </is>
      </c>
      <c r="G21" s="39" t="inlineStr">
        <is>
          <t>V006</t>
        </is>
      </c>
      <c r="H21" s="39" t="inlineStr">
        <is>
          <t>Summit Mechanical Parts</t>
        </is>
      </c>
      <c r="I21" s="39" t="inlineStr">
        <is>
          <t>HVAC and mechanical parts</t>
        </is>
      </c>
      <c r="J21" s="39" t="inlineStr">
        <is>
          <t>Caleb Ross</t>
        </is>
      </c>
      <c r="K21" s="39" t="inlineStr">
        <is>
          <t>312-555-0191</t>
        </is>
      </c>
      <c r="L21" s="39" t="inlineStr">
        <is>
          <t>caleb.ross@example.com</t>
        </is>
      </c>
      <c r="M21" s="39" t="inlineStr">
        <is>
          <t>Yes</t>
        </is>
      </c>
      <c r="O21" s="39" t="inlineStr">
        <is>
          <t>FB-SMALLWARE</t>
        </is>
      </c>
      <c r="P21" s="39" t="inlineStr">
        <is>
          <t>Food and beverage smallwares</t>
        </is>
      </c>
      <c r="Q21" s="39" t="inlineStr">
        <is>
          <t>Yes</t>
        </is>
      </c>
    </row>
    <row r="22">
      <c r="A22" s="39" t="inlineStr"/>
      <c r="B22" s="39" t="inlineStr"/>
      <c r="D22" s="39" t="inlineStr">
        <is>
          <t>Security</t>
        </is>
      </c>
      <c r="E22" s="39" t="inlineStr">
        <is>
          <t>Yes</t>
        </is>
      </c>
      <c r="G22" s="39" t="inlineStr">
        <is>
          <t>V007</t>
        </is>
      </c>
      <c r="H22" s="39" t="inlineStr">
        <is>
          <t>Grand Table Foods</t>
        </is>
      </c>
      <c r="I22" s="39" t="inlineStr">
        <is>
          <t>Food and beverage supplies</t>
        </is>
      </c>
      <c r="J22" s="39" t="inlineStr">
        <is>
          <t>Nina Foster</t>
        </is>
      </c>
      <c r="K22" s="39" t="inlineStr">
        <is>
          <t>312-555-0124</t>
        </is>
      </c>
      <c r="L22" s="39" t="inlineStr">
        <is>
          <t>nina.foster@example.com</t>
        </is>
      </c>
      <c r="M22" s="39" t="inlineStr">
        <is>
          <t>Yes</t>
        </is>
      </c>
      <c r="O22" s="39" t="inlineStr">
        <is>
          <t>FO-SUPPLIES</t>
        </is>
      </c>
      <c r="P22" s="39" t="inlineStr">
        <is>
          <t>Front office supplies</t>
        </is>
      </c>
      <c r="Q22" s="39" t="inlineStr">
        <is>
          <t>Yes</t>
        </is>
      </c>
    </row>
    <row r="23">
      <c r="A23" s="39" t="inlineStr"/>
      <c r="B23" s="39" t="inlineStr"/>
      <c r="D23" s="39" t="inlineStr"/>
      <c r="E23" s="39" t="inlineStr"/>
      <c r="G23" s="39" t="inlineStr">
        <is>
          <t>V008</t>
        </is>
      </c>
      <c r="H23" s="39" t="inlineStr">
        <is>
          <t>Northstar Business Technology</t>
        </is>
      </c>
      <c r="I23" s="39" t="inlineStr">
        <is>
          <t>Office technology</t>
        </is>
      </c>
      <c r="J23" s="39" t="inlineStr">
        <is>
          <t>Adam Ward</t>
        </is>
      </c>
      <c r="K23" s="39" t="inlineStr">
        <is>
          <t>617-555-0173</t>
        </is>
      </c>
      <c r="L23" s="39" t="inlineStr">
        <is>
          <t>adam.ward@example.com</t>
        </is>
      </c>
      <c r="M23" s="39" t="inlineStr">
        <is>
          <t>Yes</t>
        </is>
      </c>
      <c r="O23" s="39" t="inlineStr">
        <is>
          <t>HK-AMENITY</t>
        </is>
      </c>
      <c r="P23" s="39" t="inlineStr">
        <is>
          <t>Guest room amenities</t>
        </is>
      </c>
      <c r="Q23" s="39" t="inlineStr">
        <is>
          <t>Yes</t>
        </is>
      </c>
    </row>
    <row r="24">
      <c r="A24" s="39" t="inlineStr"/>
      <c r="B24" s="39" t="inlineStr"/>
      <c r="D24" s="39" t="inlineStr"/>
      <c r="E24" s="39" t="inlineStr"/>
      <c r="G24" s="39" t="inlineStr"/>
      <c r="H24" s="39" t="inlineStr"/>
      <c r="I24" s="39" t="inlineStr"/>
      <c r="J24" s="39" t="inlineStr"/>
      <c r="K24" s="39" t="inlineStr"/>
      <c r="L24" s="39" t="inlineStr"/>
      <c r="M24" s="39" t="inlineStr"/>
      <c r="O24" s="39" t="inlineStr">
        <is>
          <t>HK-LINEN</t>
        </is>
      </c>
      <c r="P24" s="39" t="inlineStr">
        <is>
          <t>Guest room linen</t>
        </is>
      </c>
      <c r="Q24" s="39" t="inlineStr">
        <is>
          <t>Yes</t>
        </is>
      </c>
    </row>
    <row r="25">
      <c r="A25" s="39" t="inlineStr"/>
      <c r="B25" s="39" t="inlineStr"/>
      <c r="D25" s="39" t="inlineStr"/>
      <c r="E25" s="39" t="inlineStr"/>
      <c r="G25" s="39" t="inlineStr"/>
      <c r="H25" s="39" t="inlineStr"/>
      <c r="I25" s="39" t="inlineStr"/>
      <c r="J25" s="39" t="inlineStr"/>
      <c r="K25" s="39" t="inlineStr"/>
      <c r="L25" s="39" t="inlineStr"/>
      <c r="M25" s="39" t="inlineStr"/>
      <c r="O25" s="39" t="inlineStr">
        <is>
          <t>SEC-SUPPLIES</t>
        </is>
      </c>
      <c r="P25" s="39" t="inlineStr">
        <is>
          <t>Security supplies</t>
        </is>
      </c>
      <c r="Q25" s="39" t="inlineStr">
        <is>
          <t>Yes</t>
        </is>
      </c>
    </row>
    <row r="26">
      <c r="A26" s="39" t="inlineStr"/>
      <c r="B26" s="39" t="inlineStr"/>
      <c r="D26" s="39" t="inlineStr"/>
      <c r="E26" s="39" t="inlineStr"/>
      <c r="G26" s="39" t="inlineStr"/>
      <c r="H26" s="39" t="inlineStr"/>
      <c r="I26" s="39" t="inlineStr"/>
      <c r="J26" s="39" t="inlineStr"/>
      <c r="K26" s="39" t="inlineStr"/>
      <c r="L26" s="39" t="inlineStr"/>
      <c r="M26" s="39" t="inlineStr"/>
      <c r="O26" s="39" t="inlineStr"/>
      <c r="P26" s="39" t="inlineStr"/>
      <c r="Q26" s="39" t="inlineStr"/>
    </row>
    <row r="27">
      <c r="A27" s="39" t="inlineStr"/>
      <c r="B27" s="39" t="inlineStr"/>
      <c r="D27" s="39" t="inlineStr"/>
      <c r="E27" s="39" t="inlineStr"/>
      <c r="G27" s="39" t="inlineStr"/>
      <c r="H27" s="39" t="inlineStr"/>
      <c r="I27" s="39" t="inlineStr"/>
      <c r="J27" s="39" t="inlineStr"/>
      <c r="K27" s="39" t="inlineStr"/>
      <c r="L27" s="39" t="inlineStr"/>
      <c r="M27" s="39" t="inlineStr"/>
      <c r="O27" s="39" t="inlineStr"/>
      <c r="P27" s="39" t="inlineStr"/>
      <c r="Q27" s="39" t="inlineStr"/>
    </row>
    <row r="28">
      <c r="A28" s="39" t="inlineStr"/>
      <c r="B28" s="39" t="inlineStr"/>
      <c r="D28" s="39" t="inlineStr"/>
      <c r="E28" s="39" t="inlineStr"/>
      <c r="G28" s="39" t="inlineStr"/>
      <c r="H28" s="39" t="inlineStr"/>
      <c r="I28" s="39" t="inlineStr"/>
      <c r="J28" s="39" t="inlineStr"/>
      <c r="K28" s="39" t="inlineStr"/>
      <c r="L28" s="39" t="inlineStr"/>
      <c r="M28" s="39" t="inlineStr"/>
      <c r="O28" s="39" t="inlineStr"/>
      <c r="P28" s="39" t="inlineStr"/>
      <c r="Q28" s="39" t="inlineStr"/>
    </row>
    <row r="29">
      <c r="A29" s="39" t="inlineStr"/>
      <c r="B29" s="39" t="inlineStr"/>
      <c r="D29" s="39" t="inlineStr"/>
      <c r="E29" s="39" t="inlineStr"/>
      <c r="G29" s="39" t="inlineStr"/>
      <c r="H29" s="39" t="inlineStr"/>
      <c r="I29" s="39" t="inlineStr"/>
      <c r="J29" s="39" t="inlineStr"/>
      <c r="K29" s="39" t="inlineStr"/>
      <c r="L29" s="39" t="inlineStr"/>
      <c r="M29" s="39" t="inlineStr"/>
      <c r="O29" s="39" t="inlineStr"/>
      <c r="P29" s="39" t="inlineStr"/>
      <c r="Q29" s="39" t="inlineStr"/>
    </row>
    <row r="30">
      <c r="A30" s="39" t="inlineStr"/>
      <c r="B30" s="39" t="inlineStr"/>
      <c r="D30" s="39" t="inlineStr"/>
      <c r="E30" s="39" t="inlineStr"/>
      <c r="G30" s="39" t="inlineStr"/>
      <c r="H30" s="39" t="inlineStr"/>
      <c r="I30" s="39" t="inlineStr"/>
      <c r="J30" s="39" t="inlineStr"/>
      <c r="K30" s="39" t="inlineStr"/>
      <c r="L30" s="39" t="inlineStr"/>
      <c r="M30" s="39" t="inlineStr"/>
      <c r="O30" s="39" t="inlineStr"/>
      <c r="P30" s="39" t="inlineStr"/>
      <c r="Q30" s="39" t="inlineStr"/>
    </row>
    <row r="31">
      <c r="A31" s="39" t="inlineStr"/>
      <c r="B31" s="39" t="inlineStr"/>
      <c r="D31" s="39" t="inlineStr"/>
      <c r="E31" s="39" t="inlineStr"/>
      <c r="G31" s="39" t="inlineStr"/>
      <c r="H31" s="39" t="inlineStr"/>
      <c r="I31" s="39" t="inlineStr"/>
      <c r="J31" s="39" t="inlineStr"/>
      <c r="K31" s="39" t="inlineStr"/>
      <c r="L31" s="39" t="inlineStr"/>
      <c r="M31" s="39" t="inlineStr"/>
      <c r="O31" s="39" t="inlineStr"/>
      <c r="P31" s="39" t="inlineStr"/>
      <c r="Q31" s="39" t="inlineStr"/>
    </row>
    <row r="32">
      <c r="A32" s="39" t="inlineStr"/>
      <c r="B32" s="39" t="inlineStr"/>
      <c r="D32" s="39" t="inlineStr"/>
      <c r="E32" s="39" t="inlineStr"/>
      <c r="G32" s="39" t="inlineStr"/>
      <c r="H32" s="39" t="inlineStr"/>
      <c r="I32" s="39" t="inlineStr"/>
      <c r="J32" s="39" t="inlineStr"/>
      <c r="K32" s="39" t="inlineStr"/>
      <c r="L32" s="39" t="inlineStr"/>
      <c r="M32" s="39" t="inlineStr"/>
      <c r="O32" s="39" t="inlineStr"/>
      <c r="P32" s="39" t="inlineStr"/>
      <c r="Q32" s="39" t="inlineStr"/>
    </row>
    <row r="33">
      <c r="A33" s="39" t="inlineStr"/>
      <c r="B33" s="39" t="inlineStr"/>
      <c r="D33" s="39" t="inlineStr"/>
      <c r="E33" s="39" t="inlineStr"/>
      <c r="G33" s="39" t="inlineStr"/>
      <c r="H33" s="39" t="inlineStr"/>
      <c r="I33" s="39" t="inlineStr"/>
      <c r="J33" s="39" t="inlineStr"/>
      <c r="K33" s="39" t="inlineStr"/>
      <c r="L33" s="39" t="inlineStr"/>
      <c r="M33" s="39" t="inlineStr"/>
      <c r="O33" s="39" t="inlineStr"/>
      <c r="P33" s="39" t="inlineStr"/>
      <c r="Q33" s="39" t="inlineStr"/>
    </row>
    <row r="34">
      <c r="A34" s="39" t="inlineStr"/>
      <c r="B34" s="39" t="inlineStr"/>
      <c r="D34" s="39" t="inlineStr"/>
      <c r="E34" s="39" t="inlineStr"/>
      <c r="G34" s="39" t="inlineStr"/>
      <c r="H34" s="39" t="inlineStr"/>
      <c r="I34" s="39" t="inlineStr"/>
      <c r="J34" s="39" t="inlineStr"/>
      <c r="K34" s="39" t="inlineStr"/>
      <c r="L34" s="39" t="inlineStr"/>
      <c r="M34" s="39" t="inlineStr"/>
      <c r="O34" s="39" t="inlineStr"/>
      <c r="P34" s="39" t="inlineStr"/>
      <c r="Q34" s="39" t="inlineStr"/>
    </row>
    <row r="35">
      <c r="A35" s="39" t="inlineStr"/>
      <c r="B35" s="39" t="inlineStr"/>
      <c r="D35" s="39" t="inlineStr"/>
      <c r="E35" s="39" t="inlineStr"/>
      <c r="G35" s="39" t="inlineStr"/>
      <c r="H35" s="39" t="inlineStr"/>
      <c r="I35" s="39" t="inlineStr"/>
      <c r="J35" s="39" t="inlineStr"/>
      <c r="K35" s="39" t="inlineStr"/>
      <c r="L35" s="39" t="inlineStr"/>
      <c r="M35" s="39" t="inlineStr"/>
      <c r="O35" s="39" t="inlineStr"/>
      <c r="P35" s="39" t="inlineStr"/>
      <c r="Q35" s="39" t="inlineStr"/>
    </row>
    <row r="36">
      <c r="A36" s="39" t="inlineStr"/>
      <c r="B36" s="39" t="inlineStr"/>
      <c r="D36" s="39" t="inlineStr"/>
      <c r="E36" s="39" t="inlineStr"/>
      <c r="G36" s="39" t="inlineStr"/>
      <c r="H36" s="39" t="inlineStr"/>
      <c r="I36" s="39" t="inlineStr"/>
      <c r="J36" s="39" t="inlineStr"/>
      <c r="K36" s="39" t="inlineStr"/>
      <c r="L36" s="39" t="inlineStr"/>
      <c r="M36" s="39" t="inlineStr"/>
      <c r="O36" s="39" t="inlineStr"/>
      <c r="P36" s="39" t="inlineStr"/>
      <c r="Q36" s="39" t="inlineStr"/>
    </row>
    <row r="37">
      <c r="A37" s="39" t="inlineStr"/>
      <c r="B37" s="39" t="inlineStr"/>
      <c r="D37" s="39" t="inlineStr"/>
      <c r="E37" s="39" t="inlineStr"/>
      <c r="G37" s="39" t="inlineStr"/>
      <c r="H37" s="39" t="inlineStr"/>
      <c r="I37" s="39" t="inlineStr"/>
      <c r="J37" s="39" t="inlineStr"/>
      <c r="K37" s="39" t="inlineStr"/>
      <c r="L37" s="39" t="inlineStr"/>
      <c r="M37" s="39" t="inlineStr"/>
      <c r="O37" s="39" t="inlineStr"/>
      <c r="P37" s="39" t="inlineStr"/>
      <c r="Q37" s="39" t="inlineStr"/>
    </row>
    <row r="38">
      <c r="A38" s="39" t="inlineStr"/>
      <c r="B38" s="39" t="inlineStr"/>
      <c r="D38" s="39" t="inlineStr"/>
      <c r="E38" s="39" t="inlineStr"/>
      <c r="G38" s="39" t="inlineStr"/>
      <c r="H38" s="39" t="inlineStr"/>
      <c r="I38" s="39" t="inlineStr"/>
      <c r="J38" s="39" t="inlineStr"/>
      <c r="K38" s="39" t="inlineStr"/>
      <c r="L38" s="39" t="inlineStr"/>
      <c r="M38" s="39" t="inlineStr"/>
      <c r="O38" s="39" t="inlineStr"/>
      <c r="P38" s="39" t="inlineStr"/>
      <c r="Q38" s="39" t="inlineStr"/>
    </row>
    <row r="39">
      <c r="A39" s="39" t="inlineStr"/>
      <c r="B39" s="39" t="inlineStr"/>
      <c r="D39" s="39" t="inlineStr"/>
      <c r="E39" s="39" t="inlineStr"/>
      <c r="G39" s="39" t="inlineStr"/>
      <c r="H39" s="39" t="inlineStr"/>
      <c r="I39" s="39" t="inlineStr"/>
      <c r="J39" s="39" t="inlineStr"/>
      <c r="K39" s="39" t="inlineStr"/>
      <c r="L39" s="39" t="inlineStr"/>
      <c r="M39" s="39" t="inlineStr"/>
      <c r="O39" s="39" t="inlineStr"/>
      <c r="P39" s="39" t="inlineStr"/>
      <c r="Q39" s="39" t="inlineStr"/>
    </row>
    <row r="40">
      <c r="A40" s="39" t="inlineStr"/>
      <c r="B40" s="39" t="inlineStr"/>
      <c r="D40" s="39" t="inlineStr"/>
      <c r="E40" s="39" t="inlineStr"/>
      <c r="G40" s="39" t="inlineStr"/>
      <c r="H40" s="39" t="inlineStr"/>
      <c r="I40" s="39" t="inlineStr"/>
      <c r="J40" s="39" t="inlineStr"/>
      <c r="K40" s="39" t="inlineStr"/>
      <c r="L40" s="39" t="inlineStr"/>
      <c r="M40" s="39" t="inlineStr"/>
      <c r="O40" s="39" t="inlineStr"/>
      <c r="P40" s="39" t="inlineStr"/>
      <c r="Q40" s="39" t="inlineStr"/>
    </row>
    <row r="41">
      <c r="A41" s="39" t="inlineStr"/>
      <c r="B41" s="39" t="inlineStr"/>
      <c r="D41" s="39" t="inlineStr"/>
      <c r="E41" s="39" t="inlineStr"/>
      <c r="G41" s="39" t="inlineStr"/>
      <c r="H41" s="39" t="inlineStr"/>
      <c r="I41" s="39" t="inlineStr"/>
      <c r="J41" s="39" t="inlineStr"/>
      <c r="K41" s="39" t="inlineStr"/>
      <c r="L41" s="39" t="inlineStr"/>
      <c r="M41" s="39" t="inlineStr"/>
      <c r="O41" s="39" t="inlineStr"/>
      <c r="P41" s="39" t="inlineStr"/>
      <c r="Q41" s="39" t="inlineStr"/>
    </row>
    <row r="42">
      <c r="A42" s="39" t="inlineStr"/>
      <c r="B42" s="39" t="inlineStr"/>
      <c r="D42" s="39" t="inlineStr"/>
      <c r="E42" s="39" t="inlineStr"/>
      <c r="G42" s="39" t="inlineStr"/>
      <c r="H42" s="39" t="inlineStr"/>
      <c r="I42" s="39" t="inlineStr"/>
      <c r="J42" s="39" t="inlineStr"/>
      <c r="K42" s="39" t="inlineStr"/>
      <c r="L42" s="39" t="inlineStr"/>
      <c r="M42" s="39" t="inlineStr"/>
      <c r="O42" s="39" t="inlineStr"/>
      <c r="P42" s="39" t="inlineStr"/>
      <c r="Q42" s="39" t="inlineStr"/>
    </row>
    <row r="43">
      <c r="A43" s="39" t="inlineStr"/>
      <c r="B43" s="39" t="inlineStr"/>
      <c r="D43" s="39" t="inlineStr"/>
      <c r="E43" s="39" t="inlineStr"/>
      <c r="G43" s="39" t="inlineStr"/>
      <c r="H43" s="39" t="inlineStr"/>
      <c r="I43" s="39" t="inlineStr"/>
      <c r="J43" s="39" t="inlineStr"/>
      <c r="K43" s="39" t="inlineStr"/>
      <c r="L43" s="39" t="inlineStr"/>
      <c r="M43" s="39" t="inlineStr"/>
      <c r="O43" s="39" t="inlineStr"/>
      <c r="P43" s="39" t="inlineStr"/>
      <c r="Q43" s="39" t="inlineStr"/>
    </row>
    <row r="44">
      <c r="A44" s="39" t="inlineStr"/>
      <c r="B44" s="39" t="inlineStr"/>
      <c r="D44" s="39" t="inlineStr"/>
      <c r="E44" s="39" t="inlineStr"/>
      <c r="G44" s="39" t="inlineStr"/>
      <c r="H44" s="39" t="inlineStr"/>
      <c r="I44" s="39" t="inlineStr"/>
      <c r="J44" s="39" t="inlineStr"/>
      <c r="K44" s="39" t="inlineStr"/>
      <c r="L44" s="39" t="inlineStr"/>
      <c r="M44" s="39" t="inlineStr"/>
      <c r="O44" s="39" t="inlineStr"/>
      <c r="P44" s="39" t="inlineStr"/>
      <c r="Q44" s="39" t="inlineStr"/>
    </row>
    <row r="45">
      <c r="A45" s="39" t="inlineStr"/>
      <c r="B45" s="39" t="inlineStr"/>
      <c r="D45" s="39" t="inlineStr"/>
      <c r="E45" s="39" t="inlineStr"/>
      <c r="G45" s="39" t="inlineStr"/>
      <c r="H45" s="39" t="inlineStr"/>
      <c r="I45" s="39" t="inlineStr"/>
      <c r="J45" s="39" t="inlineStr"/>
      <c r="K45" s="39" t="inlineStr"/>
      <c r="L45" s="39" t="inlineStr"/>
      <c r="M45" s="39" t="inlineStr"/>
      <c r="O45" s="39" t="inlineStr"/>
      <c r="P45" s="39" t="inlineStr"/>
      <c r="Q45" s="39" t="inlineStr"/>
    </row>
    <row r="46">
      <c r="A46" s="39" t="inlineStr"/>
      <c r="B46" s="39" t="inlineStr"/>
      <c r="D46" s="39" t="inlineStr"/>
      <c r="E46" s="39" t="inlineStr"/>
      <c r="G46" s="39" t="inlineStr"/>
      <c r="H46" s="39" t="inlineStr"/>
      <c r="I46" s="39" t="inlineStr"/>
      <c r="J46" s="39" t="inlineStr"/>
      <c r="K46" s="39" t="inlineStr"/>
      <c r="L46" s="39" t="inlineStr"/>
      <c r="M46" s="39" t="inlineStr"/>
      <c r="O46" s="39" t="inlineStr"/>
      <c r="P46" s="39" t="inlineStr"/>
      <c r="Q46" s="39" t="inlineStr"/>
    </row>
    <row r="47">
      <c r="A47" s="39" t="inlineStr"/>
      <c r="B47" s="39" t="inlineStr"/>
      <c r="D47" s="39" t="inlineStr"/>
      <c r="E47" s="39" t="inlineStr"/>
      <c r="G47" s="39" t="inlineStr"/>
      <c r="H47" s="39" t="inlineStr"/>
      <c r="I47" s="39" t="inlineStr"/>
      <c r="J47" s="39" t="inlineStr"/>
      <c r="K47" s="39" t="inlineStr"/>
      <c r="L47" s="39" t="inlineStr"/>
      <c r="M47" s="39" t="inlineStr"/>
      <c r="O47" s="39" t="inlineStr"/>
      <c r="P47" s="39" t="inlineStr"/>
      <c r="Q47" s="39" t="inlineStr"/>
    </row>
    <row r="48">
      <c r="A48" s="39" t="inlineStr"/>
      <c r="B48" s="39" t="inlineStr"/>
      <c r="D48" s="39" t="inlineStr"/>
      <c r="E48" s="39" t="inlineStr"/>
      <c r="G48" s="39" t="inlineStr"/>
      <c r="H48" s="39" t="inlineStr"/>
      <c r="I48" s="39" t="inlineStr"/>
      <c r="J48" s="39" t="inlineStr"/>
      <c r="K48" s="39" t="inlineStr"/>
      <c r="L48" s="39" t="inlineStr"/>
      <c r="M48" s="39" t="inlineStr"/>
      <c r="O48" s="39" t="inlineStr"/>
      <c r="P48" s="39" t="inlineStr"/>
      <c r="Q48" s="39" t="inlineStr"/>
    </row>
    <row r="49">
      <c r="A49" s="39" t="inlineStr"/>
      <c r="B49" s="39" t="inlineStr"/>
      <c r="D49" s="39" t="inlineStr"/>
      <c r="E49" s="39" t="inlineStr"/>
      <c r="G49" s="39" t="inlineStr"/>
      <c r="H49" s="39" t="inlineStr"/>
      <c r="I49" s="39" t="inlineStr"/>
      <c r="J49" s="39" t="inlineStr"/>
      <c r="K49" s="39" t="inlineStr"/>
      <c r="L49" s="39" t="inlineStr"/>
      <c r="M49" s="39" t="inlineStr"/>
      <c r="O49" s="39" t="inlineStr"/>
      <c r="P49" s="39" t="inlineStr"/>
      <c r="Q49" s="39" t="inlineStr"/>
    </row>
    <row r="50">
      <c r="A50" s="39" t="inlineStr"/>
      <c r="B50" s="39" t="inlineStr"/>
      <c r="D50" s="39" t="inlineStr"/>
      <c r="E50" s="39" t="inlineStr"/>
      <c r="G50" s="39" t="inlineStr"/>
      <c r="H50" s="39" t="inlineStr"/>
      <c r="I50" s="39" t="inlineStr"/>
      <c r="J50" s="39" t="inlineStr"/>
      <c r="K50" s="39" t="inlineStr"/>
      <c r="L50" s="39" t="inlineStr"/>
      <c r="M50" s="39" t="inlineStr"/>
      <c r="O50" s="39" t="inlineStr"/>
      <c r="P50" s="39" t="inlineStr"/>
      <c r="Q50" s="39" t="inlineStr"/>
    </row>
    <row r="51">
      <c r="A51" s="39" t="inlineStr"/>
      <c r="B51" s="39" t="inlineStr"/>
      <c r="D51" s="39" t="inlineStr"/>
      <c r="E51" s="39" t="inlineStr"/>
      <c r="G51" s="39" t="inlineStr"/>
      <c r="H51" s="39" t="inlineStr"/>
      <c r="I51" s="39" t="inlineStr"/>
      <c r="J51" s="39" t="inlineStr"/>
      <c r="K51" s="39" t="inlineStr"/>
      <c r="L51" s="39" t="inlineStr"/>
      <c r="M51" s="39" t="inlineStr"/>
      <c r="O51" s="39" t="inlineStr"/>
      <c r="P51" s="39" t="inlineStr"/>
      <c r="Q51" s="39" t="inlineStr"/>
    </row>
    <row r="52">
      <c r="A52" s="39" t="inlineStr"/>
      <c r="B52" s="39" t="inlineStr"/>
      <c r="D52" s="39" t="inlineStr"/>
      <c r="E52" s="39" t="inlineStr"/>
      <c r="G52" s="39" t="inlineStr"/>
      <c r="H52" s="39" t="inlineStr"/>
      <c r="I52" s="39" t="inlineStr"/>
      <c r="J52" s="39" t="inlineStr"/>
      <c r="K52" s="39" t="inlineStr"/>
      <c r="L52" s="39" t="inlineStr"/>
      <c r="M52" s="39" t="inlineStr"/>
      <c r="O52" s="39" t="inlineStr"/>
      <c r="P52" s="39" t="inlineStr"/>
      <c r="Q52" s="39" t="inlineStr"/>
    </row>
    <row r="53">
      <c r="A53" s="39" t="inlineStr"/>
      <c r="B53" s="39" t="inlineStr"/>
      <c r="D53" s="39" t="inlineStr"/>
      <c r="E53" s="39" t="inlineStr"/>
      <c r="G53" s="39" t="inlineStr"/>
      <c r="H53" s="39" t="inlineStr"/>
      <c r="I53" s="39" t="inlineStr"/>
      <c r="J53" s="39" t="inlineStr"/>
      <c r="K53" s="39" t="inlineStr"/>
      <c r="L53" s="39" t="inlineStr"/>
      <c r="M53" s="39" t="inlineStr"/>
      <c r="O53" s="39" t="inlineStr"/>
      <c r="P53" s="39" t="inlineStr"/>
      <c r="Q53" s="39" t="inlineStr"/>
    </row>
    <row r="54">
      <c r="A54" s="39" t="inlineStr"/>
      <c r="B54" s="39" t="inlineStr"/>
      <c r="D54" s="39" t="inlineStr"/>
      <c r="E54" s="39" t="inlineStr"/>
      <c r="G54" s="39" t="inlineStr"/>
      <c r="H54" s="39" t="inlineStr"/>
      <c r="I54" s="39" t="inlineStr"/>
      <c r="J54" s="39" t="inlineStr"/>
      <c r="K54" s="39" t="inlineStr"/>
      <c r="L54" s="39" t="inlineStr"/>
      <c r="M54" s="39" t="inlineStr"/>
      <c r="O54" s="39" t="inlineStr"/>
      <c r="P54" s="39" t="inlineStr"/>
      <c r="Q54" s="39" t="inlineStr"/>
    </row>
    <row r="55">
      <c r="A55" s="39" t="inlineStr"/>
      <c r="B55" s="39" t="inlineStr"/>
      <c r="D55" s="39" t="inlineStr"/>
      <c r="E55" s="39" t="inlineStr"/>
      <c r="G55" s="39" t="inlineStr"/>
      <c r="H55" s="39" t="inlineStr"/>
      <c r="I55" s="39" t="inlineStr"/>
      <c r="J55" s="39" t="inlineStr"/>
      <c r="K55" s="39" t="inlineStr"/>
      <c r="L55" s="39" t="inlineStr"/>
      <c r="M55" s="39" t="inlineStr"/>
      <c r="O55" s="39" t="inlineStr"/>
      <c r="P55" s="39" t="inlineStr"/>
      <c r="Q55" s="39" t="inlineStr"/>
    </row>
    <row r="56">
      <c r="A56" s="39" t="inlineStr"/>
      <c r="B56" s="39" t="inlineStr"/>
      <c r="D56" s="39" t="inlineStr"/>
      <c r="E56" s="39" t="inlineStr"/>
      <c r="G56" s="39" t="inlineStr"/>
      <c r="H56" s="39" t="inlineStr"/>
      <c r="I56" s="39" t="inlineStr"/>
      <c r="J56" s="39" t="inlineStr"/>
      <c r="K56" s="39" t="inlineStr"/>
      <c r="L56" s="39" t="inlineStr"/>
      <c r="M56" s="39" t="inlineStr"/>
      <c r="O56" s="39" t="inlineStr"/>
      <c r="P56" s="39" t="inlineStr"/>
      <c r="Q56" s="39" t="inlineStr"/>
    </row>
    <row r="57">
      <c r="A57" s="39" t="inlineStr"/>
      <c r="B57" s="39" t="inlineStr"/>
      <c r="D57" s="39" t="inlineStr"/>
      <c r="E57" s="39" t="inlineStr"/>
      <c r="G57" s="39" t="inlineStr"/>
      <c r="H57" s="39" t="inlineStr"/>
      <c r="I57" s="39" t="inlineStr"/>
      <c r="J57" s="39" t="inlineStr"/>
      <c r="K57" s="39" t="inlineStr"/>
      <c r="L57" s="39" t="inlineStr"/>
      <c r="M57" s="39" t="inlineStr"/>
      <c r="O57" s="39" t="inlineStr"/>
      <c r="P57" s="39" t="inlineStr"/>
      <c r="Q57" s="39" t="inlineStr"/>
    </row>
    <row r="58">
      <c r="A58" s="39" t="inlineStr"/>
      <c r="B58" s="39" t="inlineStr"/>
      <c r="D58" s="39" t="inlineStr"/>
      <c r="E58" s="39" t="inlineStr"/>
      <c r="G58" s="39" t="inlineStr"/>
      <c r="H58" s="39" t="inlineStr"/>
      <c r="I58" s="39" t="inlineStr"/>
      <c r="J58" s="39" t="inlineStr"/>
      <c r="K58" s="39" t="inlineStr"/>
      <c r="L58" s="39" t="inlineStr"/>
      <c r="M58" s="39" t="inlineStr"/>
      <c r="O58" s="39" t="inlineStr"/>
      <c r="P58" s="39" t="inlineStr"/>
      <c r="Q58" s="39" t="inlineStr"/>
    </row>
    <row r="59">
      <c r="A59" s="39" t="inlineStr"/>
      <c r="B59" s="39" t="inlineStr"/>
      <c r="D59" s="39" t="inlineStr"/>
      <c r="E59" s="39" t="inlineStr"/>
      <c r="G59" s="39" t="inlineStr"/>
      <c r="H59" s="39" t="inlineStr"/>
      <c r="I59" s="39" t="inlineStr"/>
      <c r="J59" s="39" t="inlineStr"/>
      <c r="K59" s="39" t="inlineStr"/>
      <c r="L59" s="39" t="inlineStr"/>
      <c r="M59" s="39" t="inlineStr"/>
      <c r="O59" s="39" t="inlineStr"/>
      <c r="P59" s="39" t="inlineStr"/>
      <c r="Q59" s="39" t="inlineStr"/>
    </row>
    <row r="60">
      <c r="A60" s="39" t="inlineStr"/>
      <c r="B60" s="39" t="inlineStr"/>
      <c r="D60" s="39" t="inlineStr"/>
      <c r="E60" s="39" t="inlineStr"/>
      <c r="G60" s="39" t="inlineStr"/>
      <c r="H60" s="39" t="inlineStr"/>
      <c r="I60" s="39" t="inlineStr"/>
      <c r="J60" s="39" t="inlineStr"/>
      <c r="K60" s="39" t="inlineStr"/>
      <c r="L60" s="39" t="inlineStr"/>
      <c r="M60" s="39" t="inlineStr"/>
      <c r="O60" s="39" t="inlineStr"/>
      <c r="P60" s="39" t="inlineStr"/>
      <c r="Q60" s="39" t="inlineStr"/>
    </row>
    <row r="61">
      <c r="A61" s="39" t="inlineStr"/>
      <c r="B61" s="39" t="inlineStr"/>
      <c r="D61" s="39" t="inlineStr"/>
      <c r="E61" s="39" t="inlineStr"/>
      <c r="G61" s="39" t="inlineStr"/>
      <c r="H61" s="39" t="inlineStr"/>
      <c r="I61" s="39" t="inlineStr"/>
      <c r="J61" s="39" t="inlineStr"/>
      <c r="K61" s="39" t="inlineStr"/>
      <c r="L61" s="39" t="inlineStr"/>
      <c r="M61" s="39" t="inlineStr"/>
      <c r="O61" s="39" t="inlineStr"/>
      <c r="P61" s="39" t="inlineStr"/>
      <c r="Q61" s="39" t="inlineStr"/>
    </row>
    <row r="62">
      <c r="A62" s="39" t="inlineStr"/>
      <c r="B62" s="39" t="inlineStr"/>
      <c r="D62" s="39" t="inlineStr"/>
      <c r="E62" s="39" t="inlineStr"/>
      <c r="G62" s="39" t="inlineStr"/>
      <c r="H62" s="39" t="inlineStr"/>
      <c r="I62" s="39" t="inlineStr"/>
      <c r="J62" s="39" t="inlineStr"/>
      <c r="K62" s="39" t="inlineStr"/>
      <c r="L62" s="39" t="inlineStr"/>
      <c r="M62" s="39" t="inlineStr"/>
      <c r="O62" s="39" t="inlineStr"/>
      <c r="P62" s="39" t="inlineStr"/>
      <c r="Q62" s="39" t="inlineStr"/>
    </row>
    <row r="63">
      <c r="A63" s="39" t="inlineStr"/>
      <c r="B63" s="39" t="inlineStr"/>
      <c r="D63" s="39" t="inlineStr"/>
      <c r="E63" s="39" t="inlineStr"/>
      <c r="G63" s="39" t="inlineStr"/>
      <c r="H63" s="39" t="inlineStr"/>
      <c r="I63" s="39" t="inlineStr"/>
      <c r="J63" s="39" t="inlineStr"/>
      <c r="K63" s="39" t="inlineStr"/>
      <c r="L63" s="39" t="inlineStr"/>
      <c r="M63" s="39" t="inlineStr"/>
      <c r="O63" s="39" t="inlineStr"/>
      <c r="P63" s="39" t="inlineStr"/>
      <c r="Q63" s="39" t="inlineStr"/>
    </row>
    <row r="64">
      <c r="A64" s="39" t="inlineStr"/>
      <c r="B64" s="39" t="inlineStr"/>
      <c r="D64" s="39" t="inlineStr"/>
      <c r="E64" s="39" t="inlineStr"/>
      <c r="G64" s="39" t="inlineStr"/>
      <c r="H64" s="39" t="inlineStr"/>
      <c r="I64" s="39" t="inlineStr"/>
      <c r="J64" s="39" t="inlineStr"/>
      <c r="K64" s="39" t="inlineStr"/>
      <c r="L64" s="39" t="inlineStr"/>
      <c r="M64" s="39" t="inlineStr"/>
      <c r="O64" s="39" t="inlineStr"/>
      <c r="P64" s="39" t="inlineStr"/>
      <c r="Q64" s="39" t="inlineStr"/>
    </row>
    <row r="65">
      <c r="A65" s="39" t="inlineStr"/>
      <c r="B65" s="39" t="inlineStr"/>
      <c r="D65" s="39" t="inlineStr"/>
      <c r="E65" s="39" t="inlineStr"/>
      <c r="G65" s="39" t="inlineStr"/>
      <c r="H65" s="39" t="inlineStr"/>
      <c r="I65" s="39" t="inlineStr"/>
      <c r="J65" s="39" t="inlineStr"/>
      <c r="K65" s="39" t="inlineStr"/>
      <c r="L65" s="39" t="inlineStr"/>
      <c r="M65" s="39" t="inlineStr"/>
      <c r="O65" s="39" t="inlineStr"/>
      <c r="P65" s="39" t="inlineStr"/>
      <c r="Q65" s="39" t="inlineStr"/>
    </row>
    <row r="66">
      <c r="A66" s="39" t="inlineStr"/>
      <c r="B66" s="39" t="inlineStr"/>
      <c r="D66" s="39" t="inlineStr"/>
      <c r="E66" s="39" t="inlineStr"/>
      <c r="G66" s="39" t="inlineStr"/>
      <c r="H66" s="39" t="inlineStr"/>
      <c r="I66" s="39" t="inlineStr"/>
      <c r="J66" s="39" t="inlineStr"/>
      <c r="K66" s="39" t="inlineStr"/>
      <c r="L66" s="39" t="inlineStr"/>
      <c r="M66" s="39" t="inlineStr"/>
      <c r="O66" s="39" t="inlineStr"/>
      <c r="P66" s="39" t="inlineStr"/>
      <c r="Q66" s="39" t="inlineStr"/>
    </row>
    <row r="67">
      <c r="A67" s="39" t="inlineStr"/>
      <c r="B67" s="39" t="inlineStr"/>
      <c r="D67" s="39" t="inlineStr"/>
      <c r="E67" s="39" t="inlineStr"/>
      <c r="G67" s="39" t="inlineStr"/>
      <c r="H67" s="39" t="inlineStr"/>
      <c r="I67" s="39" t="inlineStr"/>
      <c r="J67" s="39" t="inlineStr"/>
      <c r="K67" s="39" t="inlineStr"/>
      <c r="L67" s="39" t="inlineStr"/>
      <c r="M67" s="39" t="inlineStr"/>
      <c r="O67" s="39" t="inlineStr"/>
      <c r="P67" s="39" t="inlineStr"/>
      <c r="Q67" s="39" t="inlineStr"/>
    </row>
    <row r="68">
      <c r="A68" s="39" t="inlineStr"/>
      <c r="B68" s="39" t="inlineStr"/>
      <c r="D68" s="39" t="inlineStr"/>
      <c r="E68" s="39" t="inlineStr"/>
      <c r="G68" s="39" t="inlineStr"/>
      <c r="H68" s="39" t="inlineStr"/>
      <c r="I68" s="39" t="inlineStr"/>
      <c r="J68" s="39" t="inlineStr"/>
      <c r="K68" s="39" t="inlineStr"/>
      <c r="L68" s="39" t="inlineStr"/>
      <c r="M68" s="39" t="inlineStr"/>
      <c r="O68" s="39" t="inlineStr"/>
      <c r="P68" s="39" t="inlineStr"/>
      <c r="Q68" s="39" t="inlineStr"/>
    </row>
    <row r="69">
      <c r="A69" s="39" t="inlineStr"/>
      <c r="B69" s="39" t="inlineStr"/>
      <c r="D69" s="39" t="inlineStr"/>
      <c r="E69" s="39" t="inlineStr"/>
      <c r="G69" s="39" t="inlineStr"/>
      <c r="H69" s="39" t="inlineStr"/>
      <c r="I69" s="39" t="inlineStr"/>
      <c r="J69" s="39" t="inlineStr"/>
      <c r="K69" s="39" t="inlineStr"/>
      <c r="L69" s="39" t="inlineStr"/>
      <c r="M69" s="39" t="inlineStr"/>
      <c r="O69" s="39" t="inlineStr"/>
      <c r="P69" s="39" t="inlineStr"/>
      <c r="Q69" s="39" t="inlineStr"/>
    </row>
    <row r="70">
      <c r="A70" s="39" t="inlineStr"/>
      <c r="B70" s="39" t="inlineStr"/>
      <c r="D70" s="39" t="inlineStr"/>
      <c r="E70" s="39" t="inlineStr"/>
      <c r="G70" s="39" t="inlineStr"/>
      <c r="H70" s="39" t="inlineStr"/>
      <c r="I70" s="39" t="inlineStr"/>
      <c r="J70" s="39" t="inlineStr"/>
      <c r="K70" s="39" t="inlineStr"/>
      <c r="L70" s="39" t="inlineStr"/>
      <c r="M70" s="39" t="inlineStr"/>
      <c r="O70" s="39" t="inlineStr"/>
      <c r="P70" s="39" t="inlineStr"/>
      <c r="Q70" s="39" t="inlineStr"/>
    </row>
    <row r="71">
      <c r="A71" s="39" t="inlineStr"/>
      <c r="B71" s="39" t="inlineStr"/>
      <c r="D71" s="39" t="inlineStr"/>
      <c r="E71" s="39" t="inlineStr"/>
      <c r="G71" s="39" t="inlineStr"/>
      <c r="H71" s="39" t="inlineStr"/>
      <c r="I71" s="39" t="inlineStr"/>
      <c r="J71" s="39" t="inlineStr"/>
      <c r="K71" s="39" t="inlineStr"/>
      <c r="L71" s="39" t="inlineStr"/>
      <c r="M71" s="39" t="inlineStr"/>
      <c r="O71" s="39" t="inlineStr"/>
      <c r="P71" s="39" t="inlineStr"/>
      <c r="Q71" s="39" t="inlineStr"/>
    </row>
    <row r="72">
      <c r="A72" s="39" t="inlineStr"/>
      <c r="B72" s="39" t="inlineStr"/>
      <c r="D72" s="39" t="inlineStr"/>
      <c r="E72" s="39" t="inlineStr"/>
      <c r="G72" s="39" t="inlineStr"/>
      <c r="H72" s="39" t="inlineStr"/>
      <c r="I72" s="39" t="inlineStr"/>
      <c r="J72" s="39" t="inlineStr"/>
      <c r="K72" s="39" t="inlineStr"/>
      <c r="L72" s="39" t="inlineStr"/>
      <c r="M72" s="39" t="inlineStr"/>
      <c r="O72" s="39" t="inlineStr"/>
      <c r="P72" s="39" t="inlineStr"/>
      <c r="Q72" s="39" t="inlineStr"/>
    </row>
    <row r="73">
      <c r="A73" s="39" t="inlineStr"/>
      <c r="B73" s="39" t="inlineStr"/>
      <c r="D73" s="39" t="inlineStr"/>
      <c r="E73" s="39" t="inlineStr"/>
      <c r="G73" s="39" t="inlineStr"/>
      <c r="H73" s="39" t="inlineStr"/>
      <c r="I73" s="39" t="inlineStr"/>
      <c r="J73" s="39" t="inlineStr"/>
      <c r="K73" s="39" t="inlineStr"/>
      <c r="L73" s="39" t="inlineStr"/>
      <c r="M73" s="39" t="inlineStr"/>
      <c r="O73" s="39" t="inlineStr"/>
      <c r="P73" s="39" t="inlineStr"/>
      <c r="Q73" s="39" t="inlineStr"/>
    </row>
    <row r="74">
      <c r="A74" s="39" t="inlineStr"/>
      <c r="B74" s="39" t="inlineStr"/>
      <c r="D74" s="39" t="inlineStr"/>
      <c r="E74" s="39" t="inlineStr"/>
      <c r="G74" s="39" t="inlineStr"/>
      <c r="H74" s="39" t="inlineStr"/>
      <c r="I74" s="39" t="inlineStr"/>
      <c r="J74" s="39" t="inlineStr"/>
      <c r="K74" s="39" t="inlineStr"/>
      <c r="L74" s="39" t="inlineStr"/>
      <c r="M74" s="39" t="inlineStr"/>
      <c r="O74" s="39" t="inlineStr"/>
      <c r="P74" s="39" t="inlineStr"/>
      <c r="Q74" s="39" t="inlineStr"/>
    </row>
    <row r="75">
      <c r="A75" s="39" t="inlineStr"/>
      <c r="B75" s="39" t="inlineStr"/>
      <c r="D75" s="39" t="inlineStr"/>
      <c r="E75" s="39" t="inlineStr"/>
      <c r="G75" s="39" t="inlineStr"/>
      <c r="H75" s="39" t="inlineStr"/>
      <c r="I75" s="39" t="inlineStr"/>
      <c r="J75" s="39" t="inlineStr"/>
      <c r="K75" s="39" t="inlineStr"/>
      <c r="L75" s="39" t="inlineStr"/>
      <c r="M75" s="39" t="inlineStr"/>
      <c r="O75" s="39" t="inlineStr"/>
      <c r="P75" s="39" t="inlineStr"/>
      <c r="Q75" s="39" t="inlineStr"/>
    </row>
    <row r="76">
      <c r="A76" s="39" t="inlineStr"/>
      <c r="B76" s="39" t="inlineStr"/>
      <c r="D76" s="39" t="inlineStr"/>
      <c r="E76" s="39" t="inlineStr"/>
      <c r="G76" s="39" t="inlineStr"/>
      <c r="H76" s="39" t="inlineStr"/>
      <c r="I76" s="39" t="inlineStr"/>
      <c r="J76" s="39" t="inlineStr"/>
      <c r="K76" s="39" t="inlineStr"/>
      <c r="L76" s="39" t="inlineStr"/>
      <c r="M76" s="39" t="inlineStr"/>
      <c r="O76" s="39" t="inlineStr"/>
      <c r="P76" s="39" t="inlineStr"/>
      <c r="Q76" s="39" t="inlineStr"/>
    </row>
    <row r="77">
      <c r="A77" s="39" t="inlineStr"/>
      <c r="B77" s="39" t="inlineStr"/>
      <c r="D77" s="39" t="inlineStr"/>
      <c r="E77" s="39" t="inlineStr"/>
      <c r="G77" s="39" t="inlineStr"/>
      <c r="H77" s="39" t="inlineStr"/>
      <c r="I77" s="39" t="inlineStr"/>
      <c r="J77" s="39" t="inlineStr"/>
      <c r="K77" s="39" t="inlineStr"/>
      <c r="L77" s="39" t="inlineStr"/>
      <c r="M77" s="39" t="inlineStr"/>
      <c r="O77" s="39" t="inlineStr"/>
      <c r="P77" s="39" t="inlineStr"/>
      <c r="Q77" s="39" t="inlineStr"/>
    </row>
    <row r="78">
      <c r="A78" s="39" t="inlineStr"/>
      <c r="B78" s="39" t="inlineStr"/>
      <c r="D78" s="39" t="inlineStr"/>
      <c r="E78" s="39" t="inlineStr"/>
      <c r="G78" s="39" t="inlineStr"/>
      <c r="H78" s="39" t="inlineStr"/>
      <c r="I78" s="39" t="inlineStr"/>
      <c r="J78" s="39" t="inlineStr"/>
      <c r="K78" s="39" t="inlineStr"/>
      <c r="L78" s="39" t="inlineStr"/>
      <c r="M78" s="39" t="inlineStr"/>
      <c r="O78" s="39" t="inlineStr"/>
      <c r="P78" s="39" t="inlineStr"/>
      <c r="Q78" s="39" t="inlineStr"/>
    </row>
    <row r="79">
      <c r="A79" s="39" t="inlineStr"/>
      <c r="B79" s="39" t="inlineStr"/>
      <c r="D79" s="39" t="inlineStr"/>
      <c r="E79" s="39" t="inlineStr"/>
      <c r="G79" s="39" t="inlineStr"/>
      <c r="H79" s="39" t="inlineStr"/>
      <c r="I79" s="39" t="inlineStr"/>
      <c r="J79" s="39" t="inlineStr"/>
      <c r="K79" s="39" t="inlineStr"/>
      <c r="L79" s="39" t="inlineStr"/>
      <c r="M79" s="39" t="inlineStr"/>
      <c r="O79" s="39" t="inlineStr"/>
      <c r="P79" s="39" t="inlineStr"/>
      <c r="Q79" s="39" t="inlineStr"/>
    </row>
    <row r="80">
      <c r="A80" s="39" t="inlineStr"/>
      <c r="B80" s="39" t="inlineStr"/>
      <c r="D80" s="39" t="inlineStr"/>
      <c r="E80" s="39" t="inlineStr"/>
      <c r="G80" s="39" t="inlineStr"/>
      <c r="H80" s="39" t="inlineStr"/>
      <c r="I80" s="39" t="inlineStr"/>
      <c r="J80" s="39" t="inlineStr"/>
      <c r="K80" s="39" t="inlineStr"/>
      <c r="L80" s="39" t="inlineStr"/>
      <c r="M80" s="39" t="inlineStr"/>
      <c r="O80" s="39" t="inlineStr"/>
      <c r="P80" s="39" t="inlineStr"/>
      <c r="Q80" s="39" t="inlineStr"/>
    </row>
    <row r="81">
      <c r="A81" s="39" t="inlineStr"/>
      <c r="B81" s="39" t="inlineStr"/>
      <c r="D81" s="39" t="inlineStr"/>
      <c r="E81" s="39" t="inlineStr"/>
      <c r="G81" s="39" t="inlineStr"/>
      <c r="H81" s="39" t="inlineStr"/>
      <c r="I81" s="39" t="inlineStr"/>
      <c r="J81" s="39" t="inlineStr"/>
      <c r="K81" s="39" t="inlineStr"/>
      <c r="L81" s="39" t="inlineStr"/>
      <c r="M81" s="39" t="inlineStr"/>
      <c r="O81" s="39" t="inlineStr"/>
      <c r="P81" s="39" t="inlineStr"/>
      <c r="Q81" s="39" t="inlineStr"/>
    </row>
    <row r="82">
      <c r="A82" s="39" t="inlineStr"/>
      <c r="B82" s="39" t="inlineStr"/>
      <c r="D82" s="39" t="inlineStr"/>
      <c r="E82" s="39" t="inlineStr"/>
      <c r="G82" s="39" t="inlineStr"/>
      <c r="H82" s="39" t="inlineStr"/>
      <c r="I82" s="39" t="inlineStr"/>
      <c r="J82" s="39" t="inlineStr"/>
      <c r="K82" s="39" t="inlineStr"/>
      <c r="L82" s="39" t="inlineStr"/>
      <c r="M82" s="39" t="inlineStr"/>
      <c r="O82" s="39" t="inlineStr"/>
      <c r="P82" s="39" t="inlineStr"/>
      <c r="Q82" s="39" t="inlineStr"/>
    </row>
    <row r="83">
      <c r="A83" s="39" t="inlineStr"/>
      <c r="B83" s="39" t="inlineStr"/>
      <c r="D83" s="39" t="inlineStr"/>
      <c r="E83" s="39" t="inlineStr"/>
      <c r="G83" s="39" t="inlineStr"/>
      <c r="H83" s="39" t="inlineStr"/>
      <c r="I83" s="39" t="inlineStr"/>
      <c r="J83" s="39" t="inlineStr"/>
      <c r="K83" s="39" t="inlineStr"/>
      <c r="L83" s="39" t="inlineStr"/>
      <c r="M83" s="39" t="inlineStr"/>
      <c r="O83" s="39" t="inlineStr"/>
      <c r="P83" s="39" t="inlineStr"/>
      <c r="Q83" s="39" t="inlineStr"/>
    </row>
    <row r="84">
      <c r="A84" s="39" t="inlineStr"/>
      <c r="B84" s="39" t="inlineStr"/>
      <c r="D84" s="39" t="inlineStr"/>
      <c r="E84" s="39" t="inlineStr"/>
      <c r="G84" s="39" t="inlineStr"/>
      <c r="H84" s="39" t="inlineStr"/>
      <c r="I84" s="39" t="inlineStr"/>
      <c r="J84" s="39" t="inlineStr"/>
      <c r="K84" s="39" t="inlineStr"/>
      <c r="L84" s="39" t="inlineStr"/>
      <c r="M84" s="39" t="inlineStr"/>
      <c r="O84" s="39" t="inlineStr"/>
      <c r="P84" s="39" t="inlineStr"/>
      <c r="Q84" s="39" t="inlineStr"/>
    </row>
    <row r="85">
      <c r="A85" s="39" t="inlineStr"/>
      <c r="B85" s="39" t="inlineStr"/>
      <c r="D85" s="39" t="inlineStr"/>
      <c r="E85" s="39" t="inlineStr"/>
      <c r="G85" s="39" t="inlineStr"/>
      <c r="H85" s="39" t="inlineStr"/>
      <c r="I85" s="39" t="inlineStr"/>
      <c r="J85" s="39" t="inlineStr"/>
      <c r="K85" s="39" t="inlineStr"/>
      <c r="L85" s="39" t="inlineStr"/>
      <c r="M85" s="39" t="inlineStr"/>
      <c r="O85" s="39" t="inlineStr"/>
      <c r="P85" s="39" t="inlineStr"/>
      <c r="Q85" s="39" t="inlineStr"/>
    </row>
    <row r="86">
      <c r="A86" s="39" t="inlineStr"/>
      <c r="B86" s="39" t="inlineStr"/>
      <c r="D86" s="39" t="inlineStr"/>
      <c r="E86" s="39" t="inlineStr"/>
      <c r="G86" s="39" t="inlineStr"/>
      <c r="H86" s="39" t="inlineStr"/>
      <c r="I86" s="39" t="inlineStr"/>
      <c r="J86" s="39" t="inlineStr"/>
      <c r="K86" s="39" t="inlineStr"/>
      <c r="L86" s="39" t="inlineStr"/>
      <c r="M86" s="39" t="inlineStr"/>
      <c r="O86" s="39" t="inlineStr"/>
      <c r="P86" s="39" t="inlineStr"/>
      <c r="Q86" s="39" t="inlineStr"/>
    </row>
    <row r="87">
      <c r="A87" s="39" t="inlineStr"/>
      <c r="B87" s="39" t="inlineStr"/>
      <c r="D87" s="39" t="inlineStr"/>
      <c r="E87" s="39" t="inlineStr"/>
      <c r="G87" s="39" t="inlineStr"/>
      <c r="H87" s="39" t="inlineStr"/>
      <c r="I87" s="39" t="inlineStr"/>
      <c r="J87" s="39" t="inlineStr"/>
      <c r="K87" s="39" t="inlineStr"/>
      <c r="L87" s="39" t="inlineStr"/>
      <c r="M87" s="39" t="inlineStr"/>
      <c r="O87" s="39" t="inlineStr"/>
      <c r="P87" s="39" t="inlineStr"/>
      <c r="Q87" s="39" t="inlineStr"/>
    </row>
    <row r="88">
      <c r="A88" s="39" t="inlineStr"/>
      <c r="B88" s="39" t="inlineStr"/>
      <c r="D88" s="39" t="inlineStr"/>
      <c r="E88" s="39" t="inlineStr"/>
      <c r="G88" s="39" t="inlineStr"/>
      <c r="H88" s="39" t="inlineStr"/>
      <c r="I88" s="39" t="inlineStr"/>
      <c r="J88" s="39" t="inlineStr"/>
      <c r="K88" s="39" t="inlineStr"/>
      <c r="L88" s="39" t="inlineStr"/>
      <c r="M88" s="39" t="inlineStr"/>
      <c r="O88" s="39" t="inlineStr"/>
      <c r="P88" s="39" t="inlineStr"/>
      <c r="Q88" s="39" t="inlineStr"/>
    </row>
    <row r="89">
      <c r="A89" s="39" t="inlineStr"/>
      <c r="B89" s="39" t="inlineStr"/>
      <c r="D89" s="39" t="inlineStr"/>
      <c r="E89" s="39" t="inlineStr"/>
      <c r="G89" s="39" t="inlineStr"/>
      <c r="H89" s="39" t="inlineStr"/>
      <c r="I89" s="39" t="inlineStr"/>
      <c r="J89" s="39" t="inlineStr"/>
      <c r="K89" s="39" t="inlineStr"/>
      <c r="L89" s="39" t="inlineStr"/>
      <c r="M89" s="39" t="inlineStr"/>
      <c r="O89" s="39" t="inlineStr"/>
      <c r="P89" s="39" t="inlineStr"/>
      <c r="Q89" s="39" t="inlineStr"/>
    </row>
    <row r="90">
      <c r="A90" s="39" t="inlineStr"/>
      <c r="B90" s="39" t="inlineStr"/>
      <c r="D90" s="39" t="inlineStr"/>
      <c r="E90" s="39" t="inlineStr"/>
      <c r="G90" s="39" t="inlineStr"/>
      <c r="H90" s="39" t="inlineStr"/>
      <c r="I90" s="39" t="inlineStr"/>
      <c r="J90" s="39" t="inlineStr"/>
      <c r="K90" s="39" t="inlineStr"/>
      <c r="L90" s="39" t="inlineStr"/>
      <c r="M90" s="39" t="inlineStr"/>
      <c r="O90" s="39" t="inlineStr"/>
      <c r="P90" s="39" t="inlineStr"/>
      <c r="Q90" s="39" t="inlineStr"/>
    </row>
    <row r="91">
      <c r="A91" s="39" t="inlineStr"/>
      <c r="B91" s="39" t="inlineStr"/>
      <c r="D91" s="39" t="inlineStr"/>
      <c r="E91" s="39" t="inlineStr"/>
      <c r="G91" s="39" t="inlineStr"/>
      <c r="H91" s="39" t="inlineStr"/>
      <c r="I91" s="39" t="inlineStr"/>
      <c r="J91" s="39" t="inlineStr"/>
      <c r="K91" s="39" t="inlineStr"/>
      <c r="L91" s="39" t="inlineStr"/>
      <c r="M91" s="39" t="inlineStr"/>
      <c r="O91" s="39" t="inlineStr"/>
      <c r="P91" s="39" t="inlineStr"/>
      <c r="Q91" s="39" t="inlineStr"/>
    </row>
    <row r="92">
      <c r="A92" s="39" t="inlineStr"/>
      <c r="B92" s="39" t="inlineStr"/>
      <c r="D92" s="39" t="inlineStr"/>
      <c r="E92" s="39" t="inlineStr"/>
      <c r="G92" s="39" t="inlineStr"/>
      <c r="H92" s="39" t="inlineStr"/>
      <c r="I92" s="39" t="inlineStr"/>
      <c r="J92" s="39" t="inlineStr"/>
      <c r="K92" s="39" t="inlineStr"/>
      <c r="L92" s="39" t="inlineStr"/>
      <c r="M92" s="39" t="inlineStr"/>
      <c r="O92" s="39" t="inlineStr"/>
      <c r="P92" s="39" t="inlineStr"/>
      <c r="Q92" s="39" t="inlineStr"/>
    </row>
    <row r="93">
      <c r="A93" s="39" t="inlineStr"/>
      <c r="B93" s="39" t="inlineStr"/>
      <c r="D93" s="39" t="inlineStr"/>
      <c r="E93" s="39" t="inlineStr"/>
      <c r="G93" s="39" t="inlineStr"/>
      <c r="H93" s="39" t="inlineStr"/>
      <c r="I93" s="39" t="inlineStr"/>
      <c r="J93" s="39" t="inlineStr"/>
      <c r="K93" s="39" t="inlineStr"/>
      <c r="L93" s="39" t="inlineStr"/>
      <c r="M93" s="39" t="inlineStr"/>
      <c r="O93" s="39" t="inlineStr"/>
      <c r="P93" s="39" t="inlineStr"/>
      <c r="Q93" s="39" t="inlineStr"/>
    </row>
    <row r="94">
      <c r="A94" s="39" t="inlineStr"/>
      <c r="B94" s="39" t="inlineStr"/>
      <c r="D94" s="39" t="inlineStr"/>
      <c r="E94" s="39" t="inlineStr"/>
      <c r="G94" s="39" t="inlineStr"/>
      <c r="H94" s="39" t="inlineStr"/>
      <c r="I94" s="39" t="inlineStr"/>
      <c r="J94" s="39" t="inlineStr"/>
      <c r="K94" s="39" t="inlineStr"/>
      <c r="L94" s="39" t="inlineStr"/>
      <c r="M94" s="39" t="inlineStr"/>
      <c r="O94" s="39" t="inlineStr"/>
      <c r="P94" s="39" t="inlineStr"/>
      <c r="Q94" s="39" t="inlineStr"/>
    </row>
    <row r="95">
      <c r="A95" s="39" t="inlineStr"/>
      <c r="B95" s="39" t="inlineStr"/>
      <c r="D95" s="39" t="inlineStr"/>
      <c r="E95" s="39" t="inlineStr"/>
      <c r="G95" s="39" t="inlineStr"/>
      <c r="H95" s="39" t="inlineStr"/>
      <c r="I95" s="39" t="inlineStr"/>
      <c r="J95" s="39" t="inlineStr"/>
      <c r="K95" s="39" t="inlineStr"/>
      <c r="L95" s="39" t="inlineStr"/>
      <c r="M95" s="39" t="inlineStr"/>
      <c r="O95" s="39" t="inlineStr"/>
      <c r="P95" s="39" t="inlineStr"/>
      <c r="Q95" s="39" t="inlineStr"/>
    </row>
    <row r="96">
      <c r="A96" s="39" t="inlineStr"/>
      <c r="B96" s="39" t="inlineStr"/>
      <c r="D96" s="39" t="inlineStr"/>
      <c r="E96" s="39" t="inlineStr"/>
      <c r="G96" s="39" t="inlineStr"/>
      <c r="H96" s="39" t="inlineStr"/>
      <c r="I96" s="39" t="inlineStr"/>
      <c r="J96" s="39" t="inlineStr"/>
      <c r="K96" s="39" t="inlineStr"/>
      <c r="L96" s="39" t="inlineStr"/>
      <c r="M96" s="39" t="inlineStr"/>
      <c r="O96" s="39" t="inlineStr"/>
      <c r="P96" s="39" t="inlineStr"/>
      <c r="Q96" s="39" t="inlineStr"/>
    </row>
    <row r="97">
      <c r="A97" s="39" t="inlineStr"/>
      <c r="B97" s="39" t="inlineStr"/>
      <c r="D97" s="39" t="inlineStr"/>
      <c r="E97" s="39" t="inlineStr"/>
      <c r="G97" s="39" t="inlineStr"/>
      <c r="H97" s="39" t="inlineStr"/>
      <c r="I97" s="39" t="inlineStr"/>
      <c r="J97" s="39" t="inlineStr"/>
      <c r="K97" s="39" t="inlineStr"/>
      <c r="L97" s="39" t="inlineStr"/>
      <c r="M97" s="39" t="inlineStr"/>
      <c r="O97" s="39" t="inlineStr"/>
      <c r="P97" s="39" t="inlineStr"/>
      <c r="Q97" s="39" t="inlineStr"/>
    </row>
    <row r="98">
      <c r="A98" s="39" t="inlineStr"/>
      <c r="B98" s="39" t="inlineStr"/>
      <c r="D98" s="39" t="inlineStr"/>
      <c r="E98" s="39" t="inlineStr"/>
      <c r="G98" s="39" t="inlineStr"/>
      <c r="H98" s="39" t="inlineStr"/>
      <c r="I98" s="39" t="inlineStr"/>
      <c r="J98" s="39" t="inlineStr"/>
      <c r="K98" s="39" t="inlineStr"/>
      <c r="L98" s="39" t="inlineStr"/>
      <c r="M98" s="39" t="inlineStr"/>
      <c r="O98" s="39" t="inlineStr"/>
      <c r="P98" s="39" t="inlineStr"/>
      <c r="Q98" s="39" t="inlineStr"/>
    </row>
    <row r="99">
      <c r="A99" s="39" t="inlineStr"/>
      <c r="B99" s="39" t="inlineStr"/>
      <c r="D99" s="39" t="inlineStr"/>
      <c r="E99" s="39" t="inlineStr"/>
      <c r="G99" s="39" t="inlineStr"/>
      <c r="H99" s="39" t="inlineStr"/>
      <c r="I99" s="39" t="inlineStr"/>
      <c r="J99" s="39" t="inlineStr"/>
      <c r="K99" s="39" t="inlineStr"/>
      <c r="L99" s="39" t="inlineStr"/>
      <c r="M99" s="39" t="inlineStr"/>
      <c r="O99" s="39" t="inlineStr"/>
      <c r="P99" s="39" t="inlineStr"/>
      <c r="Q99" s="39" t="inlineStr"/>
    </row>
    <row r="100">
      <c r="A100" s="39" t="inlineStr"/>
      <c r="B100" s="39" t="inlineStr"/>
      <c r="D100" s="39" t="inlineStr"/>
      <c r="E100" s="39" t="inlineStr"/>
      <c r="G100" s="39" t="inlineStr"/>
      <c r="H100" s="39" t="inlineStr"/>
      <c r="I100" s="39" t="inlineStr"/>
      <c r="J100" s="39" t="inlineStr"/>
      <c r="K100" s="39" t="inlineStr"/>
      <c r="L100" s="39" t="inlineStr"/>
      <c r="M100" s="39" t="inlineStr"/>
      <c r="O100" s="39" t="inlineStr"/>
      <c r="P100" s="39" t="inlineStr"/>
      <c r="Q100" s="39" t="inlineStr"/>
    </row>
    <row r="101">
      <c r="A101" s="39" t="inlineStr"/>
      <c r="B101" s="39" t="inlineStr"/>
      <c r="D101" s="39" t="inlineStr"/>
      <c r="E101" s="39" t="inlineStr"/>
      <c r="G101" s="39" t="inlineStr"/>
      <c r="H101" s="39" t="inlineStr"/>
      <c r="I101" s="39" t="inlineStr"/>
      <c r="J101" s="39" t="inlineStr"/>
      <c r="K101" s="39" t="inlineStr"/>
      <c r="L101" s="39" t="inlineStr"/>
      <c r="M101" s="39" t="inlineStr"/>
      <c r="O101" s="39" t="inlineStr"/>
      <c r="P101" s="39" t="inlineStr"/>
      <c r="Q101" s="39" t="inlineStr"/>
    </row>
    <row r="102">
      <c r="A102" s="39" t="inlineStr"/>
      <c r="B102" s="39" t="inlineStr"/>
      <c r="D102" s="39" t="inlineStr"/>
      <c r="E102" s="39" t="inlineStr"/>
      <c r="G102" s="39" t="inlineStr"/>
      <c r="H102" s="39" t="inlineStr"/>
      <c r="I102" s="39" t="inlineStr"/>
      <c r="J102" s="39" t="inlineStr"/>
      <c r="K102" s="39" t="inlineStr"/>
      <c r="L102" s="39" t="inlineStr"/>
      <c r="M102" s="39" t="inlineStr"/>
      <c r="O102" s="39" t="inlineStr"/>
      <c r="P102" s="39" t="inlineStr"/>
      <c r="Q102" s="39" t="inlineStr"/>
    </row>
    <row r="103">
      <c r="A103" s="39" t="inlineStr"/>
      <c r="B103" s="39" t="inlineStr"/>
      <c r="D103" s="39" t="inlineStr"/>
      <c r="E103" s="39" t="inlineStr"/>
      <c r="G103" s="39" t="inlineStr"/>
      <c r="H103" s="39" t="inlineStr"/>
      <c r="I103" s="39" t="inlineStr"/>
      <c r="J103" s="39" t="inlineStr"/>
      <c r="K103" s="39" t="inlineStr"/>
      <c r="L103" s="39" t="inlineStr"/>
      <c r="M103" s="39" t="inlineStr"/>
      <c r="O103" s="39" t="inlineStr"/>
      <c r="P103" s="39" t="inlineStr"/>
      <c r="Q103" s="39" t="inlineStr"/>
    </row>
    <row r="104">
      <c r="A104" s="39" t="inlineStr"/>
      <c r="B104" s="39" t="inlineStr"/>
      <c r="D104" s="39" t="inlineStr"/>
      <c r="E104" s="39" t="inlineStr"/>
      <c r="G104" s="39" t="inlineStr"/>
      <c r="H104" s="39" t="inlineStr"/>
      <c r="I104" s="39" t="inlineStr"/>
      <c r="J104" s="39" t="inlineStr"/>
      <c r="K104" s="39" t="inlineStr"/>
      <c r="L104" s="39" t="inlineStr"/>
      <c r="M104" s="39" t="inlineStr"/>
      <c r="O104" s="39" t="inlineStr"/>
      <c r="P104" s="39" t="inlineStr"/>
      <c r="Q104" s="39" t="inlineStr"/>
    </row>
    <row r="105">
      <c r="A105" s="39" t="inlineStr"/>
      <c r="B105" s="39" t="inlineStr"/>
      <c r="D105" s="39" t="inlineStr"/>
      <c r="E105" s="39" t="inlineStr"/>
      <c r="G105" s="39" t="inlineStr"/>
      <c r="H105" s="39" t="inlineStr"/>
      <c r="I105" s="39" t="inlineStr"/>
      <c r="J105" s="39" t="inlineStr"/>
      <c r="K105" s="39" t="inlineStr"/>
      <c r="L105" s="39" t="inlineStr"/>
      <c r="M105" s="39" t="inlineStr"/>
      <c r="O105" s="39" t="inlineStr"/>
      <c r="P105" s="39" t="inlineStr"/>
      <c r="Q105" s="39" t="inlineStr"/>
    </row>
    <row r="106">
      <c r="A106" s="39" t="inlineStr"/>
      <c r="B106" s="39" t="inlineStr"/>
      <c r="D106" s="39" t="inlineStr"/>
      <c r="E106" s="39" t="inlineStr"/>
      <c r="G106" s="39" t="inlineStr"/>
      <c r="H106" s="39" t="inlineStr"/>
      <c r="I106" s="39" t="inlineStr"/>
      <c r="J106" s="39" t="inlineStr"/>
      <c r="K106" s="39" t="inlineStr"/>
      <c r="L106" s="39" t="inlineStr"/>
      <c r="M106" s="39" t="inlineStr"/>
      <c r="O106" s="39" t="inlineStr"/>
      <c r="P106" s="39" t="inlineStr"/>
      <c r="Q106" s="39" t="inlineStr"/>
    </row>
    <row r="107">
      <c r="A107" s="39" t="inlineStr"/>
      <c r="B107" s="39" t="inlineStr"/>
      <c r="D107" s="39" t="inlineStr"/>
      <c r="E107" s="39" t="inlineStr"/>
      <c r="G107" s="39" t="inlineStr"/>
      <c r="H107" s="39" t="inlineStr"/>
      <c r="I107" s="39" t="inlineStr"/>
      <c r="J107" s="39" t="inlineStr"/>
      <c r="K107" s="39" t="inlineStr"/>
      <c r="L107" s="39" t="inlineStr"/>
      <c r="M107" s="39" t="inlineStr"/>
      <c r="O107" s="39" t="inlineStr"/>
      <c r="P107" s="39" t="inlineStr"/>
      <c r="Q107" s="39" t="inlineStr"/>
    </row>
    <row r="108">
      <c r="A108" s="39" t="inlineStr"/>
      <c r="B108" s="39" t="inlineStr"/>
      <c r="D108" s="39" t="inlineStr"/>
      <c r="E108" s="39" t="inlineStr"/>
      <c r="G108" s="39" t="inlineStr"/>
      <c r="H108" s="39" t="inlineStr"/>
      <c r="I108" s="39" t="inlineStr"/>
      <c r="J108" s="39" t="inlineStr"/>
      <c r="K108" s="39" t="inlineStr"/>
      <c r="L108" s="39" t="inlineStr"/>
      <c r="M108" s="39" t="inlineStr"/>
      <c r="O108" s="39" t="inlineStr"/>
      <c r="P108" s="39" t="inlineStr"/>
      <c r="Q108" s="39" t="inlineStr"/>
    </row>
    <row r="109">
      <c r="A109" s="39" t="inlineStr"/>
      <c r="B109" s="39" t="inlineStr"/>
      <c r="D109" s="39" t="inlineStr"/>
      <c r="E109" s="39" t="inlineStr"/>
      <c r="G109" s="39" t="inlineStr"/>
      <c r="H109" s="39" t="inlineStr"/>
      <c r="I109" s="39" t="inlineStr"/>
      <c r="J109" s="39" t="inlineStr"/>
      <c r="K109" s="39" t="inlineStr"/>
      <c r="L109" s="39" t="inlineStr"/>
      <c r="M109" s="39" t="inlineStr"/>
      <c r="O109" s="39" t="inlineStr"/>
      <c r="P109" s="39" t="inlineStr"/>
      <c r="Q109" s="39" t="inlineStr"/>
    </row>
    <row r="110">
      <c r="A110" s="39" t="inlineStr"/>
      <c r="B110" s="39" t="inlineStr"/>
      <c r="D110" s="39" t="inlineStr"/>
      <c r="E110" s="39" t="inlineStr"/>
      <c r="G110" s="39" t="inlineStr"/>
      <c r="H110" s="39" t="inlineStr"/>
      <c r="I110" s="39" t="inlineStr"/>
      <c r="J110" s="39" t="inlineStr"/>
      <c r="K110" s="39" t="inlineStr"/>
      <c r="L110" s="39" t="inlineStr"/>
      <c r="M110" s="39" t="inlineStr"/>
      <c r="O110" s="39" t="inlineStr"/>
      <c r="P110" s="39" t="inlineStr"/>
      <c r="Q110" s="39" t="inlineStr"/>
    </row>
    <row r="111">
      <c r="A111" s="39" t="inlineStr"/>
      <c r="B111" s="39" t="inlineStr"/>
      <c r="D111" s="39" t="inlineStr"/>
      <c r="E111" s="39" t="inlineStr"/>
      <c r="G111" s="39" t="inlineStr"/>
      <c r="H111" s="39" t="inlineStr"/>
      <c r="I111" s="39" t="inlineStr"/>
      <c r="J111" s="39" t="inlineStr"/>
      <c r="K111" s="39" t="inlineStr"/>
      <c r="L111" s="39" t="inlineStr"/>
      <c r="M111" s="39" t="inlineStr"/>
      <c r="O111" s="39" t="inlineStr"/>
      <c r="P111" s="39" t="inlineStr"/>
      <c r="Q111" s="39" t="inlineStr"/>
    </row>
    <row r="112">
      <c r="A112" s="39" t="inlineStr"/>
      <c r="B112" s="39" t="inlineStr"/>
      <c r="D112" s="39" t="inlineStr"/>
      <c r="E112" s="39" t="inlineStr"/>
      <c r="G112" s="39" t="inlineStr"/>
      <c r="H112" s="39" t="inlineStr"/>
      <c r="I112" s="39" t="inlineStr"/>
      <c r="J112" s="39" t="inlineStr"/>
      <c r="K112" s="39" t="inlineStr"/>
      <c r="L112" s="39" t="inlineStr"/>
      <c r="M112" s="39" t="inlineStr"/>
      <c r="O112" s="39" t="inlineStr"/>
      <c r="P112" s="39" t="inlineStr"/>
      <c r="Q112" s="39" t="inlineStr"/>
    </row>
    <row r="113">
      <c r="A113" s="39" t="inlineStr"/>
      <c r="B113" s="39" t="inlineStr"/>
      <c r="D113" s="39" t="inlineStr"/>
      <c r="E113" s="39" t="inlineStr"/>
      <c r="G113" s="39" t="inlineStr"/>
      <c r="H113" s="39" t="inlineStr"/>
      <c r="I113" s="39" t="inlineStr"/>
      <c r="J113" s="39" t="inlineStr"/>
      <c r="K113" s="39" t="inlineStr"/>
      <c r="L113" s="39" t="inlineStr"/>
      <c r="M113" s="39" t="inlineStr"/>
      <c r="O113" s="39" t="inlineStr"/>
      <c r="P113" s="39" t="inlineStr"/>
      <c r="Q113" s="39" t="inlineStr"/>
    </row>
    <row r="114">
      <c r="A114" s="39" t="inlineStr"/>
      <c r="B114" s="39" t="inlineStr"/>
      <c r="D114" s="39" t="inlineStr"/>
      <c r="E114" s="39" t="inlineStr"/>
      <c r="G114" s="39" t="inlineStr"/>
      <c r="H114" s="39" t="inlineStr"/>
      <c r="I114" s="39" t="inlineStr"/>
      <c r="J114" s="39" t="inlineStr"/>
      <c r="K114" s="39" t="inlineStr"/>
      <c r="L114" s="39" t="inlineStr"/>
      <c r="M114" s="39" t="inlineStr"/>
      <c r="O114" s="39" t="inlineStr"/>
      <c r="P114" s="39" t="inlineStr"/>
      <c r="Q114" s="39" t="inlineStr"/>
    </row>
    <row r="115">
      <c r="A115" s="39" t="inlineStr"/>
      <c r="B115" s="39" t="inlineStr"/>
      <c r="D115" s="39" t="inlineStr"/>
      <c r="E115" s="39" t="inlineStr"/>
      <c r="G115" s="39" t="inlineStr"/>
      <c r="H115" s="39" t="inlineStr"/>
      <c r="I115" s="39" t="inlineStr"/>
      <c r="J115" s="39" t="inlineStr"/>
      <c r="K115" s="39" t="inlineStr"/>
      <c r="L115" s="39" t="inlineStr"/>
      <c r="M115" s="39" t="inlineStr"/>
      <c r="O115" s="39" t="inlineStr"/>
      <c r="P115" s="39" t="inlineStr"/>
      <c r="Q115" s="39" t="inlineStr"/>
    </row>
    <row r="116" hidden="1" outlineLevel="1">
      <c r="A116" t="inlineStr">
        <is>
          <t>All</t>
        </is>
      </c>
      <c r="D116" t="inlineStr">
        <is>
          <t>All</t>
        </is>
      </c>
    </row>
    <row r="117" hidden="1" outlineLevel="1">
      <c r="A117">
        <f>IFERROR(A16,"")</f>
        <v/>
      </c>
      <c r="D117">
        <f>IFERROR(D16,"")</f>
        <v/>
      </c>
    </row>
    <row r="118" hidden="1" outlineLevel="1">
      <c r="A118">
        <f>IFERROR(A17,"")</f>
        <v/>
      </c>
      <c r="D118">
        <f>IFERROR(D17,"")</f>
        <v/>
      </c>
    </row>
    <row r="119" hidden="1" outlineLevel="1">
      <c r="A119">
        <f>IFERROR(A18,"")</f>
        <v/>
      </c>
      <c r="D119">
        <f>IFERROR(D18,"")</f>
        <v/>
      </c>
    </row>
    <row r="120" hidden="1" outlineLevel="1">
      <c r="A120">
        <f>IFERROR(A19,"")</f>
        <v/>
      </c>
      <c r="D120">
        <f>IFERROR(D19,"")</f>
        <v/>
      </c>
    </row>
    <row r="121" hidden="1" outlineLevel="1">
      <c r="A121">
        <f>IFERROR(A20,"")</f>
        <v/>
      </c>
      <c r="D121">
        <f>IFERROR(D20,"")</f>
        <v/>
      </c>
    </row>
    <row r="122" hidden="1" outlineLevel="1">
      <c r="A122">
        <f>IFERROR(A21,"")</f>
        <v/>
      </c>
      <c r="D122">
        <f>IFERROR(D21,"")</f>
        <v/>
      </c>
    </row>
    <row r="123" hidden="1" outlineLevel="1">
      <c r="A123">
        <f>IFERROR(A22,"")</f>
        <v/>
      </c>
      <c r="D123">
        <f>IFERROR(D22,"")</f>
        <v/>
      </c>
    </row>
    <row r="124" hidden="1" outlineLevel="1">
      <c r="A124">
        <f>IFERROR(A23,"")</f>
        <v/>
      </c>
      <c r="D124">
        <f>IFERROR(D23,"")</f>
        <v/>
      </c>
    </row>
    <row r="125" hidden="1" outlineLevel="1">
      <c r="A125">
        <f>IFERROR(A24,"")</f>
        <v/>
      </c>
      <c r="D125">
        <f>IFERROR(D24,"")</f>
        <v/>
      </c>
    </row>
    <row r="126" hidden="1" outlineLevel="1">
      <c r="A126">
        <f>IFERROR(A25,"")</f>
        <v/>
      </c>
      <c r="D126">
        <f>IFERROR(D25,"")</f>
        <v/>
      </c>
    </row>
    <row r="127" hidden="1" outlineLevel="1">
      <c r="A127">
        <f>IFERROR(A26,"")</f>
        <v/>
      </c>
      <c r="D127">
        <f>IFERROR(D26,"")</f>
        <v/>
      </c>
    </row>
    <row r="128" hidden="1" outlineLevel="1">
      <c r="A128">
        <f>IFERROR(A27,"")</f>
        <v/>
      </c>
      <c r="D128">
        <f>IFERROR(D27,"")</f>
        <v/>
      </c>
    </row>
    <row r="129" hidden="1" outlineLevel="1">
      <c r="A129">
        <f>IFERROR(A28,"")</f>
        <v/>
      </c>
      <c r="D129">
        <f>IFERROR(D28,"")</f>
        <v/>
      </c>
    </row>
    <row r="130" hidden="1" outlineLevel="1">
      <c r="A130">
        <f>IFERROR(A29,"")</f>
        <v/>
      </c>
      <c r="D130">
        <f>IFERROR(D29,"")</f>
        <v/>
      </c>
    </row>
    <row r="131" hidden="1" outlineLevel="1">
      <c r="A131">
        <f>IFERROR(A30,"")</f>
        <v/>
      </c>
      <c r="D131">
        <f>IFERROR(D30,"")</f>
        <v/>
      </c>
    </row>
    <row r="132" hidden="1" outlineLevel="1">
      <c r="A132">
        <f>IFERROR(A31,"")</f>
        <v/>
      </c>
      <c r="D132">
        <f>IFERROR(D31,"")</f>
        <v/>
      </c>
    </row>
    <row r="133" hidden="1" outlineLevel="1">
      <c r="A133">
        <f>IFERROR(A32,"")</f>
        <v/>
      </c>
      <c r="D133">
        <f>IFERROR(D32,"")</f>
        <v/>
      </c>
    </row>
    <row r="134" hidden="1" outlineLevel="1">
      <c r="A134">
        <f>IFERROR(A33,"")</f>
        <v/>
      </c>
      <c r="D134">
        <f>IFERROR(D33,"")</f>
        <v/>
      </c>
    </row>
    <row r="135" hidden="1" outlineLevel="1">
      <c r="A135">
        <f>IFERROR(A34,"")</f>
        <v/>
      </c>
      <c r="D135">
        <f>IFERROR(D34,"")</f>
        <v/>
      </c>
    </row>
    <row r="136" hidden="1" outlineLevel="1">
      <c r="A136">
        <f>IFERROR(A35,"")</f>
        <v/>
      </c>
      <c r="D136">
        <f>IFERROR(D35,"")</f>
        <v/>
      </c>
    </row>
    <row r="137" hidden="1" outlineLevel="1">
      <c r="A137">
        <f>IFERROR(A36,"")</f>
        <v/>
      </c>
      <c r="D137">
        <f>IFERROR(D36,"")</f>
        <v/>
      </c>
    </row>
    <row r="138" hidden="1" outlineLevel="1">
      <c r="A138">
        <f>IFERROR(A37,"")</f>
        <v/>
      </c>
      <c r="D138">
        <f>IFERROR(D37,"")</f>
        <v/>
      </c>
    </row>
    <row r="139" hidden="1" outlineLevel="1">
      <c r="A139">
        <f>IFERROR(A38,"")</f>
        <v/>
      </c>
      <c r="D139">
        <f>IFERROR(D38,"")</f>
        <v/>
      </c>
    </row>
    <row r="140" hidden="1" outlineLevel="1">
      <c r="A140">
        <f>IFERROR(A39,"")</f>
        <v/>
      </c>
      <c r="D140">
        <f>IFERROR(D39,"")</f>
        <v/>
      </c>
    </row>
    <row r="141" hidden="1" outlineLevel="1">
      <c r="A141">
        <f>IFERROR(A40,"")</f>
        <v/>
      </c>
      <c r="D141">
        <f>IFERROR(D40,"")</f>
        <v/>
      </c>
    </row>
    <row r="142" hidden="1" outlineLevel="1">
      <c r="A142">
        <f>IFERROR(A41,"")</f>
        <v/>
      </c>
      <c r="D142">
        <f>IFERROR(D41,"")</f>
        <v/>
      </c>
    </row>
    <row r="143" hidden="1" outlineLevel="1">
      <c r="A143">
        <f>IFERROR(A42,"")</f>
        <v/>
      </c>
      <c r="D143">
        <f>IFERROR(D42,"")</f>
        <v/>
      </c>
    </row>
    <row r="144" hidden="1" outlineLevel="1">
      <c r="A144">
        <f>IFERROR(A43,"")</f>
        <v/>
      </c>
      <c r="D144">
        <f>IFERROR(D43,"")</f>
        <v/>
      </c>
    </row>
    <row r="145" hidden="1" outlineLevel="1">
      <c r="A145">
        <f>IFERROR(A44,"")</f>
        <v/>
      </c>
      <c r="D145">
        <f>IFERROR(D44,"")</f>
        <v/>
      </c>
    </row>
    <row r="146" hidden="1" outlineLevel="1">
      <c r="A146">
        <f>IFERROR(A45,"")</f>
        <v/>
      </c>
      <c r="D146">
        <f>IFERROR(D45,"")</f>
        <v/>
      </c>
    </row>
    <row r="147" hidden="1" outlineLevel="1">
      <c r="A147">
        <f>IFERROR(A46,"")</f>
        <v/>
      </c>
      <c r="D147">
        <f>IFERROR(D46,"")</f>
        <v/>
      </c>
    </row>
    <row r="148" hidden="1" outlineLevel="1">
      <c r="A148">
        <f>IFERROR(A47,"")</f>
        <v/>
      </c>
      <c r="D148">
        <f>IFERROR(D47,"")</f>
        <v/>
      </c>
    </row>
    <row r="149" hidden="1" outlineLevel="1">
      <c r="A149">
        <f>IFERROR(A48,"")</f>
        <v/>
      </c>
      <c r="D149">
        <f>IFERROR(D48,"")</f>
        <v/>
      </c>
    </row>
    <row r="150" hidden="1" outlineLevel="1">
      <c r="A150">
        <f>IFERROR(A49,"")</f>
        <v/>
      </c>
      <c r="D150">
        <f>IFERROR(D49,"")</f>
        <v/>
      </c>
    </row>
    <row r="151" hidden="1" outlineLevel="1">
      <c r="A151">
        <f>IFERROR(A50,"")</f>
        <v/>
      </c>
      <c r="D151">
        <f>IFERROR(D50,"")</f>
        <v/>
      </c>
    </row>
    <row r="152" hidden="1" outlineLevel="1">
      <c r="A152">
        <f>IFERROR(A51,"")</f>
        <v/>
      </c>
      <c r="D152">
        <f>IFERROR(D51,"")</f>
        <v/>
      </c>
    </row>
    <row r="153" hidden="1" outlineLevel="1">
      <c r="A153">
        <f>IFERROR(A52,"")</f>
        <v/>
      </c>
      <c r="D153">
        <f>IFERROR(D52,"")</f>
        <v/>
      </c>
    </row>
    <row r="154" hidden="1" outlineLevel="1">
      <c r="A154">
        <f>IFERROR(A53,"")</f>
        <v/>
      </c>
      <c r="D154">
        <f>IFERROR(D53,"")</f>
        <v/>
      </c>
    </row>
    <row r="155" hidden="1" outlineLevel="1">
      <c r="A155">
        <f>IFERROR(A54,"")</f>
        <v/>
      </c>
      <c r="D155">
        <f>IFERROR(D54,"")</f>
        <v/>
      </c>
    </row>
    <row r="156" hidden="1" outlineLevel="1">
      <c r="A156">
        <f>IFERROR(A55,"")</f>
        <v/>
      </c>
      <c r="D156">
        <f>IFERROR(D55,"")</f>
        <v/>
      </c>
    </row>
    <row r="157" hidden="1" outlineLevel="1">
      <c r="A157">
        <f>IFERROR(A56,"")</f>
        <v/>
      </c>
      <c r="D157">
        <f>IFERROR(D56,"")</f>
        <v/>
      </c>
    </row>
    <row r="158" hidden="1" outlineLevel="1">
      <c r="A158">
        <f>IFERROR(A57,"")</f>
        <v/>
      </c>
      <c r="D158">
        <f>IFERROR(D57,"")</f>
        <v/>
      </c>
    </row>
    <row r="159" hidden="1" outlineLevel="1">
      <c r="A159">
        <f>IFERROR(A58,"")</f>
        <v/>
      </c>
      <c r="D159">
        <f>IFERROR(D58,"")</f>
        <v/>
      </c>
    </row>
    <row r="160" hidden="1" outlineLevel="1">
      <c r="A160">
        <f>IFERROR(A59,"")</f>
        <v/>
      </c>
      <c r="D160">
        <f>IFERROR(D59,"")</f>
        <v/>
      </c>
    </row>
    <row r="161" hidden="1" outlineLevel="1">
      <c r="A161">
        <f>IFERROR(A60,"")</f>
        <v/>
      </c>
      <c r="D161">
        <f>IFERROR(D60,"")</f>
        <v/>
      </c>
    </row>
    <row r="162" hidden="1" outlineLevel="1">
      <c r="A162">
        <f>IFERROR(A61,"")</f>
        <v/>
      </c>
      <c r="D162">
        <f>IFERROR(D61,"")</f>
        <v/>
      </c>
    </row>
    <row r="163" hidden="1" outlineLevel="1">
      <c r="A163">
        <f>IFERROR(A62,"")</f>
        <v/>
      </c>
      <c r="D163">
        <f>IFERROR(D62,"")</f>
        <v/>
      </c>
    </row>
    <row r="164" hidden="1" outlineLevel="1">
      <c r="A164">
        <f>IFERROR(A63,"")</f>
        <v/>
      </c>
      <c r="D164">
        <f>IFERROR(D63,"")</f>
        <v/>
      </c>
    </row>
    <row r="165" hidden="1" outlineLevel="1">
      <c r="A165">
        <f>IFERROR(A64,"")</f>
        <v/>
      </c>
      <c r="D165">
        <f>IFERROR(D64,"")</f>
        <v/>
      </c>
    </row>
    <row r="166" hidden="1" outlineLevel="1">
      <c r="A166">
        <f>IFERROR(A65,"")</f>
        <v/>
      </c>
      <c r="D166">
        <f>IFERROR(D65,"")</f>
        <v/>
      </c>
    </row>
    <row r="167" hidden="1" outlineLevel="1">
      <c r="A167">
        <f>IFERROR(A66,"")</f>
        <v/>
      </c>
      <c r="D167">
        <f>IFERROR(D66,"")</f>
        <v/>
      </c>
    </row>
    <row r="168" hidden="1" outlineLevel="1">
      <c r="A168">
        <f>IFERROR(A67,"")</f>
        <v/>
      </c>
      <c r="D168">
        <f>IFERROR(D67,"")</f>
        <v/>
      </c>
    </row>
    <row r="169" hidden="1" outlineLevel="1">
      <c r="A169">
        <f>IFERROR(A68,"")</f>
        <v/>
      </c>
      <c r="D169">
        <f>IFERROR(D68,"")</f>
        <v/>
      </c>
    </row>
    <row r="170" hidden="1" outlineLevel="1">
      <c r="A170">
        <f>IFERROR(A69,"")</f>
        <v/>
      </c>
      <c r="D170">
        <f>IFERROR(D69,"")</f>
        <v/>
      </c>
    </row>
    <row r="171" hidden="1" outlineLevel="1">
      <c r="A171">
        <f>IFERROR(A70,"")</f>
        <v/>
      </c>
      <c r="D171">
        <f>IFERROR(D70,"")</f>
        <v/>
      </c>
    </row>
    <row r="172" hidden="1" outlineLevel="1">
      <c r="A172">
        <f>IFERROR(A71,"")</f>
        <v/>
      </c>
      <c r="D172">
        <f>IFERROR(D71,"")</f>
        <v/>
      </c>
    </row>
    <row r="173" hidden="1" outlineLevel="1">
      <c r="A173">
        <f>IFERROR(A72,"")</f>
        <v/>
      </c>
      <c r="D173">
        <f>IFERROR(D72,"")</f>
        <v/>
      </c>
    </row>
    <row r="174" hidden="1" outlineLevel="1">
      <c r="A174">
        <f>IFERROR(A73,"")</f>
        <v/>
      </c>
      <c r="D174">
        <f>IFERROR(D73,"")</f>
        <v/>
      </c>
    </row>
    <row r="175" hidden="1" outlineLevel="1">
      <c r="A175">
        <f>IFERROR(A74,"")</f>
        <v/>
      </c>
      <c r="D175">
        <f>IFERROR(D74,"")</f>
        <v/>
      </c>
    </row>
    <row r="176" hidden="1" outlineLevel="1">
      <c r="A176">
        <f>IFERROR(A75,"")</f>
        <v/>
      </c>
      <c r="D176">
        <f>IFERROR(D75,"")</f>
        <v/>
      </c>
    </row>
    <row r="177" hidden="1" outlineLevel="1">
      <c r="A177">
        <f>IFERROR(A76,"")</f>
        <v/>
      </c>
      <c r="D177">
        <f>IFERROR(D76,"")</f>
        <v/>
      </c>
    </row>
    <row r="178" hidden="1" outlineLevel="1">
      <c r="A178">
        <f>IFERROR(A77,"")</f>
        <v/>
      </c>
      <c r="D178">
        <f>IFERROR(D77,"")</f>
        <v/>
      </c>
    </row>
    <row r="179" hidden="1" outlineLevel="1">
      <c r="A179">
        <f>IFERROR(A78,"")</f>
        <v/>
      </c>
      <c r="D179">
        <f>IFERROR(D78,"")</f>
        <v/>
      </c>
    </row>
    <row r="180" hidden="1" outlineLevel="1">
      <c r="A180">
        <f>IFERROR(A79,"")</f>
        <v/>
      </c>
      <c r="D180">
        <f>IFERROR(D79,"")</f>
        <v/>
      </c>
    </row>
    <row r="181" hidden="1" outlineLevel="1">
      <c r="A181">
        <f>IFERROR(A80,"")</f>
        <v/>
      </c>
      <c r="D181">
        <f>IFERROR(D80,"")</f>
        <v/>
      </c>
    </row>
    <row r="182" hidden="1" outlineLevel="1">
      <c r="A182">
        <f>IFERROR(A81,"")</f>
        <v/>
      </c>
      <c r="D182">
        <f>IFERROR(D81,"")</f>
        <v/>
      </c>
    </row>
    <row r="183" hidden="1" outlineLevel="1">
      <c r="A183">
        <f>IFERROR(A82,"")</f>
        <v/>
      </c>
      <c r="D183">
        <f>IFERROR(D82,"")</f>
        <v/>
      </c>
    </row>
    <row r="184" hidden="1" outlineLevel="1">
      <c r="A184">
        <f>IFERROR(A83,"")</f>
        <v/>
      </c>
      <c r="D184">
        <f>IFERROR(D83,"")</f>
        <v/>
      </c>
    </row>
    <row r="185" hidden="1" outlineLevel="1">
      <c r="A185">
        <f>IFERROR(A84,"")</f>
        <v/>
      </c>
      <c r="D185">
        <f>IFERROR(D84,"")</f>
        <v/>
      </c>
    </row>
    <row r="186" hidden="1" outlineLevel="1">
      <c r="A186">
        <f>IFERROR(A85,"")</f>
        <v/>
      </c>
      <c r="D186">
        <f>IFERROR(D85,"")</f>
        <v/>
      </c>
    </row>
    <row r="187" hidden="1" outlineLevel="1">
      <c r="A187">
        <f>IFERROR(A86,"")</f>
        <v/>
      </c>
      <c r="D187">
        <f>IFERROR(D86,"")</f>
        <v/>
      </c>
    </row>
    <row r="188" hidden="1" outlineLevel="1">
      <c r="A188">
        <f>IFERROR(A87,"")</f>
        <v/>
      </c>
      <c r="D188">
        <f>IFERROR(D87,"")</f>
        <v/>
      </c>
    </row>
    <row r="189" hidden="1" outlineLevel="1">
      <c r="A189">
        <f>IFERROR(A88,"")</f>
        <v/>
      </c>
      <c r="D189">
        <f>IFERROR(D88,"")</f>
        <v/>
      </c>
    </row>
    <row r="190" hidden="1" outlineLevel="1">
      <c r="A190">
        <f>IFERROR(A89,"")</f>
        <v/>
      </c>
      <c r="D190">
        <f>IFERROR(D89,"")</f>
        <v/>
      </c>
    </row>
    <row r="191" hidden="1" outlineLevel="1">
      <c r="A191">
        <f>IFERROR(A90,"")</f>
        <v/>
      </c>
      <c r="D191">
        <f>IFERROR(D90,"")</f>
        <v/>
      </c>
    </row>
    <row r="192" hidden="1" outlineLevel="1">
      <c r="A192">
        <f>IFERROR(A91,"")</f>
        <v/>
      </c>
      <c r="D192">
        <f>IFERROR(D91,"")</f>
        <v/>
      </c>
    </row>
    <row r="193" hidden="1" outlineLevel="1">
      <c r="A193">
        <f>IFERROR(A92,"")</f>
        <v/>
      </c>
      <c r="D193">
        <f>IFERROR(D92,"")</f>
        <v/>
      </c>
    </row>
    <row r="194" hidden="1" outlineLevel="1">
      <c r="A194">
        <f>IFERROR(A93,"")</f>
        <v/>
      </c>
      <c r="D194">
        <f>IFERROR(D93,"")</f>
        <v/>
      </c>
    </row>
    <row r="195" hidden="1" outlineLevel="1">
      <c r="A195">
        <f>IFERROR(A94,"")</f>
        <v/>
      </c>
      <c r="D195">
        <f>IFERROR(D94,"")</f>
        <v/>
      </c>
    </row>
    <row r="196" hidden="1" outlineLevel="1">
      <c r="A196">
        <f>IFERROR(A95,"")</f>
        <v/>
      </c>
      <c r="D196">
        <f>IFERROR(D95,"")</f>
        <v/>
      </c>
    </row>
    <row r="197" hidden="1" outlineLevel="1">
      <c r="A197">
        <f>IFERROR(A96,"")</f>
        <v/>
      </c>
      <c r="D197">
        <f>IFERROR(D96,"")</f>
        <v/>
      </c>
    </row>
    <row r="198" hidden="1" outlineLevel="1">
      <c r="A198">
        <f>IFERROR(A97,"")</f>
        <v/>
      </c>
      <c r="D198">
        <f>IFERROR(D97,"")</f>
        <v/>
      </c>
    </row>
    <row r="199" hidden="1" outlineLevel="1">
      <c r="A199">
        <f>IFERROR(A98,"")</f>
        <v/>
      </c>
      <c r="D199">
        <f>IFERROR(D98,"")</f>
        <v/>
      </c>
    </row>
    <row r="200" hidden="1" outlineLevel="1">
      <c r="A200">
        <f>IFERROR(A99,"")</f>
        <v/>
      </c>
      <c r="D200">
        <f>IFERROR(D99,"")</f>
        <v/>
      </c>
    </row>
    <row r="201" hidden="1" outlineLevel="1">
      <c r="A201">
        <f>IFERROR(A100,"")</f>
        <v/>
      </c>
      <c r="D201">
        <f>IFERROR(D100,"")</f>
        <v/>
      </c>
    </row>
    <row r="202" hidden="1" outlineLevel="1">
      <c r="A202">
        <f>IFERROR(A101,"")</f>
        <v/>
      </c>
      <c r="D202">
        <f>IFERROR(D101,"")</f>
        <v/>
      </c>
    </row>
    <row r="203" hidden="1" outlineLevel="1">
      <c r="A203">
        <f>IFERROR(A102,"")</f>
        <v/>
      </c>
      <c r="D203">
        <f>IFERROR(D102,"")</f>
        <v/>
      </c>
    </row>
    <row r="204" hidden="1" outlineLevel="1">
      <c r="A204">
        <f>IFERROR(A103,"")</f>
        <v/>
      </c>
      <c r="D204">
        <f>IFERROR(D103,"")</f>
        <v/>
      </c>
    </row>
    <row r="205" hidden="1" outlineLevel="1">
      <c r="A205">
        <f>IFERROR(A104,"")</f>
        <v/>
      </c>
      <c r="D205">
        <f>IFERROR(D104,"")</f>
        <v/>
      </c>
    </row>
    <row r="206" hidden="1" outlineLevel="1">
      <c r="A206">
        <f>IFERROR(A105,"")</f>
        <v/>
      </c>
      <c r="D206">
        <f>IFERROR(D105,"")</f>
        <v/>
      </c>
    </row>
    <row r="207" hidden="1" outlineLevel="1">
      <c r="A207">
        <f>IFERROR(A106,"")</f>
        <v/>
      </c>
      <c r="D207">
        <f>IFERROR(D106,"")</f>
        <v/>
      </c>
    </row>
    <row r="208" hidden="1" outlineLevel="1">
      <c r="A208">
        <f>IFERROR(A107,"")</f>
        <v/>
      </c>
      <c r="D208">
        <f>IFERROR(D107,"")</f>
        <v/>
      </c>
    </row>
    <row r="209" hidden="1" outlineLevel="1">
      <c r="A209">
        <f>IFERROR(A108,"")</f>
        <v/>
      </c>
      <c r="D209">
        <f>IFERROR(D108,"")</f>
        <v/>
      </c>
    </row>
    <row r="210" hidden="1" outlineLevel="1">
      <c r="A210">
        <f>IFERROR(A109,"")</f>
        <v/>
      </c>
      <c r="D210">
        <f>IFERROR(D109,"")</f>
        <v/>
      </c>
    </row>
    <row r="211" hidden="1" outlineLevel="1">
      <c r="A211">
        <f>IFERROR(A110,"")</f>
        <v/>
      </c>
      <c r="D211">
        <f>IFERROR(D110,"")</f>
        <v/>
      </c>
    </row>
    <row r="212" hidden="1" outlineLevel="1">
      <c r="A212">
        <f>IFERROR(A111,"")</f>
        <v/>
      </c>
      <c r="D212">
        <f>IFERROR(D111,"")</f>
        <v/>
      </c>
    </row>
    <row r="213" hidden="1" outlineLevel="1">
      <c r="A213">
        <f>IFERROR(A112,"")</f>
        <v/>
      </c>
      <c r="D213">
        <f>IFERROR(D112,"")</f>
        <v/>
      </c>
    </row>
    <row r="214" hidden="1" outlineLevel="1">
      <c r="A214">
        <f>IFERROR(A113,"")</f>
        <v/>
      </c>
      <c r="D214">
        <f>IFERROR(D113,"")</f>
        <v/>
      </c>
    </row>
    <row r="215" hidden="1" outlineLevel="1">
      <c r="A215">
        <f>IFERROR(A114,"")</f>
        <v/>
      </c>
      <c r="D215">
        <f>IFERROR(D114,"")</f>
        <v/>
      </c>
    </row>
    <row r="216" hidden="1" outlineLevel="1">
      <c r="A216">
        <f>IFERROR(A115,"")</f>
        <v/>
      </c>
      <c r="D216">
        <f>IFERROR(D115,"")</f>
        <v/>
      </c>
    </row>
  </sheetData>
  <mergeCells count="1">
    <mergeCell ref="A1:Q1"/>
  </mergeCells>
  <dataValidations count="1">
    <dataValidation sqref="B16:B115 E16:E115 M16:M115 Q16:Q115" showDropDown="0" showInputMessage="0" showErrorMessage="0" allowBlank="0" type="list">
      <formula1>'Settings'!$W$16:$W$17</formula1>
    </dataValidation>
  </dataValidations>
  <pageMargins left="0.75" right="0.75" top="1" bottom="1" header="0.5" footer="0.5"/>
  <headerFooter>
    <oddHeader/>
    <oddFooter>&amp;CHotel Purchase Order Tracker&amp;RPage &amp;P of &amp;N</oddFooter>
    <evenHeader/>
    <evenFooter/>
    <firstHeader/>
    <firstFooter/>
  </headerFooter>
  <tableParts count="4">
    <tablePart xmlns:r="http://schemas.openxmlformats.org/officeDocument/2006/relationships" r:id="rId1"/>
    <tablePart xmlns:r="http://schemas.openxmlformats.org/officeDocument/2006/relationships" r:id="rId2"/>
    <tablePart xmlns:r="http://schemas.openxmlformats.org/officeDocument/2006/relationships" r:id="rId3"/>
    <tablePart xmlns:r="http://schemas.openxmlformats.org/officeDocument/2006/relationships" r:id="rId4"/>
  </tableParts>
</worksheet>
</file>

<file path=xl/worksheets/sheet4.xml><?xml version="1.0" encoding="utf-8"?>
<worksheet xmlns="http://schemas.openxmlformats.org/spreadsheetml/2006/main">
  <sheetPr>
    <outlinePr summaryBelow="1" summaryRight="1"/>
    <pageSetUpPr/>
  </sheetPr>
  <dimension ref="A1:H11"/>
  <sheetViews>
    <sheetView showGridLines="0" zoomScale="70" zoomScaleNormal="70" workbookViewId="0">
      <pane ySplit="2" topLeftCell="A3" activePane="bottomLeft" state="frozen"/>
      <selection pane="bottomLeft" activeCell="A1" sqref="A1"/>
    </sheetView>
  </sheetViews>
  <sheetFormatPr baseColWidth="8" defaultRowHeight="15"/>
  <cols>
    <col width="5" customWidth="1" min="1" max="1"/>
    <col width="32" customWidth="1" min="2" max="2"/>
    <col width="90" customWidth="1" min="3" max="3"/>
  </cols>
  <sheetData>
    <row r="1">
      <c r="A1" s="1" t="inlineStr">
        <is>
          <t>Hotel Purchase Order Tracker Instructions</t>
        </is>
      </c>
    </row>
    <row r="3" ht="42" customHeight="1">
      <c r="B3" s="41" t="inlineStr">
        <is>
          <t>Workbook Overview</t>
        </is>
      </c>
      <c r="C3" s="36" t="inlineStr">
        <is>
          <t>This standalone workbook supports purchase order tracking for hospitality operations. It does not automatically connect to a property management, point-of-sale, accounting, payroll, procurement, or other external system.</t>
        </is>
      </c>
    </row>
    <row r="4" ht="153" customHeight="1">
      <c r="B4" s="41" t="inlineStr">
        <is>
          <t>Recommended Workflow</t>
        </is>
      </c>
      <c r="C4" s="36" t="inlineStr">
        <is>
          <t>1. Review the editable assumptions and lists on Settings.
2. Add or update properties, departments, vendors, and cost codes.
3. Enter a unique PO Number before submitting an order.
4. Record expected quantity, unit cost, discounts, tax treatment, and freight.
5. Update approval fields when management reviews the request.
6. Update Quantity Received and Last Received Date after each delivery.
7. Record vendor invoice information and investigate flagged variances.
8. Close a purchase order only after receiving and invoice review are complete.
9. Review Dashboard exceptions regularly.</t>
        </is>
      </c>
    </row>
    <row r="5" ht="85" customHeight="1">
      <c r="B5" s="41" t="inlineStr">
        <is>
          <t>Field Guidance</t>
        </is>
      </c>
      <c r="C5" s="36" t="inlineStr">
        <is>
          <t>Expected Total is the line subtotal plus tax amount and freight.
Receipt Status compares received quantity with ordered quantity.
Invoice Variance is invoice amount minus expected total.
Uninvoiced Commitment estimates the remaining expected PO amount not represented by an entered invoice.
Attention Flag displays the highest-priority operational exception.</t>
        </is>
      </c>
    </row>
    <row r="6" ht="42" customHeight="1">
      <c r="B6" s="41" t="inlineStr">
        <is>
          <t>Important Assumptions</t>
        </is>
      </c>
      <c r="C6" s="36" t="inlineStr">
        <is>
          <t>Tax settings are user-controlled assumptions and do not provide tax advice. Approval thresholds are internal policy settings. Confirm tax treatment, approval practices, and review thresholds with the organization.</t>
        </is>
      </c>
    </row>
    <row r="7" ht="42" customHeight="1">
      <c r="B7" s="41" t="inlineStr">
        <is>
          <t>Data Entry Guidance</t>
        </is>
      </c>
      <c r="C7" s="36" t="inlineStr">
        <is>
          <t>Gold and blue cells are editable. Gray cells contain formulas. Do not paste over formula columns. Enter actual Excel dates, do not reuse PO numbers, and keep canceled records for history.</t>
        </is>
      </c>
    </row>
    <row r="8" ht="42" customHeight="1">
      <c r="B8" s="41" t="inlineStr">
        <is>
          <t>Operational Review Checklist</t>
        </is>
      </c>
      <c r="C8" s="36" t="inlineStr">
        <is>
          <t>Review pending approvals, missing approval details, overdue deliveries, over-receipts, invoice variances, aging open purchase orders, duplicate PO numbers, and vendors that are not listed in Settings.</t>
        </is>
      </c>
    </row>
    <row r="9" ht="42" customHeight="1">
      <c r="B9" s="41" t="inlineStr">
        <is>
          <t>Dashboard</t>
        </is>
      </c>
      <c r="C9" s="36" t="inlineStr">
        <is>
          <t>Use the Property Filter and Department Filter to focus KPI cards, exception results, and summary tables. Select All for a workbook-wide view.</t>
        </is>
      </c>
    </row>
    <row r="10" ht="42" customHeight="1">
      <c r="B10" s="41" t="inlineStr">
        <is>
          <t>Purchase Orders</t>
        </is>
      </c>
      <c r="C10" s="36" t="inlineStr">
        <is>
          <t>Enter transaction details in editable cells. Vendor Name, totals, receipt status, variance, commitment, aging, and attention fields calculate automatically.</t>
        </is>
      </c>
    </row>
    <row r="11" ht="42" customHeight="1">
      <c r="B11" s="41" t="inlineStr">
        <is>
          <t>Settings</t>
        </is>
      </c>
      <c r="C11" s="36" t="inlineStr">
        <is>
          <t>Maintain assumptions and dropdown lists. Prepared blank rows are available for additional properties, departments, vendors, and cost codes.</t>
        </is>
      </c>
    </row>
  </sheetData>
  <mergeCells count="1">
    <mergeCell ref="A1:H1"/>
  </mergeCells>
  <pageMargins left="0.75" right="0.75" top="1" bottom="1" header="0.5" footer="0.5"/>
  <headerFooter>
    <oddHeader/>
    <oddFooter>&amp;CHotel Purchase Order Tracker&amp;RPage &amp;P of &amp;N</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2026-09-06T02:19:57Z</dcterms:created>
  <dcterms:modified xmlns:dcterms="http://purl.org/dc/terms/" xmlns:xsi="http://www.w3.org/2001/XMLSchema-instance" xsi:type="dcterms:W3CDTF">2026-09-06T02:19:59+00:00Z</dcterms:modified>
</cp:coreProperties>
</file>