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ily Forecast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'Dashboard'!$A$23:$I$54</definedName>
    <definedName name="_xlnm.Print_Area" localSheetId="0">'Dashboard'!$A$1:$R$54</definedName>
    <definedName name="_xlnm.Print_Area" localSheetId="1">'Daily Forecast'!$A$1:$AI$371</definedName>
    <definedName name="_xlnm.Print_Area" localSheetId="2">'Assumptions'!$A$1:$C$29</definedName>
    <definedName name="_xlnm.Print_Area" localSheetId="3">'Instructions'!$A$1:$A$35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i val="1"/>
      <color rgb="0036566F"/>
      <sz val="11"/>
    </font>
    <font>
      <name val="Aptos"/>
      <b val="1"/>
      <color rgb="00243746"/>
      <sz val="10"/>
    </font>
    <font>
      <name val="Aptos"/>
      <b val="1"/>
      <color rgb="00FFFFFF"/>
      <sz val="11"/>
    </font>
    <font>
      <name val="Aptos"/>
      <b val="1"/>
      <color rgb="0017324D"/>
      <sz val="13"/>
    </font>
    <font>
      <name val="Aptos"/>
      <color rgb="00243746"/>
      <sz val="10"/>
    </font>
    <font>
      <name val="Aptos"/>
      <color rgb="00526777"/>
      <sz val="9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1CE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FFFFFF"/>
      </patternFill>
    </fill>
    <fill>
      <patternFill patternType="solid">
        <fgColor rgb="00E8F1F5"/>
      </patternFill>
    </fill>
    <fill>
      <patternFill patternType="solid">
        <fgColor rgb="00E4F3EA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164" fontId="3" fillId="3" borderId="1" pivotButton="0" quotePrefix="0" xfId="0"/>
    <xf numFmtId="0" fontId="0" fillId="0" borderId="1" pivotButton="0" quotePrefix="0" xfId="0"/>
    <xf numFmtId="0" fontId="4" fillId="4" borderId="1" pivotButton="0" quotePrefix="0" xfId="0"/>
    <xf numFmtId="0" fontId="3" fillId="5" borderId="1" pivotButton="0" quotePrefix="0" xfId="0"/>
    <xf numFmtId="1" fontId="5" fillId="6" borderId="1" pivotButton="0" quotePrefix="0" xfId="0"/>
    <xf numFmtId="165" fontId="5" fillId="6" borderId="1" pivotButton="0" quotePrefix="0" xfId="0"/>
    <xf numFmtId="166" fontId="5" fillId="6" borderId="1" pivotButton="0" quotePrefix="0" xfId="0"/>
    <xf numFmtId="0" fontId="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64" fontId="0" fillId="5" borderId="1" pivotButton="0" quotePrefix="0" xfId="0"/>
    <xf numFmtId="0" fontId="0" fillId="5" borderId="1" pivotButton="0" quotePrefix="0" xfId="0"/>
    <xf numFmtId="166" fontId="0" fillId="5" borderId="1" pivotButton="0" quotePrefix="0" xfId="0"/>
    <xf numFmtId="165" fontId="0" fillId="5" borderId="1" pivotButton="0" quotePrefix="0" xfId="0"/>
    <xf numFmtId="164" fontId="0" fillId="6" borderId="1" pivotButton="0" quotePrefix="0" xfId="0"/>
    <xf numFmtId="0" fontId="0" fillId="6" borderId="1" pivotButton="0" quotePrefix="0" xfId="0"/>
    <xf numFmtId="166" fontId="0" fillId="6" borderId="1" pivotButton="0" quotePrefix="0" xfId="0"/>
    <xf numFmtId="165" fontId="0" fillId="6" borderId="1" pivotButton="0" quotePrefix="0" xfId="0"/>
    <xf numFmtId="0" fontId="4" fillId="2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1" fontId="6" fillId="3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left" vertical="center"/>
    </xf>
    <xf numFmtId="166" fontId="6" fillId="7" borderId="1" applyAlignment="1" pivotButton="0" quotePrefix="0" xfId="0">
      <alignment horizontal="left" vertical="center"/>
    </xf>
    <xf numFmtId="165" fontId="6" fillId="3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left" vertical="center"/>
    </xf>
    <xf numFmtId="1" fontId="6" fillId="8" borderId="1" applyAlignment="1" pivotButton="0" quotePrefix="0" xfId="0">
      <alignment horizontal="left" vertical="center"/>
    </xf>
    <xf numFmtId="165" fontId="6" fillId="8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6" fillId="3" borderId="1" pivotButton="0" quotePrefix="0" xfId="0"/>
    <xf numFmtId="0" fontId="6" fillId="0" borderId="1" pivotButton="0" quotePrefix="0" xfId="0"/>
    <xf numFmtId="166" fontId="6" fillId="3" borderId="1" pivotButton="0" quotePrefix="0" xfId="0"/>
    <xf numFmtId="165" fontId="6" fillId="3" borderId="1" pivotButton="0" quotePrefix="0" xfId="0"/>
    <xf numFmtId="0" fontId="4" fillId="4" borderId="0" pivotButton="0" quotePrefix="0" xfId="0"/>
    <xf numFmtId="0" fontId="7" fillId="0" borderId="0" applyAlignment="1" pivotButton="0" quotePrefix="0" xfId="0">
      <alignment horizontal="left" vertical="top" wrapText="1"/>
    </xf>
    <xf numFmtId="166" fontId="0" fillId="3" borderId="1" pivotButton="0" quotePrefix="0" xfId="0"/>
    <xf numFmtId="0" fontId="0" fillId="0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5" fontId="5" fillId="6" borderId="1" pivotButton="0" quotePrefix="0" xfId="0"/>
    <xf numFmtId="165" fontId="0" fillId="5" borderId="1" pivotButton="0" quotePrefix="0" xfId="0"/>
    <xf numFmtId="165" fontId="0" fillId="6" borderId="1" pivotButton="0" quotePrefix="0" xfId="0"/>
    <xf numFmtId="165" fontId="6" fillId="3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left" vertical="center"/>
    </xf>
    <xf numFmtId="165" fontId="6" fillId="8" borderId="1" applyAlignment="1" pivotButton="0" quotePrefix="0" xfId="0">
      <alignment horizontal="left" vertical="center"/>
    </xf>
    <xf numFmtId="165" fontId="6" fillId="3" borderId="1" pivotButton="0" quotePrefix="0" xfId="0"/>
  </cellXfs>
  <cellStyles count="1">
    <cellStyle name="Normal" xfId="0" builtinId="0" hidden="0"/>
  </cellStyles>
  <dxfs count="3">
    <dxf>
      <font>
        <name val="Aptos"/>
        <b val="1"/>
        <color rgb="00147D64"/>
        <sz val="10"/>
      </font>
      <fill>
        <patternFill patternType="solid">
          <fgColor rgb="00D9EDE7"/>
        </patternFill>
      </fill>
    </dxf>
    <dxf>
      <font>
        <name val="Aptos"/>
        <b val="1"/>
        <color rgb="00C73939"/>
        <sz val="10"/>
      </font>
      <fill>
        <patternFill patternType="solid">
          <fgColor rgb="00FCE3E3"/>
        </patternFill>
      </fill>
    </dxf>
    <dxf>
      <font>
        <name val="Aptos"/>
        <b val="1"/>
        <color rgb="009A6700"/>
        <sz val="10"/>
      </font>
      <fill>
        <patternFill patternType="solid">
          <fgColor rgb="00FFF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Occupancy Outlook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'Dashboard'!I23</f>
            </strRef>
          </tx>
          <spPr>
            <a:ln xmlns:a="http://schemas.openxmlformats.org/drawingml/2006/main" w="25000">
              <a:solidFill>
                <a:srgbClr val="5B8FF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'Dashboard'!$A$24:$A$33</f>
            </numRef>
          </cat>
          <val>
            <numRef>
              <f>'Dashboard'!$I$24:$I$33</f>
            </numRef>
          </val>
        </ser>
        <ser>
          <idx val="1"/>
          <order val="1"/>
          <tx>
            <strRef>
              <f>'Dashboard'!E23</f>
            </strRef>
          </tx>
          <spPr>
            <a:ln xmlns:a="http://schemas.openxmlformats.org/drawingml/2006/main" w="25000">
              <a:solidFill>
                <a:srgbClr val="147D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'Dashboard'!$A$24:$A$33</f>
            </numRef>
          </cat>
          <val>
            <numRef>
              <f>'Dashboard'!$E$24:$E$33</f>
            </numRef>
          </val>
        </ser>
        <ser>
          <idx val="2"/>
          <order val="2"/>
          <tx>
            <strRef>
              <f>'Dashboard'!F23</f>
            </strRef>
          </tx>
          <spPr>
            <a:ln xmlns:a="http://schemas.openxmlformats.org/drawingml/2006/main" w="25000">
              <a:solidFill>
                <a:srgbClr val="F6BD1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'Dashboard'!$A$24:$A$33</f>
            </numRef>
          </cat>
          <val>
            <numRef>
              <f>'Dashboard'!$F$24:$F$33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Forecast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Forecast Room Revenue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'Dashboard'!H23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17324D"/>
              </a:solidFill>
              <a:prstDash val="solid"/>
            </a:ln>
          </spPr>
          <cat>
            <numRef>
              <f>'Dashboard'!$A$24:$A$33</f>
            </numRef>
          </cat>
          <val>
            <numRef>
              <f>'Dashboard'!$H$24:$H$33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Forecast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 Revenue</a:t>
                </a:r>
              </a:p>
            </rich>
          </tx>
        </title>
        <numFmt formatCode="$#,##0.0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4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ForecastTable" displayName="ForecastTable" ref="A1:AI371" headerRowCount="1">
  <autoFilter ref="A1:AI371"/>
  <tableColumns count="35">
    <tableColumn id="1" name="Forecast Date"/>
    <tableColumn id="2" name="Day of Week"/>
    <tableColumn id="3" name="Forecast Status"/>
    <tableColumn id="4" name="Demand Notes"/>
    <tableColumn id="5" name="Source Reference"/>
    <tableColumn id="6" name="Total Rooms"/>
    <tableColumn id="7" name="Out-of-Order Rooms"/>
    <tableColumn id="8" name="Sellable Rooms"/>
    <tableColumn id="9" name="Transient Rooms on the Books"/>
    <tableColumn id="10" name="Group Rooms on the Books"/>
    <tableColumn id="11" name="Rooms on the Books"/>
    <tableColumn id="12" name="On-the-Books Occupancy"/>
    <tableColumn id="13" name="Baseline Occupancy"/>
    <tableColumn id="14" name="Expected Pickup Rooms"/>
    <tableColumn id="15" name="Event Demand Adjustment"/>
    <tableColumn id="16" name="Management Occupied Rooms Override"/>
    <tableColumn id="17" name="Model Forecast Occupied Rooms"/>
    <tableColumn id="18" name="Final Forecast Occupied Rooms"/>
    <tableColumn id="19" name="Pickup Still Needed"/>
    <tableColumn id="20" name="Forecast Occupancy"/>
    <tableColumn id="21" name="Target Occupancy"/>
    <tableColumn id="22" name="Occupancy to Target"/>
    <tableColumn id="23" name="On-the-Books ADR"/>
    <tableColumn id="24" name="Forecast ADR Override"/>
    <tableColumn id="25" name="Final Forecast ADR"/>
    <tableColumn id="26" name="Forecast Room Revenue"/>
    <tableColumn id="27" name="Forecast RevPAR"/>
    <tableColumn id="28" name="Actual Occupied Rooms"/>
    <tableColumn id="29" name="Actual ADR"/>
    <tableColumn id="30" name="Actual Occupancy"/>
    <tableColumn id="31" name="Actual Room Revenue"/>
    <tableColumn id="32" name="Occupied Rooms Variance"/>
    <tableColumn id="33" name="Occupancy Forecast Error"/>
    <tableColumn id="34" name="Revenue Variance"/>
    <tableColumn id="35" name="Operational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I101"/>
  <sheetViews>
    <sheetView showGridLines="0" zoomScale="70" zoomScaleNormal="70" workbookViewId="0">
      <pane ySplit="22" topLeftCell="A23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20" customWidth="1" min="3" max="3"/>
    <col width="31" customWidth="1" min="4" max="4"/>
    <col width="20" customWidth="1" min="5" max="5"/>
    <col width="18" customWidth="1" min="6" max="6"/>
    <col width="18" customWidth="1" min="7" max="7"/>
    <col width="23" customWidth="1" min="8" max="8"/>
    <col width="22" customWidth="1" min="9" max="9"/>
  </cols>
  <sheetData>
    <row r="1" ht="32" customHeight="1">
      <c r="A1" s="1" t="inlineStr">
        <is>
          <t>Hotel Occupancy Forecast</t>
        </is>
      </c>
      <c r="B1" s="45" t="n"/>
      <c r="C1" s="45" t="n"/>
      <c r="D1" s="45" t="n"/>
      <c r="E1" s="45" t="n"/>
      <c r="F1" s="45" t="n"/>
      <c r="G1" s="45" t="n"/>
      <c r="H1" s="46" t="n"/>
    </row>
    <row r="2">
      <c r="A2" s="2" t="inlineStr">
        <is>
          <t>Daily rooms, occupancy, ADR, and room revenue outlook</t>
        </is>
      </c>
    </row>
    <row r="3">
      <c r="A3" s="3" t="inlineStr">
        <is>
          <t>Property</t>
        </is>
      </c>
      <c r="B3">
        <f>IFERROR('Assumptions'!$B$3,"")</f>
        <v/>
      </c>
      <c r="D3" s="3" t="inlineStr">
        <is>
          <t>Last Updated</t>
        </is>
      </c>
      <c r="E3" s="4">
        <f>IFERROR(TODAY(),"")</f>
        <v/>
      </c>
    </row>
    <row r="4"/>
    <row r="5">
      <c r="A5" s="3" t="inlineStr">
        <is>
          <t>Report Start Date</t>
        </is>
      </c>
      <c r="B5" s="5" t="n">
        <v>46174</v>
      </c>
    </row>
    <row r="6">
      <c r="A6" s="3" t="inlineStr">
        <is>
          <t>Report End Date</t>
        </is>
      </c>
      <c r="B6" s="5" t="n">
        <v>46183</v>
      </c>
    </row>
    <row r="7">
      <c r="A7" s="3" t="inlineStr">
        <is>
          <t>Date Range Check</t>
        </is>
      </c>
      <c r="B7" s="6">
        <f>IFERROR(IF(OR(B5="",B6=""),"Enter both report dates.",IF(B5&gt;B6,"Start date must be on or before end date.","Ready")),"Enter both report dates.")</f>
        <v/>
      </c>
    </row>
    <row r="8"/>
    <row r="9">
      <c r="A9" s="7" t="inlineStr">
        <is>
          <t>Period KPIs</t>
        </is>
      </c>
      <c r="D9" s="7" t="inlineStr">
        <is>
          <t>Period KPIs</t>
        </is>
      </c>
    </row>
    <row r="10">
      <c r="A10" s="8" t="inlineStr">
        <is>
          <t>Sellable Room Nights</t>
        </is>
      </c>
      <c r="B10" s="9">
        <f>IFERROR(SUMIFS('Daily Forecast'!$H$2:$H$371,'Daily Forecast'!$A$2:$A$371,"&gt;="&amp;$B$5,'Daily Forecast'!$A$2:$A$371,"&lt;="&amp;$B$6),0)</f>
        <v/>
      </c>
      <c r="D10" s="8" t="inlineStr">
        <is>
          <t>Forecast RevPAR</t>
        </is>
      </c>
      <c r="E10" s="47">
        <f>IFERROR(SUMIFS('Daily Forecast'!$Z$2:$Z$371,'Daily Forecast'!$A$2:$A$371,"&gt;="&amp;$B$5,'Daily Forecast'!$A$2:$A$371,"&lt;="&amp;$B$6)/SUMIFS('Daily Forecast'!$H$2:$H$371,'Daily Forecast'!$A$2:$A$371,"&gt;="&amp;$B$5,'Daily Forecast'!$A$2:$A$371,"&lt;="&amp;$B$6),0)</f>
        <v/>
      </c>
    </row>
    <row r="11">
      <c r="A11" s="8" t="inlineStr">
        <is>
          <t>Rooms on the Books</t>
        </is>
      </c>
      <c r="B11" s="9">
        <f>IFERROR(SUMIFS('Daily Forecast'!$K$2:$K$371,'Daily Forecast'!$A$2:$A$371,"&gt;="&amp;$B$5,'Daily Forecast'!$A$2:$A$371,"&lt;="&amp;$B$6),0)</f>
        <v/>
      </c>
      <c r="D11" s="8" t="inlineStr">
        <is>
          <t>Forecast Room Revenue</t>
        </is>
      </c>
      <c r="E11" s="47">
        <f>IFERROR(SUMIFS('Daily Forecast'!$Z$2:$Z$371,'Daily Forecast'!$A$2:$A$371,"&gt;="&amp;$B$5,'Daily Forecast'!$A$2:$A$371,"&lt;="&amp;$B$6),0)</f>
        <v/>
      </c>
    </row>
    <row r="12">
      <c r="A12" s="8" t="inlineStr">
        <is>
          <t>Forecast Occupied Rooms</t>
        </is>
      </c>
      <c r="B12" s="9">
        <f>IFERROR(SUMIFS('Daily Forecast'!$R$2:$R$371,'Daily Forecast'!$A$2:$A$371,"&gt;="&amp;$B$5,'Daily Forecast'!$A$2:$A$371,"&lt;="&amp;$B$6),0)</f>
        <v/>
      </c>
      <c r="D12" s="8" t="inlineStr">
        <is>
          <t>Pickup Still Needed</t>
        </is>
      </c>
      <c r="E12" s="9">
        <f>IFERROR(SUMIFS('Daily Forecast'!$S$2:$S$371,'Daily Forecast'!$A$2:$A$371,"&gt;="&amp;$B$5,'Daily Forecast'!$A$2:$A$371,"&lt;="&amp;$B$6),0)</f>
        <v/>
      </c>
    </row>
    <row r="13">
      <c r="A13" s="8" t="inlineStr">
        <is>
          <t>Forecast Occupancy</t>
        </is>
      </c>
      <c r="B13" s="11">
        <f>IFERROR(SUMIFS('Daily Forecast'!$R$2:$R$371,'Daily Forecast'!$A$2:$A$371,"&gt;="&amp;$B$5,'Daily Forecast'!$A$2:$A$371,"&lt;="&amp;$B$6)/SUMIFS('Daily Forecast'!$H$2:$H$371,'Daily Forecast'!$A$2:$A$371,"&gt;="&amp;$B$5,'Daily Forecast'!$A$2:$A$371,"&lt;="&amp;$B$6),0)</f>
        <v/>
      </c>
      <c r="D13" s="8" t="inlineStr">
        <is>
          <t>Out-of-Order Room Nights</t>
        </is>
      </c>
      <c r="E13" s="9">
        <f>IFERROR(SUMIFS('Daily Forecast'!$G$2:$G$371,'Daily Forecast'!$A$2:$A$371,"&gt;="&amp;$B$5,'Daily Forecast'!$A$2:$A$371,"&lt;="&amp;$B$6),0)</f>
        <v/>
      </c>
    </row>
    <row r="14">
      <c r="A14" s="8" t="inlineStr">
        <is>
          <t>Forecast ADR</t>
        </is>
      </c>
      <c r="B14" s="47">
        <f>IFERROR(SUMIFS('Daily Forecast'!$Z$2:$Z$371,'Daily Forecast'!$A$2:$A$371,"&gt;="&amp;$B$5,'Daily Forecast'!$A$2:$A$371,"&lt;="&amp;$B$6)/SUMIFS('Daily Forecast'!$R$2:$R$371,'Daily Forecast'!$A$2:$A$371,"&gt;="&amp;$B$5,'Daily Forecast'!$A$2:$A$371,"&lt;="&amp;$B$6),0)</f>
        <v/>
      </c>
      <c r="D14" s="8" t="inlineStr">
        <is>
          <t>Average Forecast Variance</t>
        </is>
      </c>
      <c r="E14" s="11">
        <f>IFERROR(IF(COUNTIFS('Daily Forecast'!$A$2:$A$371,"&gt;="&amp;$B$5,'Daily Forecast'!$A$2:$A$371,"&lt;="&amp;$B$6,'Daily Forecast'!$AB$2:$AB$371,"&lt;&gt;")=0,"No actuals entered",SUMIFS('Daily Forecast'!$AG$2:$AG$371,'Daily Forecast'!$A$2:$A$371,"&gt;="&amp;$B$5,'Daily Forecast'!$A$2:$A$371,"&lt;="&amp;$B$6)/COUNTIFS('Daily Forecast'!$A$2:$A$371,"&gt;="&amp;$B$5,'Daily Forecast'!$A$2:$A$371,"&lt;="&amp;$B$6,'Daily Forecast'!$AB$2:$AB$371,"&lt;&gt;")),"No actuals entered")</f>
        <v/>
      </c>
    </row>
    <row r="15"/>
    <row r="16">
      <c r="A16" s="7" t="inlineStr">
        <is>
          <t>Operational Alerts</t>
        </is>
      </c>
    </row>
    <row r="17">
      <c r="A17" s="12" t="inlineStr">
        <is>
          <t>Dates Above High-Occupancy Threshold</t>
        </is>
      </c>
      <c r="B17" s="13">
        <f>IFERROR(COUNTIFS('Daily Forecast'!$A$2:$A$371,"&gt;="&amp;$B$5,'Daily Forecast'!$A$2:$A$371,"&lt;="&amp;$B$6,'Daily Forecast'!$T$2:$T$371,"&gt;="&amp;'Assumptions'!$B$6),0)</f>
        <v/>
      </c>
    </row>
    <row r="18">
      <c r="A18" s="12" t="inlineStr">
        <is>
          <t>Dates Below Low-Occupancy Threshold</t>
        </is>
      </c>
      <c r="B18" s="13">
        <f>IFERROR(COUNTIFS('Daily Forecast'!$A$2:$A$371,"&gt;="&amp;$B$5,'Daily Forecast'!$A$2:$A$371,"&lt;="&amp;$B$6,'Daily Forecast'!$T$2:$T$371,"&lt;"&amp;'Assumptions'!$B$7),0)</f>
        <v/>
      </c>
    </row>
    <row r="19">
      <c r="A19" s="12" t="inlineStr">
        <is>
          <t>Dates with Out-of-Order Rooms</t>
        </is>
      </c>
      <c r="B19" s="13">
        <f>IFERROR(COUNTIFS('Daily Forecast'!$A$2:$A$371,"&gt;="&amp;$B$5,'Daily Forecast'!$A$2:$A$371,"&lt;="&amp;$B$6,'Daily Forecast'!$G$2:$G$371,"&gt;0"),0)</f>
        <v/>
      </c>
    </row>
    <row r="20">
      <c r="A20" s="12" t="inlineStr">
        <is>
          <t>Dates Forecast Above Sellable Inventory</t>
        </is>
      </c>
      <c r="B20" s="13">
        <f>IFERROR(COUNTIFS('Daily Forecast'!$A$2:$A$371,"&gt;="&amp;$B$5,'Daily Forecast'!$A$2:$A$371,"&lt;="&amp;$B$6,'Daily Forecast'!$AI$2:$AI$371,"Forecast exceeds sellable rooms"),0)</f>
        <v/>
      </c>
    </row>
    <row r="21">
      <c r="A21" s="12" t="inlineStr">
        <is>
          <t>Past Dates Missing Actual Results</t>
        </is>
      </c>
      <c r="B21" s="13">
        <f>IFERROR(COUNTIFS('Daily Forecast'!$A$2:$A$371,"&gt;="&amp;$B$5,'Daily Forecast'!$A$2:$A$371,"&lt;="&amp;$B$6,'Daily Forecast'!$A$2:$A$371,"&lt;"&amp;TODAY(),'Daily Forecast'!$AB$2:$AB$371,""),0)</f>
        <v/>
      </c>
    </row>
    <row r="22"/>
    <row r="23">
      <c r="A23" s="14" t="inlineStr">
        <is>
          <t>Date</t>
        </is>
      </c>
      <c r="B23" s="14" t="inlineStr">
        <is>
          <t>Sellable Rooms</t>
        </is>
      </c>
      <c r="C23" s="14" t="inlineStr">
        <is>
          <t>Rooms on the Books</t>
        </is>
      </c>
      <c r="D23" s="14" t="inlineStr">
        <is>
          <t>Final Forecast Occupied Rooms</t>
        </is>
      </c>
      <c r="E23" s="14" t="inlineStr">
        <is>
          <t>Forecast Occupancy</t>
        </is>
      </c>
      <c r="F23" s="14" t="inlineStr">
        <is>
          <t>Target Occupancy</t>
        </is>
      </c>
      <c r="G23" s="14" t="inlineStr">
        <is>
          <t>Forecast ADR</t>
        </is>
      </c>
      <c r="H23" s="14" t="inlineStr">
        <is>
          <t>Forecast Room Revenue</t>
        </is>
      </c>
      <c r="I23" s="14" t="inlineStr">
        <is>
          <t>On-the-Books Occupancy</t>
        </is>
      </c>
    </row>
    <row r="24">
      <c r="A24" s="15">
        <f>IFERROR(IF(OR($B$5="",$B$6="",$B$5+0&gt;$B$6),"",$B$5+0),"")</f>
        <v/>
      </c>
      <c r="B24" s="16">
        <f>IFERROR(IF($A24="","",SUMIFS('Daily Forecast'!$H$2:$H$371,'Daily Forecast'!$A$2:$A$371,$A24)),"")</f>
        <v/>
      </c>
      <c r="C24" s="16">
        <f>IFERROR(IF($A24="","",SUMIFS('Daily Forecast'!$K$2:$K$371,'Daily Forecast'!$A$2:$A$371,$A24)),"")</f>
        <v/>
      </c>
      <c r="D24" s="16">
        <f>IFERROR(IF($A24="","",SUMIFS('Daily Forecast'!$R$2:$R$371,'Daily Forecast'!$A$2:$A$371,$A24)),"")</f>
        <v/>
      </c>
      <c r="E24" s="17">
        <f>IFERROR(IF($A24="","",$D24/$B24),"")</f>
        <v/>
      </c>
      <c r="F24" s="17">
        <f>IFERROR(IF($A24="","",VLOOKUP($A24,'Daily Forecast'!$A$2:$U$371,21,0)),"")</f>
        <v/>
      </c>
      <c r="G24" s="48">
        <f>IFERROR(IF($A24="","",VLOOKUP($A24,'Daily Forecast'!$A$2:$Y$371,25,0)),"")</f>
        <v/>
      </c>
      <c r="H24" s="48">
        <f>IFERROR(IF($A24="","",SUMIFS('Daily Forecast'!$Z$2:$Z$371,'Daily Forecast'!$A$2:$A$371,$A24)),"")</f>
        <v/>
      </c>
      <c r="I24" s="17">
        <f>IFERROR(IF($A24="","",$C24/$B24),"")</f>
        <v/>
      </c>
    </row>
    <row r="25">
      <c r="A25" s="19">
        <f>IFERROR(IF(OR($B$5="",$B$6="",$B$5+1&gt;$B$6),"",$B$5+1),"")</f>
        <v/>
      </c>
      <c r="B25" s="20">
        <f>IFERROR(IF($A25="","",SUMIFS('Daily Forecast'!$H$2:$H$371,'Daily Forecast'!$A$2:$A$371,$A25)),"")</f>
        <v/>
      </c>
      <c r="C25" s="20">
        <f>IFERROR(IF($A25="","",SUMIFS('Daily Forecast'!$K$2:$K$371,'Daily Forecast'!$A$2:$A$371,$A25)),"")</f>
        <v/>
      </c>
      <c r="D25" s="20">
        <f>IFERROR(IF($A25="","",SUMIFS('Daily Forecast'!$R$2:$R$371,'Daily Forecast'!$A$2:$A$371,$A25)),"")</f>
        <v/>
      </c>
      <c r="E25" s="21">
        <f>IFERROR(IF($A25="","",$D25/$B25),"")</f>
        <v/>
      </c>
      <c r="F25" s="21">
        <f>IFERROR(IF($A25="","",VLOOKUP($A25,'Daily Forecast'!$A$2:$U$371,21,0)),"")</f>
        <v/>
      </c>
      <c r="G25" s="49">
        <f>IFERROR(IF($A25="","",VLOOKUP($A25,'Daily Forecast'!$A$2:$Y$371,25,0)),"")</f>
        <v/>
      </c>
      <c r="H25" s="49">
        <f>IFERROR(IF($A25="","",SUMIFS('Daily Forecast'!$Z$2:$Z$371,'Daily Forecast'!$A$2:$A$371,$A25)),"")</f>
        <v/>
      </c>
      <c r="I25" s="21">
        <f>IFERROR(IF($A25="","",$C25/$B25),"")</f>
        <v/>
      </c>
    </row>
    <row r="26">
      <c r="A26" s="15">
        <f>IFERROR(IF(OR($B$5="",$B$6="",$B$5+2&gt;$B$6),"",$B$5+2),"")</f>
        <v/>
      </c>
      <c r="B26" s="16">
        <f>IFERROR(IF($A26="","",SUMIFS('Daily Forecast'!$H$2:$H$371,'Daily Forecast'!$A$2:$A$371,$A26)),"")</f>
        <v/>
      </c>
      <c r="C26" s="16">
        <f>IFERROR(IF($A26="","",SUMIFS('Daily Forecast'!$K$2:$K$371,'Daily Forecast'!$A$2:$A$371,$A26)),"")</f>
        <v/>
      </c>
      <c r="D26" s="16">
        <f>IFERROR(IF($A26="","",SUMIFS('Daily Forecast'!$R$2:$R$371,'Daily Forecast'!$A$2:$A$371,$A26)),"")</f>
        <v/>
      </c>
      <c r="E26" s="17">
        <f>IFERROR(IF($A26="","",$D26/$B26),"")</f>
        <v/>
      </c>
      <c r="F26" s="17">
        <f>IFERROR(IF($A26="","",VLOOKUP($A26,'Daily Forecast'!$A$2:$U$371,21,0)),"")</f>
        <v/>
      </c>
      <c r="G26" s="48">
        <f>IFERROR(IF($A26="","",VLOOKUP($A26,'Daily Forecast'!$A$2:$Y$371,25,0)),"")</f>
        <v/>
      </c>
      <c r="H26" s="48">
        <f>IFERROR(IF($A26="","",SUMIFS('Daily Forecast'!$Z$2:$Z$371,'Daily Forecast'!$A$2:$A$371,$A26)),"")</f>
        <v/>
      </c>
      <c r="I26" s="17">
        <f>IFERROR(IF($A26="","",$C26/$B26),"")</f>
        <v/>
      </c>
    </row>
    <row r="27">
      <c r="A27" s="19">
        <f>IFERROR(IF(OR($B$5="",$B$6="",$B$5+3&gt;$B$6),"",$B$5+3),"")</f>
        <v/>
      </c>
      <c r="B27" s="20">
        <f>IFERROR(IF($A27="","",SUMIFS('Daily Forecast'!$H$2:$H$371,'Daily Forecast'!$A$2:$A$371,$A27)),"")</f>
        <v/>
      </c>
      <c r="C27" s="20">
        <f>IFERROR(IF($A27="","",SUMIFS('Daily Forecast'!$K$2:$K$371,'Daily Forecast'!$A$2:$A$371,$A27)),"")</f>
        <v/>
      </c>
      <c r="D27" s="20">
        <f>IFERROR(IF($A27="","",SUMIFS('Daily Forecast'!$R$2:$R$371,'Daily Forecast'!$A$2:$A$371,$A27)),"")</f>
        <v/>
      </c>
      <c r="E27" s="21">
        <f>IFERROR(IF($A27="","",$D27/$B27),"")</f>
        <v/>
      </c>
      <c r="F27" s="21">
        <f>IFERROR(IF($A27="","",VLOOKUP($A27,'Daily Forecast'!$A$2:$U$371,21,0)),"")</f>
        <v/>
      </c>
      <c r="G27" s="49">
        <f>IFERROR(IF($A27="","",VLOOKUP($A27,'Daily Forecast'!$A$2:$Y$371,25,0)),"")</f>
        <v/>
      </c>
      <c r="H27" s="49">
        <f>IFERROR(IF($A27="","",SUMIFS('Daily Forecast'!$Z$2:$Z$371,'Daily Forecast'!$A$2:$A$371,$A27)),"")</f>
        <v/>
      </c>
      <c r="I27" s="21">
        <f>IFERROR(IF($A27="","",$C27/$B27),"")</f>
        <v/>
      </c>
    </row>
    <row r="28">
      <c r="A28" s="15">
        <f>IFERROR(IF(OR($B$5="",$B$6="",$B$5+4&gt;$B$6),"",$B$5+4),"")</f>
        <v/>
      </c>
      <c r="B28" s="16">
        <f>IFERROR(IF($A28="","",SUMIFS('Daily Forecast'!$H$2:$H$371,'Daily Forecast'!$A$2:$A$371,$A28)),"")</f>
        <v/>
      </c>
      <c r="C28" s="16">
        <f>IFERROR(IF($A28="","",SUMIFS('Daily Forecast'!$K$2:$K$371,'Daily Forecast'!$A$2:$A$371,$A28)),"")</f>
        <v/>
      </c>
      <c r="D28" s="16">
        <f>IFERROR(IF($A28="","",SUMIFS('Daily Forecast'!$R$2:$R$371,'Daily Forecast'!$A$2:$A$371,$A28)),"")</f>
        <v/>
      </c>
      <c r="E28" s="17">
        <f>IFERROR(IF($A28="","",$D28/$B28),"")</f>
        <v/>
      </c>
      <c r="F28" s="17">
        <f>IFERROR(IF($A28="","",VLOOKUP($A28,'Daily Forecast'!$A$2:$U$371,21,0)),"")</f>
        <v/>
      </c>
      <c r="G28" s="48">
        <f>IFERROR(IF($A28="","",VLOOKUP($A28,'Daily Forecast'!$A$2:$Y$371,25,0)),"")</f>
        <v/>
      </c>
      <c r="H28" s="48">
        <f>IFERROR(IF($A28="","",SUMIFS('Daily Forecast'!$Z$2:$Z$371,'Daily Forecast'!$A$2:$A$371,$A28)),"")</f>
        <v/>
      </c>
      <c r="I28" s="17">
        <f>IFERROR(IF($A28="","",$C28/$B28),"")</f>
        <v/>
      </c>
    </row>
    <row r="29">
      <c r="A29" s="19">
        <f>IFERROR(IF(OR($B$5="",$B$6="",$B$5+5&gt;$B$6),"",$B$5+5),"")</f>
        <v/>
      </c>
      <c r="B29" s="20">
        <f>IFERROR(IF($A29="","",SUMIFS('Daily Forecast'!$H$2:$H$371,'Daily Forecast'!$A$2:$A$371,$A29)),"")</f>
        <v/>
      </c>
      <c r="C29" s="20">
        <f>IFERROR(IF($A29="","",SUMIFS('Daily Forecast'!$K$2:$K$371,'Daily Forecast'!$A$2:$A$371,$A29)),"")</f>
        <v/>
      </c>
      <c r="D29" s="20">
        <f>IFERROR(IF($A29="","",SUMIFS('Daily Forecast'!$R$2:$R$371,'Daily Forecast'!$A$2:$A$371,$A29)),"")</f>
        <v/>
      </c>
      <c r="E29" s="21">
        <f>IFERROR(IF($A29="","",$D29/$B29),"")</f>
        <v/>
      </c>
      <c r="F29" s="21">
        <f>IFERROR(IF($A29="","",VLOOKUP($A29,'Daily Forecast'!$A$2:$U$371,21,0)),"")</f>
        <v/>
      </c>
      <c r="G29" s="49">
        <f>IFERROR(IF($A29="","",VLOOKUP($A29,'Daily Forecast'!$A$2:$Y$371,25,0)),"")</f>
        <v/>
      </c>
      <c r="H29" s="49">
        <f>IFERROR(IF($A29="","",SUMIFS('Daily Forecast'!$Z$2:$Z$371,'Daily Forecast'!$A$2:$A$371,$A29)),"")</f>
        <v/>
      </c>
      <c r="I29" s="21">
        <f>IFERROR(IF($A29="","",$C29/$B29),"")</f>
        <v/>
      </c>
    </row>
    <row r="30">
      <c r="A30" s="15">
        <f>IFERROR(IF(OR($B$5="",$B$6="",$B$5+6&gt;$B$6),"",$B$5+6),"")</f>
        <v/>
      </c>
      <c r="B30" s="16">
        <f>IFERROR(IF($A30="","",SUMIFS('Daily Forecast'!$H$2:$H$371,'Daily Forecast'!$A$2:$A$371,$A30)),"")</f>
        <v/>
      </c>
      <c r="C30" s="16">
        <f>IFERROR(IF($A30="","",SUMIFS('Daily Forecast'!$K$2:$K$371,'Daily Forecast'!$A$2:$A$371,$A30)),"")</f>
        <v/>
      </c>
      <c r="D30" s="16">
        <f>IFERROR(IF($A30="","",SUMIFS('Daily Forecast'!$R$2:$R$371,'Daily Forecast'!$A$2:$A$371,$A30)),"")</f>
        <v/>
      </c>
      <c r="E30" s="17">
        <f>IFERROR(IF($A30="","",$D30/$B30),"")</f>
        <v/>
      </c>
      <c r="F30" s="17">
        <f>IFERROR(IF($A30="","",VLOOKUP($A30,'Daily Forecast'!$A$2:$U$371,21,0)),"")</f>
        <v/>
      </c>
      <c r="G30" s="48">
        <f>IFERROR(IF($A30="","",VLOOKUP($A30,'Daily Forecast'!$A$2:$Y$371,25,0)),"")</f>
        <v/>
      </c>
      <c r="H30" s="48">
        <f>IFERROR(IF($A30="","",SUMIFS('Daily Forecast'!$Z$2:$Z$371,'Daily Forecast'!$A$2:$A$371,$A30)),"")</f>
        <v/>
      </c>
      <c r="I30" s="17">
        <f>IFERROR(IF($A30="","",$C30/$B30),"")</f>
        <v/>
      </c>
    </row>
    <row r="31">
      <c r="A31" s="19">
        <f>IFERROR(IF(OR($B$5="",$B$6="",$B$5+7&gt;$B$6),"",$B$5+7),"")</f>
        <v/>
      </c>
      <c r="B31" s="20">
        <f>IFERROR(IF($A31="","",SUMIFS('Daily Forecast'!$H$2:$H$371,'Daily Forecast'!$A$2:$A$371,$A31)),"")</f>
        <v/>
      </c>
      <c r="C31" s="20">
        <f>IFERROR(IF($A31="","",SUMIFS('Daily Forecast'!$K$2:$K$371,'Daily Forecast'!$A$2:$A$371,$A31)),"")</f>
        <v/>
      </c>
      <c r="D31" s="20">
        <f>IFERROR(IF($A31="","",SUMIFS('Daily Forecast'!$R$2:$R$371,'Daily Forecast'!$A$2:$A$371,$A31)),"")</f>
        <v/>
      </c>
      <c r="E31" s="21">
        <f>IFERROR(IF($A31="","",$D31/$B31),"")</f>
        <v/>
      </c>
      <c r="F31" s="21">
        <f>IFERROR(IF($A31="","",VLOOKUP($A31,'Daily Forecast'!$A$2:$U$371,21,0)),"")</f>
        <v/>
      </c>
      <c r="G31" s="49">
        <f>IFERROR(IF($A31="","",VLOOKUP($A31,'Daily Forecast'!$A$2:$Y$371,25,0)),"")</f>
        <v/>
      </c>
      <c r="H31" s="49">
        <f>IFERROR(IF($A31="","",SUMIFS('Daily Forecast'!$Z$2:$Z$371,'Daily Forecast'!$A$2:$A$371,$A31)),"")</f>
        <v/>
      </c>
      <c r="I31" s="21">
        <f>IFERROR(IF($A31="","",$C31/$B31),"")</f>
        <v/>
      </c>
    </row>
    <row r="32">
      <c r="A32" s="15">
        <f>IFERROR(IF(OR($B$5="",$B$6="",$B$5+8&gt;$B$6),"",$B$5+8),"")</f>
        <v/>
      </c>
      <c r="B32" s="16">
        <f>IFERROR(IF($A32="","",SUMIFS('Daily Forecast'!$H$2:$H$371,'Daily Forecast'!$A$2:$A$371,$A32)),"")</f>
        <v/>
      </c>
      <c r="C32" s="16">
        <f>IFERROR(IF($A32="","",SUMIFS('Daily Forecast'!$K$2:$K$371,'Daily Forecast'!$A$2:$A$371,$A32)),"")</f>
        <v/>
      </c>
      <c r="D32" s="16">
        <f>IFERROR(IF($A32="","",SUMIFS('Daily Forecast'!$R$2:$R$371,'Daily Forecast'!$A$2:$A$371,$A32)),"")</f>
        <v/>
      </c>
      <c r="E32" s="17">
        <f>IFERROR(IF($A32="","",$D32/$B32),"")</f>
        <v/>
      </c>
      <c r="F32" s="17">
        <f>IFERROR(IF($A32="","",VLOOKUP($A32,'Daily Forecast'!$A$2:$U$371,21,0)),"")</f>
        <v/>
      </c>
      <c r="G32" s="48">
        <f>IFERROR(IF($A32="","",VLOOKUP($A32,'Daily Forecast'!$A$2:$Y$371,25,0)),"")</f>
        <v/>
      </c>
      <c r="H32" s="48">
        <f>IFERROR(IF($A32="","",SUMIFS('Daily Forecast'!$Z$2:$Z$371,'Daily Forecast'!$A$2:$A$371,$A32)),"")</f>
        <v/>
      </c>
      <c r="I32" s="17">
        <f>IFERROR(IF($A32="","",$C32/$B32),"")</f>
        <v/>
      </c>
    </row>
    <row r="33">
      <c r="A33" s="19">
        <f>IFERROR(IF(OR($B$5="",$B$6="",$B$5+9&gt;$B$6),"",$B$5+9),"")</f>
        <v/>
      </c>
      <c r="B33" s="20">
        <f>IFERROR(IF($A33="","",SUMIFS('Daily Forecast'!$H$2:$H$371,'Daily Forecast'!$A$2:$A$371,$A33)),"")</f>
        <v/>
      </c>
      <c r="C33" s="20">
        <f>IFERROR(IF($A33="","",SUMIFS('Daily Forecast'!$K$2:$K$371,'Daily Forecast'!$A$2:$A$371,$A33)),"")</f>
        <v/>
      </c>
      <c r="D33" s="20">
        <f>IFERROR(IF($A33="","",SUMIFS('Daily Forecast'!$R$2:$R$371,'Daily Forecast'!$A$2:$A$371,$A33)),"")</f>
        <v/>
      </c>
      <c r="E33" s="21">
        <f>IFERROR(IF($A33="","",$D33/$B33),"")</f>
        <v/>
      </c>
      <c r="F33" s="21">
        <f>IFERROR(IF($A33="","",VLOOKUP($A33,'Daily Forecast'!$A$2:$U$371,21,0)),"")</f>
        <v/>
      </c>
      <c r="G33" s="49">
        <f>IFERROR(IF($A33="","",VLOOKUP($A33,'Daily Forecast'!$A$2:$Y$371,25,0)),"")</f>
        <v/>
      </c>
      <c r="H33" s="49">
        <f>IFERROR(IF($A33="","",SUMIFS('Daily Forecast'!$Z$2:$Z$371,'Daily Forecast'!$A$2:$A$371,$A33)),"")</f>
        <v/>
      </c>
      <c r="I33" s="21">
        <f>IFERROR(IF($A33="","",$C33/$B33),"")</f>
        <v/>
      </c>
    </row>
    <row r="34">
      <c r="A34" s="15">
        <f>IFERROR(IF(OR($B$5="",$B$6="",$B$5+10&gt;$B$6),"",$B$5+10),"")</f>
        <v/>
      </c>
      <c r="B34" s="16">
        <f>IFERROR(IF($A34="","",SUMIFS('Daily Forecast'!$H$2:$H$371,'Daily Forecast'!$A$2:$A$371,$A34)),"")</f>
        <v/>
      </c>
      <c r="C34" s="16">
        <f>IFERROR(IF($A34="","",SUMIFS('Daily Forecast'!$K$2:$K$371,'Daily Forecast'!$A$2:$A$371,$A34)),"")</f>
        <v/>
      </c>
      <c r="D34" s="16">
        <f>IFERROR(IF($A34="","",SUMIFS('Daily Forecast'!$R$2:$R$371,'Daily Forecast'!$A$2:$A$371,$A34)),"")</f>
        <v/>
      </c>
      <c r="E34" s="17">
        <f>IFERROR(IF($A34="","",$D34/$B34),"")</f>
        <v/>
      </c>
      <c r="F34" s="17">
        <f>IFERROR(IF($A34="","",VLOOKUP($A34,'Daily Forecast'!$A$2:$U$371,21,0)),"")</f>
        <v/>
      </c>
      <c r="G34" s="48">
        <f>IFERROR(IF($A34="","",VLOOKUP($A34,'Daily Forecast'!$A$2:$Y$371,25,0)),"")</f>
        <v/>
      </c>
      <c r="H34" s="48">
        <f>IFERROR(IF($A34="","",SUMIFS('Daily Forecast'!$Z$2:$Z$371,'Daily Forecast'!$A$2:$A$371,$A34)),"")</f>
        <v/>
      </c>
      <c r="I34" s="17">
        <f>IFERROR(IF($A34="","",$C34/$B34),"")</f>
        <v/>
      </c>
    </row>
    <row r="35">
      <c r="A35" s="19">
        <f>IFERROR(IF(OR($B$5="",$B$6="",$B$5+11&gt;$B$6),"",$B$5+11),"")</f>
        <v/>
      </c>
      <c r="B35" s="20">
        <f>IFERROR(IF($A35="","",SUMIFS('Daily Forecast'!$H$2:$H$371,'Daily Forecast'!$A$2:$A$371,$A35)),"")</f>
        <v/>
      </c>
      <c r="C35" s="20">
        <f>IFERROR(IF($A35="","",SUMIFS('Daily Forecast'!$K$2:$K$371,'Daily Forecast'!$A$2:$A$371,$A35)),"")</f>
        <v/>
      </c>
      <c r="D35" s="20">
        <f>IFERROR(IF($A35="","",SUMIFS('Daily Forecast'!$R$2:$R$371,'Daily Forecast'!$A$2:$A$371,$A35)),"")</f>
        <v/>
      </c>
      <c r="E35" s="21">
        <f>IFERROR(IF($A35="","",$D35/$B35),"")</f>
        <v/>
      </c>
      <c r="F35" s="21">
        <f>IFERROR(IF($A35="","",VLOOKUP($A35,'Daily Forecast'!$A$2:$U$371,21,0)),"")</f>
        <v/>
      </c>
      <c r="G35" s="49">
        <f>IFERROR(IF($A35="","",VLOOKUP($A35,'Daily Forecast'!$A$2:$Y$371,25,0)),"")</f>
        <v/>
      </c>
      <c r="H35" s="49">
        <f>IFERROR(IF($A35="","",SUMIFS('Daily Forecast'!$Z$2:$Z$371,'Daily Forecast'!$A$2:$A$371,$A35)),"")</f>
        <v/>
      </c>
      <c r="I35" s="21">
        <f>IFERROR(IF($A35="","",$C35/$B35),"")</f>
        <v/>
      </c>
    </row>
    <row r="36">
      <c r="A36" s="15">
        <f>IFERROR(IF(OR($B$5="",$B$6="",$B$5+12&gt;$B$6),"",$B$5+12),"")</f>
        <v/>
      </c>
      <c r="B36" s="16">
        <f>IFERROR(IF($A36="","",SUMIFS('Daily Forecast'!$H$2:$H$371,'Daily Forecast'!$A$2:$A$371,$A36)),"")</f>
        <v/>
      </c>
      <c r="C36" s="16">
        <f>IFERROR(IF($A36="","",SUMIFS('Daily Forecast'!$K$2:$K$371,'Daily Forecast'!$A$2:$A$371,$A36)),"")</f>
        <v/>
      </c>
      <c r="D36" s="16">
        <f>IFERROR(IF($A36="","",SUMIFS('Daily Forecast'!$R$2:$R$371,'Daily Forecast'!$A$2:$A$371,$A36)),"")</f>
        <v/>
      </c>
      <c r="E36" s="17">
        <f>IFERROR(IF($A36="","",$D36/$B36),"")</f>
        <v/>
      </c>
      <c r="F36" s="17">
        <f>IFERROR(IF($A36="","",VLOOKUP($A36,'Daily Forecast'!$A$2:$U$371,21,0)),"")</f>
        <v/>
      </c>
      <c r="G36" s="48">
        <f>IFERROR(IF($A36="","",VLOOKUP($A36,'Daily Forecast'!$A$2:$Y$371,25,0)),"")</f>
        <v/>
      </c>
      <c r="H36" s="48">
        <f>IFERROR(IF($A36="","",SUMIFS('Daily Forecast'!$Z$2:$Z$371,'Daily Forecast'!$A$2:$A$371,$A36)),"")</f>
        <v/>
      </c>
      <c r="I36" s="17">
        <f>IFERROR(IF($A36="","",$C36/$B36),"")</f>
        <v/>
      </c>
    </row>
    <row r="37">
      <c r="A37" s="19">
        <f>IFERROR(IF(OR($B$5="",$B$6="",$B$5+13&gt;$B$6),"",$B$5+13),"")</f>
        <v/>
      </c>
      <c r="B37" s="20">
        <f>IFERROR(IF($A37="","",SUMIFS('Daily Forecast'!$H$2:$H$371,'Daily Forecast'!$A$2:$A$371,$A37)),"")</f>
        <v/>
      </c>
      <c r="C37" s="20">
        <f>IFERROR(IF($A37="","",SUMIFS('Daily Forecast'!$K$2:$K$371,'Daily Forecast'!$A$2:$A$371,$A37)),"")</f>
        <v/>
      </c>
      <c r="D37" s="20">
        <f>IFERROR(IF($A37="","",SUMIFS('Daily Forecast'!$R$2:$R$371,'Daily Forecast'!$A$2:$A$371,$A37)),"")</f>
        <v/>
      </c>
      <c r="E37" s="21">
        <f>IFERROR(IF($A37="","",$D37/$B37),"")</f>
        <v/>
      </c>
      <c r="F37" s="21">
        <f>IFERROR(IF($A37="","",VLOOKUP($A37,'Daily Forecast'!$A$2:$U$371,21,0)),"")</f>
        <v/>
      </c>
      <c r="G37" s="49">
        <f>IFERROR(IF($A37="","",VLOOKUP($A37,'Daily Forecast'!$A$2:$Y$371,25,0)),"")</f>
        <v/>
      </c>
      <c r="H37" s="49">
        <f>IFERROR(IF($A37="","",SUMIFS('Daily Forecast'!$Z$2:$Z$371,'Daily Forecast'!$A$2:$A$371,$A37)),"")</f>
        <v/>
      </c>
      <c r="I37" s="21">
        <f>IFERROR(IF($A37="","",$C37/$B37),"")</f>
        <v/>
      </c>
    </row>
    <row r="38">
      <c r="A38" s="15">
        <f>IFERROR(IF(OR($B$5="",$B$6="",$B$5+14&gt;$B$6),"",$B$5+14),"")</f>
        <v/>
      </c>
      <c r="B38" s="16">
        <f>IFERROR(IF($A38="","",SUMIFS('Daily Forecast'!$H$2:$H$371,'Daily Forecast'!$A$2:$A$371,$A38)),"")</f>
        <v/>
      </c>
      <c r="C38" s="16">
        <f>IFERROR(IF($A38="","",SUMIFS('Daily Forecast'!$K$2:$K$371,'Daily Forecast'!$A$2:$A$371,$A38)),"")</f>
        <v/>
      </c>
      <c r="D38" s="16">
        <f>IFERROR(IF($A38="","",SUMIFS('Daily Forecast'!$R$2:$R$371,'Daily Forecast'!$A$2:$A$371,$A38)),"")</f>
        <v/>
      </c>
      <c r="E38" s="17">
        <f>IFERROR(IF($A38="","",$D38/$B38),"")</f>
        <v/>
      </c>
      <c r="F38" s="17">
        <f>IFERROR(IF($A38="","",VLOOKUP($A38,'Daily Forecast'!$A$2:$U$371,21,0)),"")</f>
        <v/>
      </c>
      <c r="G38" s="48">
        <f>IFERROR(IF($A38="","",VLOOKUP($A38,'Daily Forecast'!$A$2:$Y$371,25,0)),"")</f>
        <v/>
      </c>
      <c r="H38" s="48">
        <f>IFERROR(IF($A38="","",SUMIFS('Daily Forecast'!$Z$2:$Z$371,'Daily Forecast'!$A$2:$A$371,$A38)),"")</f>
        <v/>
      </c>
      <c r="I38" s="17">
        <f>IFERROR(IF($A38="","",$C38/$B38),"")</f>
        <v/>
      </c>
    </row>
    <row r="39">
      <c r="A39" s="19">
        <f>IFERROR(IF(OR($B$5="",$B$6="",$B$5+15&gt;$B$6),"",$B$5+15),"")</f>
        <v/>
      </c>
      <c r="B39" s="20">
        <f>IFERROR(IF($A39="","",SUMIFS('Daily Forecast'!$H$2:$H$371,'Daily Forecast'!$A$2:$A$371,$A39)),"")</f>
        <v/>
      </c>
      <c r="C39" s="20">
        <f>IFERROR(IF($A39="","",SUMIFS('Daily Forecast'!$K$2:$K$371,'Daily Forecast'!$A$2:$A$371,$A39)),"")</f>
        <v/>
      </c>
      <c r="D39" s="20">
        <f>IFERROR(IF($A39="","",SUMIFS('Daily Forecast'!$R$2:$R$371,'Daily Forecast'!$A$2:$A$371,$A39)),"")</f>
        <v/>
      </c>
      <c r="E39" s="21">
        <f>IFERROR(IF($A39="","",$D39/$B39),"")</f>
        <v/>
      </c>
      <c r="F39" s="21">
        <f>IFERROR(IF($A39="","",VLOOKUP($A39,'Daily Forecast'!$A$2:$U$371,21,0)),"")</f>
        <v/>
      </c>
      <c r="G39" s="49">
        <f>IFERROR(IF($A39="","",VLOOKUP($A39,'Daily Forecast'!$A$2:$Y$371,25,0)),"")</f>
        <v/>
      </c>
      <c r="H39" s="49">
        <f>IFERROR(IF($A39="","",SUMIFS('Daily Forecast'!$Z$2:$Z$371,'Daily Forecast'!$A$2:$A$371,$A39)),"")</f>
        <v/>
      </c>
      <c r="I39" s="21">
        <f>IFERROR(IF($A39="","",$C39/$B39),"")</f>
        <v/>
      </c>
    </row>
    <row r="40">
      <c r="A40" s="15">
        <f>IFERROR(IF(OR($B$5="",$B$6="",$B$5+16&gt;$B$6),"",$B$5+16),"")</f>
        <v/>
      </c>
      <c r="B40" s="16">
        <f>IFERROR(IF($A40="","",SUMIFS('Daily Forecast'!$H$2:$H$371,'Daily Forecast'!$A$2:$A$371,$A40)),"")</f>
        <v/>
      </c>
      <c r="C40" s="16">
        <f>IFERROR(IF($A40="","",SUMIFS('Daily Forecast'!$K$2:$K$371,'Daily Forecast'!$A$2:$A$371,$A40)),"")</f>
        <v/>
      </c>
      <c r="D40" s="16">
        <f>IFERROR(IF($A40="","",SUMIFS('Daily Forecast'!$R$2:$R$371,'Daily Forecast'!$A$2:$A$371,$A40)),"")</f>
        <v/>
      </c>
      <c r="E40" s="17">
        <f>IFERROR(IF($A40="","",$D40/$B40),"")</f>
        <v/>
      </c>
      <c r="F40" s="17">
        <f>IFERROR(IF($A40="","",VLOOKUP($A40,'Daily Forecast'!$A$2:$U$371,21,0)),"")</f>
        <v/>
      </c>
      <c r="G40" s="48">
        <f>IFERROR(IF($A40="","",VLOOKUP($A40,'Daily Forecast'!$A$2:$Y$371,25,0)),"")</f>
        <v/>
      </c>
      <c r="H40" s="48">
        <f>IFERROR(IF($A40="","",SUMIFS('Daily Forecast'!$Z$2:$Z$371,'Daily Forecast'!$A$2:$A$371,$A40)),"")</f>
        <v/>
      </c>
      <c r="I40" s="17">
        <f>IFERROR(IF($A40="","",$C40/$B40),"")</f>
        <v/>
      </c>
    </row>
    <row r="41">
      <c r="A41" s="19">
        <f>IFERROR(IF(OR($B$5="",$B$6="",$B$5+17&gt;$B$6),"",$B$5+17),"")</f>
        <v/>
      </c>
      <c r="B41" s="20">
        <f>IFERROR(IF($A41="","",SUMIFS('Daily Forecast'!$H$2:$H$371,'Daily Forecast'!$A$2:$A$371,$A41)),"")</f>
        <v/>
      </c>
      <c r="C41" s="20">
        <f>IFERROR(IF($A41="","",SUMIFS('Daily Forecast'!$K$2:$K$371,'Daily Forecast'!$A$2:$A$371,$A41)),"")</f>
        <v/>
      </c>
      <c r="D41" s="20">
        <f>IFERROR(IF($A41="","",SUMIFS('Daily Forecast'!$R$2:$R$371,'Daily Forecast'!$A$2:$A$371,$A41)),"")</f>
        <v/>
      </c>
      <c r="E41" s="21">
        <f>IFERROR(IF($A41="","",$D41/$B41),"")</f>
        <v/>
      </c>
      <c r="F41" s="21">
        <f>IFERROR(IF($A41="","",VLOOKUP($A41,'Daily Forecast'!$A$2:$U$371,21,0)),"")</f>
        <v/>
      </c>
      <c r="G41" s="49">
        <f>IFERROR(IF($A41="","",VLOOKUP($A41,'Daily Forecast'!$A$2:$Y$371,25,0)),"")</f>
        <v/>
      </c>
      <c r="H41" s="49">
        <f>IFERROR(IF($A41="","",SUMIFS('Daily Forecast'!$Z$2:$Z$371,'Daily Forecast'!$A$2:$A$371,$A41)),"")</f>
        <v/>
      </c>
      <c r="I41" s="21">
        <f>IFERROR(IF($A41="","",$C41/$B41),"")</f>
        <v/>
      </c>
    </row>
    <row r="42">
      <c r="A42" s="15">
        <f>IFERROR(IF(OR($B$5="",$B$6="",$B$5+18&gt;$B$6),"",$B$5+18),"")</f>
        <v/>
      </c>
      <c r="B42" s="16">
        <f>IFERROR(IF($A42="","",SUMIFS('Daily Forecast'!$H$2:$H$371,'Daily Forecast'!$A$2:$A$371,$A42)),"")</f>
        <v/>
      </c>
      <c r="C42" s="16">
        <f>IFERROR(IF($A42="","",SUMIFS('Daily Forecast'!$K$2:$K$371,'Daily Forecast'!$A$2:$A$371,$A42)),"")</f>
        <v/>
      </c>
      <c r="D42" s="16">
        <f>IFERROR(IF($A42="","",SUMIFS('Daily Forecast'!$R$2:$R$371,'Daily Forecast'!$A$2:$A$371,$A42)),"")</f>
        <v/>
      </c>
      <c r="E42" s="17">
        <f>IFERROR(IF($A42="","",$D42/$B42),"")</f>
        <v/>
      </c>
      <c r="F42" s="17">
        <f>IFERROR(IF($A42="","",VLOOKUP($A42,'Daily Forecast'!$A$2:$U$371,21,0)),"")</f>
        <v/>
      </c>
      <c r="G42" s="48">
        <f>IFERROR(IF($A42="","",VLOOKUP($A42,'Daily Forecast'!$A$2:$Y$371,25,0)),"")</f>
        <v/>
      </c>
      <c r="H42" s="48">
        <f>IFERROR(IF($A42="","",SUMIFS('Daily Forecast'!$Z$2:$Z$371,'Daily Forecast'!$A$2:$A$371,$A42)),"")</f>
        <v/>
      </c>
      <c r="I42" s="17">
        <f>IFERROR(IF($A42="","",$C42/$B42),"")</f>
        <v/>
      </c>
    </row>
    <row r="43">
      <c r="A43" s="19">
        <f>IFERROR(IF(OR($B$5="",$B$6="",$B$5+19&gt;$B$6),"",$B$5+19),"")</f>
        <v/>
      </c>
      <c r="B43" s="20">
        <f>IFERROR(IF($A43="","",SUMIFS('Daily Forecast'!$H$2:$H$371,'Daily Forecast'!$A$2:$A$371,$A43)),"")</f>
        <v/>
      </c>
      <c r="C43" s="20">
        <f>IFERROR(IF($A43="","",SUMIFS('Daily Forecast'!$K$2:$K$371,'Daily Forecast'!$A$2:$A$371,$A43)),"")</f>
        <v/>
      </c>
      <c r="D43" s="20">
        <f>IFERROR(IF($A43="","",SUMIFS('Daily Forecast'!$R$2:$R$371,'Daily Forecast'!$A$2:$A$371,$A43)),"")</f>
        <v/>
      </c>
      <c r="E43" s="21">
        <f>IFERROR(IF($A43="","",$D43/$B43),"")</f>
        <v/>
      </c>
      <c r="F43" s="21">
        <f>IFERROR(IF($A43="","",VLOOKUP($A43,'Daily Forecast'!$A$2:$U$371,21,0)),"")</f>
        <v/>
      </c>
      <c r="G43" s="49">
        <f>IFERROR(IF($A43="","",VLOOKUP($A43,'Daily Forecast'!$A$2:$Y$371,25,0)),"")</f>
        <v/>
      </c>
      <c r="H43" s="49">
        <f>IFERROR(IF($A43="","",SUMIFS('Daily Forecast'!$Z$2:$Z$371,'Daily Forecast'!$A$2:$A$371,$A43)),"")</f>
        <v/>
      </c>
      <c r="I43" s="21">
        <f>IFERROR(IF($A43="","",$C43/$B43),"")</f>
        <v/>
      </c>
    </row>
    <row r="44">
      <c r="A44" s="15">
        <f>IFERROR(IF(OR($B$5="",$B$6="",$B$5+20&gt;$B$6),"",$B$5+20),"")</f>
        <v/>
      </c>
      <c r="B44" s="16">
        <f>IFERROR(IF($A44="","",SUMIFS('Daily Forecast'!$H$2:$H$371,'Daily Forecast'!$A$2:$A$371,$A44)),"")</f>
        <v/>
      </c>
      <c r="C44" s="16">
        <f>IFERROR(IF($A44="","",SUMIFS('Daily Forecast'!$K$2:$K$371,'Daily Forecast'!$A$2:$A$371,$A44)),"")</f>
        <v/>
      </c>
      <c r="D44" s="16">
        <f>IFERROR(IF($A44="","",SUMIFS('Daily Forecast'!$R$2:$R$371,'Daily Forecast'!$A$2:$A$371,$A44)),"")</f>
        <v/>
      </c>
      <c r="E44" s="17">
        <f>IFERROR(IF($A44="","",$D44/$B44),"")</f>
        <v/>
      </c>
      <c r="F44" s="17">
        <f>IFERROR(IF($A44="","",VLOOKUP($A44,'Daily Forecast'!$A$2:$U$371,21,0)),"")</f>
        <v/>
      </c>
      <c r="G44" s="48">
        <f>IFERROR(IF($A44="","",VLOOKUP($A44,'Daily Forecast'!$A$2:$Y$371,25,0)),"")</f>
        <v/>
      </c>
      <c r="H44" s="48">
        <f>IFERROR(IF($A44="","",SUMIFS('Daily Forecast'!$Z$2:$Z$371,'Daily Forecast'!$A$2:$A$371,$A44)),"")</f>
        <v/>
      </c>
      <c r="I44" s="17">
        <f>IFERROR(IF($A44="","",$C44/$B44),"")</f>
        <v/>
      </c>
    </row>
    <row r="45">
      <c r="A45" s="19">
        <f>IFERROR(IF(OR($B$5="",$B$6="",$B$5+21&gt;$B$6),"",$B$5+21),"")</f>
        <v/>
      </c>
      <c r="B45" s="20">
        <f>IFERROR(IF($A45="","",SUMIFS('Daily Forecast'!$H$2:$H$371,'Daily Forecast'!$A$2:$A$371,$A45)),"")</f>
        <v/>
      </c>
      <c r="C45" s="20">
        <f>IFERROR(IF($A45="","",SUMIFS('Daily Forecast'!$K$2:$K$371,'Daily Forecast'!$A$2:$A$371,$A45)),"")</f>
        <v/>
      </c>
      <c r="D45" s="20">
        <f>IFERROR(IF($A45="","",SUMIFS('Daily Forecast'!$R$2:$R$371,'Daily Forecast'!$A$2:$A$371,$A45)),"")</f>
        <v/>
      </c>
      <c r="E45" s="21">
        <f>IFERROR(IF($A45="","",$D45/$B45),"")</f>
        <v/>
      </c>
      <c r="F45" s="21">
        <f>IFERROR(IF($A45="","",VLOOKUP($A45,'Daily Forecast'!$A$2:$U$371,21,0)),"")</f>
        <v/>
      </c>
      <c r="G45" s="49">
        <f>IFERROR(IF($A45="","",VLOOKUP($A45,'Daily Forecast'!$A$2:$Y$371,25,0)),"")</f>
        <v/>
      </c>
      <c r="H45" s="49">
        <f>IFERROR(IF($A45="","",SUMIFS('Daily Forecast'!$Z$2:$Z$371,'Daily Forecast'!$A$2:$A$371,$A45)),"")</f>
        <v/>
      </c>
      <c r="I45" s="21">
        <f>IFERROR(IF($A45="","",$C45/$B45),"")</f>
        <v/>
      </c>
    </row>
    <row r="46">
      <c r="A46" s="15">
        <f>IFERROR(IF(OR($B$5="",$B$6="",$B$5+22&gt;$B$6),"",$B$5+22),"")</f>
        <v/>
      </c>
      <c r="B46" s="16">
        <f>IFERROR(IF($A46="","",SUMIFS('Daily Forecast'!$H$2:$H$371,'Daily Forecast'!$A$2:$A$371,$A46)),"")</f>
        <v/>
      </c>
      <c r="C46" s="16">
        <f>IFERROR(IF($A46="","",SUMIFS('Daily Forecast'!$K$2:$K$371,'Daily Forecast'!$A$2:$A$371,$A46)),"")</f>
        <v/>
      </c>
      <c r="D46" s="16">
        <f>IFERROR(IF($A46="","",SUMIFS('Daily Forecast'!$R$2:$R$371,'Daily Forecast'!$A$2:$A$371,$A46)),"")</f>
        <v/>
      </c>
      <c r="E46" s="17">
        <f>IFERROR(IF($A46="","",$D46/$B46),"")</f>
        <v/>
      </c>
      <c r="F46" s="17">
        <f>IFERROR(IF($A46="","",VLOOKUP($A46,'Daily Forecast'!$A$2:$U$371,21,0)),"")</f>
        <v/>
      </c>
      <c r="G46" s="48">
        <f>IFERROR(IF($A46="","",VLOOKUP($A46,'Daily Forecast'!$A$2:$Y$371,25,0)),"")</f>
        <v/>
      </c>
      <c r="H46" s="48">
        <f>IFERROR(IF($A46="","",SUMIFS('Daily Forecast'!$Z$2:$Z$371,'Daily Forecast'!$A$2:$A$371,$A46)),"")</f>
        <v/>
      </c>
      <c r="I46" s="17">
        <f>IFERROR(IF($A46="","",$C46/$B46),"")</f>
        <v/>
      </c>
    </row>
    <row r="47">
      <c r="A47" s="19">
        <f>IFERROR(IF(OR($B$5="",$B$6="",$B$5+23&gt;$B$6),"",$B$5+23),"")</f>
        <v/>
      </c>
      <c r="B47" s="20">
        <f>IFERROR(IF($A47="","",SUMIFS('Daily Forecast'!$H$2:$H$371,'Daily Forecast'!$A$2:$A$371,$A47)),"")</f>
        <v/>
      </c>
      <c r="C47" s="20">
        <f>IFERROR(IF($A47="","",SUMIFS('Daily Forecast'!$K$2:$K$371,'Daily Forecast'!$A$2:$A$371,$A47)),"")</f>
        <v/>
      </c>
      <c r="D47" s="20">
        <f>IFERROR(IF($A47="","",SUMIFS('Daily Forecast'!$R$2:$R$371,'Daily Forecast'!$A$2:$A$371,$A47)),"")</f>
        <v/>
      </c>
      <c r="E47" s="21">
        <f>IFERROR(IF($A47="","",$D47/$B47),"")</f>
        <v/>
      </c>
      <c r="F47" s="21">
        <f>IFERROR(IF($A47="","",VLOOKUP($A47,'Daily Forecast'!$A$2:$U$371,21,0)),"")</f>
        <v/>
      </c>
      <c r="G47" s="49">
        <f>IFERROR(IF($A47="","",VLOOKUP($A47,'Daily Forecast'!$A$2:$Y$371,25,0)),"")</f>
        <v/>
      </c>
      <c r="H47" s="49">
        <f>IFERROR(IF($A47="","",SUMIFS('Daily Forecast'!$Z$2:$Z$371,'Daily Forecast'!$A$2:$A$371,$A47)),"")</f>
        <v/>
      </c>
      <c r="I47" s="21">
        <f>IFERROR(IF($A47="","",$C47/$B47),"")</f>
        <v/>
      </c>
    </row>
    <row r="48">
      <c r="A48" s="15">
        <f>IFERROR(IF(OR($B$5="",$B$6="",$B$5+24&gt;$B$6),"",$B$5+24),"")</f>
        <v/>
      </c>
      <c r="B48" s="16">
        <f>IFERROR(IF($A48="","",SUMIFS('Daily Forecast'!$H$2:$H$371,'Daily Forecast'!$A$2:$A$371,$A48)),"")</f>
        <v/>
      </c>
      <c r="C48" s="16">
        <f>IFERROR(IF($A48="","",SUMIFS('Daily Forecast'!$K$2:$K$371,'Daily Forecast'!$A$2:$A$371,$A48)),"")</f>
        <v/>
      </c>
      <c r="D48" s="16">
        <f>IFERROR(IF($A48="","",SUMIFS('Daily Forecast'!$R$2:$R$371,'Daily Forecast'!$A$2:$A$371,$A48)),"")</f>
        <v/>
      </c>
      <c r="E48" s="17">
        <f>IFERROR(IF($A48="","",$D48/$B48),"")</f>
        <v/>
      </c>
      <c r="F48" s="17">
        <f>IFERROR(IF($A48="","",VLOOKUP($A48,'Daily Forecast'!$A$2:$U$371,21,0)),"")</f>
        <v/>
      </c>
      <c r="G48" s="48">
        <f>IFERROR(IF($A48="","",VLOOKUP($A48,'Daily Forecast'!$A$2:$Y$371,25,0)),"")</f>
        <v/>
      </c>
      <c r="H48" s="48">
        <f>IFERROR(IF($A48="","",SUMIFS('Daily Forecast'!$Z$2:$Z$371,'Daily Forecast'!$A$2:$A$371,$A48)),"")</f>
        <v/>
      </c>
      <c r="I48" s="17">
        <f>IFERROR(IF($A48="","",$C48/$B48),"")</f>
        <v/>
      </c>
    </row>
    <row r="49">
      <c r="A49" s="19">
        <f>IFERROR(IF(OR($B$5="",$B$6="",$B$5+25&gt;$B$6),"",$B$5+25),"")</f>
        <v/>
      </c>
      <c r="B49" s="20">
        <f>IFERROR(IF($A49="","",SUMIFS('Daily Forecast'!$H$2:$H$371,'Daily Forecast'!$A$2:$A$371,$A49)),"")</f>
        <v/>
      </c>
      <c r="C49" s="20">
        <f>IFERROR(IF($A49="","",SUMIFS('Daily Forecast'!$K$2:$K$371,'Daily Forecast'!$A$2:$A$371,$A49)),"")</f>
        <v/>
      </c>
      <c r="D49" s="20">
        <f>IFERROR(IF($A49="","",SUMIFS('Daily Forecast'!$R$2:$R$371,'Daily Forecast'!$A$2:$A$371,$A49)),"")</f>
        <v/>
      </c>
      <c r="E49" s="21">
        <f>IFERROR(IF($A49="","",$D49/$B49),"")</f>
        <v/>
      </c>
      <c r="F49" s="21">
        <f>IFERROR(IF($A49="","",VLOOKUP($A49,'Daily Forecast'!$A$2:$U$371,21,0)),"")</f>
        <v/>
      </c>
      <c r="G49" s="49">
        <f>IFERROR(IF($A49="","",VLOOKUP($A49,'Daily Forecast'!$A$2:$Y$371,25,0)),"")</f>
        <v/>
      </c>
      <c r="H49" s="49">
        <f>IFERROR(IF($A49="","",SUMIFS('Daily Forecast'!$Z$2:$Z$371,'Daily Forecast'!$A$2:$A$371,$A49)),"")</f>
        <v/>
      </c>
      <c r="I49" s="21">
        <f>IFERROR(IF($A49="","",$C49/$B49),"")</f>
        <v/>
      </c>
    </row>
    <row r="50">
      <c r="A50" s="15">
        <f>IFERROR(IF(OR($B$5="",$B$6="",$B$5+26&gt;$B$6),"",$B$5+26),"")</f>
        <v/>
      </c>
      <c r="B50" s="16">
        <f>IFERROR(IF($A50="","",SUMIFS('Daily Forecast'!$H$2:$H$371,'Daily Forecast'!$A$2:$A$371,$A50)),"")</f>
        <v/>
      </c>
      <c r="C50" s="16">
        <f>IFERROR(IF($A50="","",SUMIFS('Daily Forecast'!$K$2:$K$371,'Daily Forecast'!$A$2:$A$371,$A50)),"")</f>
        <v/>
      </c>
      <c r="D50" s="16">
        <f>IFERROR(IF($A50="","",SUMIFS('Daily Forecast'!$R$2:$R$371,'Daily Forecast'!$A$2:$A$371,$A50)),"")</f>
        <v/>
      </c>
      <c r="E50" s="17">
        <f>IFERROR(IF($A50="","",$D50/$B50),"")</f>
        <v/>
      </c>
      <c r="F50" s="17">
        <f>IFERROR(IF($A50="","",VLOOKUP($A50,'Daily Forecast'!$A$2:$U$371,21,0)),"")</f>
        <v/>
      </c>
      <c r="G50" s="48">
        <f>IFERROR(IF($A50="","",VLOOKUP($A50,'Daily Forecast'!$A$2:$Y$371,25,0)),"")</f>
        <v/>
      </c>
      <c r="H50" s="48">
        <f>IFERROR(IF($A50="","",SUMIFS('Daily Forecast'!$Z$2:$Z$371,'Daily Forecast'!$A$2:$A$371,$A50)),"")</f>
        <v/>
      </c>
      <c r="I50" s="17">
        <f>IFERROR(IF($A50="","",$C50/$B50),"")</f>
        <v/>
      </c>
    </row>
    <row r="51">
      <c r="A51" s="19">
        <f>IFERROR(IF(OR($B$5="",$B$6="",$B$5+27&gt;$B$6),"",$B$5+27),"")</f>
        <v/>
      </c>
      <c r="B51" s="20">
        <f>IFERROR(IF($A51="","",SUMIFS('Daily Forecast'!$H$2:$H$371,'Daily Forecast'!$A$2:$A$371,$A51)),"")</f>
        <v/>
      </c>
      <c r="C51" s="20">
        <f>IFERROR(IF($A51="","",SUMIFS('Daily Forecast'!$K$2:$K$371,'Daily Forecast'!$A$2:$A$371,$A51)),"")</f>
        <v/>
      </c>
      <c r="D51" s="20">
        <f>IFERROR(IF($A51="","",SUMIFS('Daily Forecast'!$R$2:$R$371,'Daily Forecast'!$A$2:$A$371,$A51)),"")</f>
        <v/>
      </c>
      <c r="E51" s="21">
        <f>IFERROR(IF($A51="","",$D51/$B51),"")</f>
        <v/>
      </c>
      <c r="F51" s="21">
        <f>IFERROR(IF($A51="","",VLOOKUP($A51,'Daily Forecast'!$A$2:$U$371,21,0)),"")</f>
        <v/>
      </c>
      <c r="G51" s="49">
        <f>IFERROR(IF($A51="","",VLOOKUP($A51,'Daily Forecast'!$A$2:$Y$371,25,0)),"")</f>
        <v/>
      </c>
      <c r="H51" s="49">
        <f>IFERROR(IF($A51="","",SUMIFS('Daily Forecast'!$Z$2:$Z$371,'Daily Forecast'!$A$2:$A$371,$A51)),"")</f>
        <v/>
      </c>
      <c r="I51" s="21">
        <f>IFERROR(IF($A51="","",$C51/$B51),"")</f>
        <v/>
      </c>
    </row>
    <row r="52">
      <c r="A52" s="15">
        <f>IFERROR(IF(OR($B$5="",$B$6="",$B$5+28&gt;$B$6),"",$B$5+28),"")</f>
        <v/>
      </c>
      <c r="B52" s="16">
        <f>IFERROR(IF($A52="","",SUMIFS('Daily Forecast'!$H$2:$H$371,'Daily Forecast'!$A$2:$A$371,$A52)),"")</f>
        <v/>
      </c>
      <c r="C52" s="16">
        <f>IFERROR(IF($A52="","",SUMIFS('Daily Forecast'!$K$2:$K$371,'Daily Forecast'!$A$2:$A$371,$A52)),"")</f>
        <v/>
      </c>
      <c r="D52" s="16">
        <f>IFERROR(IF($A52="","",SUMIFS('Daily Forecast'!$R$2:$R$371,'Daily Forecast'!$A$2:$A$371,$A52)),"")</f>
        <v/>
      </c>
      <c r="E52" s="17">
        <f>IFERROR(IF($A52="","",$D52/$B52),"")</f>
        <v/>
      </c>
      <c r="F52" s="17">
        <f>IFERROR(IF($A52="","",VLOOKUP($A52,'Daily Forecast'!$A$2:$U$371,21,0)),"")</f>
        <v/>
      </c>
      <c r="G52" s="48">
        <f>IFERROR(IF($A52="","",VLOOKUP($A52,'Daily Forecast'!$A$2:$Y$371,25,0)),"")</f>
        <v/>
      </c>
      <c r="H52" s="48">
        <f>IFERROR(IF($A52="","",SUMIFS('Daily Forecast'!$Z$2:$Z$371,'Daily Forecast'!$A$2:$A$371,$A52)),"")</f>
        <v/>
      </c>
      <c r="I52" s="17">
        <f>IFERROR(IF($A52="","",$C52/$B52),"")</f>
        <v/>
      </c>
    </row>
    <row r="53">
      <c r="A53" s="19">
        <f>IFERROR(IF(OR($B$5="",$B$6="",$B$5+29&gt;$B$6),"",$B$5+29),"")</f>
        <v/>
      </c>
      <c r="B53" s="20">
        <f>IFERROR(IF($A53="","",SUMIFS('Daily Forecast'!$H$2:$H$371,'Daily Forecast'!$A$2:$A$371,$A53)),"")</f>
        <v/>
      </c>
      <c r="C53" s="20">
        <f>IFERROR(IF($A53="","",SUMIFS('Daily Forecast'!$K$2:$K$371,'Daily Forecast'!$A$2:$A$371,$A53)),"")</f>
        <v/>
      </c>
      <c r="D53" s="20">
        <f>IFERROR(IF($A53="","",SUMIFS('Daily Forecast'!$R$2:$R$371,'Daily Forecast'!$A$2:$A$371,$A53)),"")</f>
        <v/>
      </c>
      <c r="E53" s="21">
        <f>IFERROR(IF($A53="","",$D53/$B53),"")</f>
        <v/>
      </c>
      <c r="F53" s="21">
        <f>IFERROR(IF($A53="","",VLOOKUP($A53,'Daily Forecast'!$A$2:$U$371,21,0)),"")</f>
        <v/>
      </c>
      <c r="G53" s="49">
        <f>IFERROR(IF($A53="","",VLOOKUP($A53,'Daily Forecast'!$A$2:$Y$371,25,0)),"")</f>
        <v/>
      </c>
      <c r="H53" s="49">
        <f>IFERROR(IF($A53="","",SUMIFS('Daily Forecast'!$Z$2:$Z$371,'Daily Forecast'!$A$2:$A$371,$A53)),"")</f>
        <v/>
      </c>
      <c r="I53" s="21">
        <f>IFERROR(IF($A53="","",$C53/$B53),"")</f>
        <v/>
      </c>
    </row>
    <row r="54">
      <c r="A54" s="15">
        <f>IFERROR(IF(OR($B$5="",$B$6="",$B$5+30&gt;$B$6),"",$B$5+30),"")</f>
        <v/>
      </c>
      <c r="B54" s="16">
        <f>IFERROR(IF($A54="","",SUMIFS('Daily Forecast'!$H$2:$H$371,'Daily Forecast'!$A$2:$A$371,$A54)),"")</f>
        <v/>
      </c>
      <c r="C54" s="16">
        <f>IFERROR(IF($A54="","",SUMIFS('Daily Forecast'!$K$2:$K$371,'Daily Forecast'!$A$2:$A$371,$A54)),"")</f>
        <v/>
      </c>
      <c r="D54" s="16">
        <f>IFERROR(IF($A54="","",SUMIFS('Daily Forecast'!$R$2:$R$371,'Daily Forecast'!$A$2:$A$371,$A54)),"")</f>
        <v/>
      </c>
      <c r="E54" s="17">
        <f>IFERROR(IF($A54="","",$D54/$B54),"")</f>
        <v/>
      </c>
      <c r="F54" s="17">
        <f>IFERROR(IF($A54="","",VLOOKUP($A54,'Daily Forecast'!$A$2:$U$371,21,0)),"")</f>
        <v/>
      </c>
      <c r="G54" s="48">
        <f>IFERROR(IF($A54="","",VLOOKUP($A54,'Daily Forecast'!$A$2:$Y$371,25,0)),"")</f>
        <v/>
      </c>
      <c r="H54" s="48">
        <f>IFERROR(IF($A54="","",SUMIFS('Daily Forecast'!$Z$2:$Z$371,'Daily Forecast'!$A$2:$A$371,$A54)),"")</f>
        <v/>
      </c>
      <c r="I54" s="17">
        <f>IFERROR(IF($A54="","",$C54/$B54),"")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autoFilter ref="A23:I54"/>
  <mergeCells count="1">
    <mergeCell ref="A1:H1"/>
  </mergeCells>
  <conditionalFormatting sqref="B7">
    <cfRule type="expression" priority="1" dxfId="0" stopIfTrue="1">
      <formula>B7="Ready"</formula>
    </cfRule>
    <cfRule type="expression" priority="2" dxfId="1" stopIfTrue="1">
      <formula>B7&lt;&gt;"Ready"</formula>
    </cfRule>
  </conditionalFormatting>
  <conditionalFormatting sqref="B17">
    <cfRule type="expression" priority="3" dxfId="2" stopIfTrue="1">
      <formula>B17&gt;0</formula>
    </cfRule>
  </conditionalFormatting>
  <conditionalFormatting sqref="B18:B21">
    <cfRule type="expression" priority="4" dxfId="1" stopIfTrue="1">
      <formula>B18&gt;0</formula>
    </cfRule>
  </conditionalFormatting>
  <conditionalFormatting sqref="B17:B21">
    <cfRule type="expression" priority="5" dxfId="0" stopIfTrue="0">
      <formula>B17=0</formula>
    </cfRule>
  </conditionalFormatting>
  <dataValidations count="1">
    <dataValidation sqref="B5:B6" showDropDown="0" showInputMessage="1" showErrorMessage="1" allowBlank="0" errorTitle="Invalid report date" error="Enter a valid date within the supported forecast period." promptTitle="Report date" prompt="Enter a report date from 1/1/2026 through 12/31/2030." type="date" errorStyle="stop" operator="between">
      <formula1>DATE(2026,1,1)</formula1>
      <formula2>DATE(2030,12,31)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371"/>
  <sheetViews>
    <sheetView zoomScale="70" zoomScaleNormal="7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6" customWidth="1" min="4" max="4"/>
    <col width="27" customWidth="1" min="5" max="5"/>
    <col width="13" customWidth="1" min="6" max="6"/>
    <col width="18" customWidth="1" min="7" max="7"/>
    <col width="15" customWidth="1" min="8" max="8"/>
    <col width="24" customWidth="1" min="9" max="9"/>
    <col width="22" customWidth="1" min="10" max="10"/>
    <col width="18" customWidth="1" min="11" max="11"/>
    <col width="20" customWidth="1" min="12" max="12"/>
    <col width="18" customWidth="1" min="13" max="13"/>
    <col width="20" customWidth="1" min="14" max="14"/>
    <col width="22" customWidth="1" min="15" max="15"/>
    <col width="27" customWidth="1" min="16" max="16"/>
    <col width="24" customWidth="1" min="17" max="17"/>
    <col width="25" customWidth="1" min="18" max="18"/>
    <col width="20" customWidth="1" min="19" max="19"/>
    <col width="18" customWidth="1" min="20" max="20"/>
    <col width="18" customWidth="1" min="21" max="21"/>
    <col width="18" customWidth="1" min="22" max="22"/>
    <col width="18" customWidth="1" min="23" max="23"/>
    <col width="21" customWidth="1" min="24" max="24"/>
    <col width="19" customWidth="1" min="25" max="25"/>
    <col width="22" customWidth="1" min="26" max="26"/>
    <col width="18" customWidth="1" min="27" max="27"/>
    <col width="21" customWidth="1" min="28" max="28"/>
    <col width="16" customWidth="1" min="29" max="29"/>
    <col width="18" customWidth="1" min="30" max="30"/>
    <col width="21" customWidth="1" min="31" max="31"/>
    <col width="22" customWidth="1" min="32" max="32"/>
    <col width="23" customWidth="1" min="33" max="33"/>
    <col width="19" customWidth="1" min="34" max="34"/>
    <col width="37" customWidth="1" min="35" max="35"/>
  </cols>
  <sheetData>
    <row r="1" ht="44" customHeight="1">
      <c r="A1" s="23" t="inlineStr">
        <is>
          <t>Forecast Date</t>
        </is>
      </c>
      <c r="B1" s="23" t="inlineStr">
        <is>
          <t>Day of Week</t>
        </is>
      </c>
      <c r="C1" s="23" t="inlineStr">
        <is>
          <t>Forecast Status</t>
        </is>
      </c>
      <c r="D1" s="23" t="inlineStr">
        <is>
          <t>Demand Notes</t>
        </is>
      </c>
      <c r="E1" s="23" t="inlineStr">
        <is>
          <t>Source Reference</t>
        </is>
      </c>
      <c r="F1" s="23" t="inlineStr">
        <is>
          <t>Total Rooms</t>
        </is>
      </c>
      <c r="G1" s="23" t="inlineStr">
        <is>
          <t>Out-of-Order Rooms</t>
        </is>
      </c>
      <c r="H1" s="23" t="inlineStr">
        <is>
          <t>Sellable Rooms</t>
        </is>
      </c>
      <c r="I1" s="23" t="inlineStr">
        <is>
          <t>Transient Rooms on the Books</t>
        </is>
      </c>
      <c r="J1" s="23" t="inlineStr">
        <is>
          <t>Group Rooms on the Books</t>
        </is>
      </c>
      <c r="K1" s="23" t="inlineStr">
        <is>
          <t>Rooms on the Books</t>
        </is>
      </c>
      <c r="L1" s="23" t="inlineStr">
        <is>
          <t>On-the-Books Occupancy</t>
        </is>
      </c>
      <c r="M1" s="23" t="inlineStr">
        <is>
          <t>Baseline Occupancy</t>
        </is>
      </c>
      <c r="N1" s="23" t="inlineStr">
        <is>
          <t>Expected Pickup Rooms</t>
        </is>
      </c>
      <c r="O1" s="23" t="inlineStr">
        <is>
          <t>Event Demand Adjustment</t>
        </is>
      </c>
      <c r="P1" s="23" t="inlineStr">
        <is>
          <t>Management Occupied Rooms Override</t>
        </is>
      </c>
      <c r="Q1" s="23" t="inlineStr">
        <is>
          <t>Model Forecast Occupied Rooms</t>
        </is>
      </c>
      <c r="R1" s="23" t="inlineStr">
        <is>
          <t>Final Forecast Occupied Rooms</t>
        </is>
      </c>
      <c r="S1" s="23" t="inlineStr">
        <is>
          <t>Pickup Still Needed</t>
        </is>
      </c>
      <c r="T1" s="23" t="inlineStr">
        <is>
          <t>Forecast Occupancy</t>
        </is>
      </c>
      <c r="U1" s="23" t="inlineStr">
        <is>
          <t>Target Occupancy</t>
        </is>
      </c>
      <c r="V1" s="23" t="inlineStr">
        <is>
          <t>Occupancy to Target</t>
        </is>
      </c>
      <c r="W1" s="23" t="inlineStr">
        <is>
          <t>On-the-Books ADR</t>
        </is>
      </c>
      <c r="X1" s="23" t="inlineStr">
        <is>
          <t>Forecast ADR Override</t>
        </is>
      </c>
      <c r="Y1" s="23" t="inlineStr">
        <is>
          <t>Final Forecast ADR</t>
        </is>
      </c>
      <c r="Z1" s="23" t="inlineStr">
        <is>
          <t>Forecast Room Revenue</t>
        </is>
      </c>
      <c r="AA1" s="23" t="inlineStr">
        <is>
          <t>Forecast RevPAR</t>
        </is>
      </c>
      <c r="AB1" s="23" t="inlineStr">
        <is>
          <t>Actual Occupied Rooms</t>
        </is>
      </c>
      <c r="AC1" s="23" t="inlineStr">
        <is>
          <t>Actual ADR</t>
        </is>
      </c>
      <c r="AD1" s="23" t="inlineStr">
        <is>
          <t>Actual Occupancy</t>
        </is>
      </c>
      <c r="AE1" s="23" t="inlineStr">
        <is>
          <t>Actual Room Revenue</t>
        </is>
      </c>
      <c r="AF1" s="23" t="inlineStr">
        <is>
          <t>Occupied Rooms Variance</t>
        </is>
      </c>
      <c r="AG1" s="23" t="inlineStr">
        <is>
          <t>Occupancy Forecast Error</t>
        </is>
      </c>
      <c r="AH1" s="23" t="inlineStr">
        <is>
          <t>Revenue Variance</t>
        </is>
      </c>
      <c r="AI1" s="23" t="inlineStr">
        <is>
          <t>Operational Check</t>
        </is>
      </c>
    </row>
    <row r="2">
      <c r="A2" s="24" t="n">
        <v>46174</v>
      </c>
      <c r="B2" s="25">
        <f>IFERROR(IF(A2="","",VLOOKUP(MOD(A2,7),'Assumptions'!$E$16:$F$22,2,0)),"")</f>
        <v/>
      </c>
      <c r="C2" s="25">
        <f>IFERROR(IF(A2="","",IF(A2&lt;TODAY(),"Past",IF(A2=TODAY(),"Today","Future"))),"")</f>
        <v/>
      </c>
      <c r="D2" s="26" t="inlineStr">
        <is>
          <t>Normal Monday corporate demand</t>
        </is>
      </c>
      <c r="E2" s="26" t="inlineStr">
        <is>
          <t>Daily pickup report - 6/1/2026</t>
        </is>
      </c>
      <c r="F2" s="27" t="n">
        <v>150</v>
      </c>
      <c r="G2" s="27" t="n">
        <v>3</v>
      </c>
      <c r="H2" s="28">
        <f>IFERROR(IF(A2="","",MAX(0,F2-G2)),"")</f>
        <v/>
      </c>
      <c r="I2" s="27" t="n">
        <v>72</v>
      </c>
      <c r="J2" s="27" t="n">
        <v>18</v>
      </c>
      <c r="K2" s="28">
        <f>IFERROR(IF(A2="","",I2+J2),"")</f>
        <v/>
      </c>
      <c r="L2" s="29">
        <f>IFERROR(IF(A2="","",K2/H2),"")</f>
        <v/>
      </c>
      <c r="M2" s="29">
        <f>IFERROR(IF(A2="","",VLOOKUP(B2,'Assumptions'!$A$16:$B$22,2,0)),"")</f>
        <v/>
      </c>
      <c r="N2" s="27" t="n">
        <v>11</v>
      </c>
      <c r="O2" s="27" t="n">
        <v>0</v>
      </c>
      <c r="P2" s="27" t="n"/>
      <c r="Q2" s="28">
        <f>IFERROR(IF(A2="","",MIN(H2,MAX(0,K2,ROUND(H2*M2,0)+N2+O2))),"")</f>
        <v/>
      </c>
      <c r="R2" s="28">
        <f>IFERROR(IF(A2="","",MIN(H2,MAX(0,IF(P2="",Q2,P2)))),"")</f>
        <v/>
      </c>
      <c r="S2" s="28">
        <f>IFERROR(IF(A2="","",MAX(0,R2-K2)),"")</f>
        <v/>
      </c>
      <c r="T2" s="29">
        <f>IFERROR(IF(A2="","",R2/H2),"")</f>
        <v/>
      </c>
      <c r="U2" s="29">
        <f>IFERROR(IF(A2="","",'Assumptions'!$B$5),"")</f>
        <v/>
      </c>
      <c r="V2" s="29">
        <f>IFERROR(IF(A2="","",T2-U2),"")</f>
        <v/>
      </c>
      <c r="W2" s="50" t="n">
        <v>159</v>
      </c>
      <c r="X2" s="50" t="n"/>
      <c r="Y2" s="51">
        <f>IFERROR(IF(A2="","",IF(X2&lt;&gt;"",X2,IF(W2&lt;&gt;"",W2,'Assumptions'!$B$8))),"")</f>
        <v/>
      </c>
      <c r="Z2" s="51">
        <f>IFERROR(IF(A2="","",R2*Y2),"")</f>
        <v/>
      </c>
      <c r="AA2" s="51">
        <f>IFERROR(IF(A2="","",Z2/H2),"")</f>
        <v/>
      </c>
      <c r="AB2" s="32" t="n">
        <v>106</v>
      </c>
      <c r="AC2" s="52" t="n">
        <v>162</v>
      </c>
      <c r="AD2" s="29">
        <f>IFERROR(IF(OR(A2="",AB2=""),"",AB2/H2),"")</f>
        <v/>
      </c>
      <c r="AE2" s="51">
        <f>IFERROR(IF(OR(A2="",AB2="",AC2=""),"",AB2*AC2),"")</f>
        <v/>
      </c>
      <c r="AF2" s="28">
        <f>IFERROR(IF(OR(A2="",AB2=""),"",AB2-R2),"")</f>
        <v/>
      </c>
      <c r="AG2" s="29">
        <f>IFERROR(IF(OR(A2="",AB2=""),"",IF(AD2-T2&lt;0,T2-AD2,AD2-T2)),"")</f>
        <v/>
      </c>
      <c r="AH2" s="51">
        <f>IFERROR(IF(OR(A2="",AE2=""),"",AE2-Z2),"")</f>
        <v/>
      </c>
      <c r="AI2" s="25">
        <f>IFERROR(IF(A2="","",IF(G2&gt;F2,"Check out-of-order rooms",IF(K2&gt;H2,"On the books exceeds sellable rooms",IF(R2&gt;H2,"Forecast exceeds sellable rooms",IF(AND(A2&lt;TODAY(),AB2=""),"Actual results missing","OK"))))),"")</f>
        <v/>
      </c>
    </row>
    <row r="3">
      <c r="A3" s="24" t="n">
        <v>46175</v>
      </c>
      <c r="B3" s="25">
        <f>IFERROR(IF(A3="","",VLOOKUP(MOD(A3,7),'Assumptions'!$E$16:$F$22,2,0)),"")</f>
        <v/>
      </c>
      <c r="C3" s="25">
        <f>IFERROR(IF(A3="","",IF(A3&lt;TODAY(),"Past",IF(A3=TODAY(),"Today","Future"))),"")</f>
        <v/>
      </c>
      <c r="D3" s="26" t="inlineStr">
        <is>
          <t>Corporate accounts and training group</t>
        </is>
      </c>
      <c r="E3" s="26" t="inlineStr">
        <is>
          <t>Daily pickup report - 6/2/2026</t>
        </is>
      </c>
      <c r="F3" s="27" t="n">
        <v>150</v>
      </c>
      <c r="G3" s="27" t="n">
        <v>3</v>
      </c>
      <c r="H3" s="28">
        <f>IFERROR(IF(A3="","",MAX(0,F3-G3)),"")</f>
        <v/>
      </c>
      <c r="I3" s="27" t="n">
        <v>80</v>
      </c>
      <c r="J3" s="27" t="n">
        <v>24</v>
      </c>
      <c r="K3" s="28">
        <f>IFERROR(IF(A3="","",I3+J3),"")</f>
        <v/>
      </c>
      <c r="L3" s="29">
        <f>IFERROR(IF(A3="","",K3/H3),"")</f>
        <v/>
      </c>
      <c r="M3" s="29">
        <f>IFERROR(IF(A3="","",VLOOKUP(B3,'Assumptions'!$A$16:$B$22,2,0)),"")</f>
        <v/>
      </c>
      <c r="N3" s="27" t="n">
        <v>10</v>
      </c>
      <c r="O3" s="27" t="n">
        <v>0</v>
      </c>
      <c r="P3" s="27" t="n"/>
      <c r="Q3" s="28">
        <f>IFERROR(IF(A3="","",MIN(H3,MAX(0,K3,ROUND(H3*M3,0)+N3+O3))),"")</f>
        <v/>
      </c>
      <c r="R3" s="28">
        <f>IFERROR(IF(A3="","",MIN(H3,MAX(0,IF(P3="",Q3,P3)))),"")</f>
        <v/>
      </c>
      <c r="S3" s="28">
        <f>IFERROR(IF(A3="","",MAX(0,R3-K3)),"")</f>
        <v/>
      </c>
      <c r="T3" s="29">
        <f>IFERROR(IF(A3="","",R3/H3),"")</f>
        <v/>
      </c>
      <c r="U3" s="29">
        <f>IFERROR(IF(A3="","",'Assumptions'!$B$5),"")</f>
        <v/>
      </c>
      <c r="V3" s="29">
        <f>IFERROR(IF(A3="","",T3-U3),"")</f>
        <v/>
      </c>
      <c r="W3" s="50" t="n">
        <v>164</v>
      </c>
      <c r="X3" s="50" t="n"/>
      <c r="Y3" s="51">
        <f>IFERROR(IF(A3="","",IF(X3&lt;&gt;"",X3,IF(W3&lt;&gt;"",W3,'Assumptions'!$B$8))),"")</f>
        <v/>
      </c>
      <c r="Z3" s="51">
        <f>IFERROR(IF(A3="","",R3*Y3),"")</f>
        <v/>
      </c>
      <c r="AA3" s="51">
        <f>IFERROR(IF(A3="","",Z3/H3),"")</f>
        <v/>
      </c>
      <c r="AB3" s="32" t="n">
        <v>119</v>
      </c>
      <c r="AC3" s="52" t="n">
        <v>167</v>
      </c>
      <c r="AD3" s="29">
        <f>IFERROR(IF(OR(A3="",AB3=""),"",AB3/H3),"")</f>
        <v/>
      </c>
      <c r="AE3" s="51">
        <f>IFERROR(IF(OR(A3="",AB3="",AC3=""),"",AB3*AC3),"")</f>
        <v/>
      </c>
      <c r="AF3" s="28">
        <f>IFERROR(IF(OR(A3="",AB3=""),"",AB3-R3),"")</f>
        <v/>
      </c>
      <c r="AG3" s="29">
        <f>IFERROR(IF(OR(A3="",AB3=""),"",IF(AD3-T3&lt;0,T3-AD3,AD3-T3)),"")</f>
        <v/>
      </c>
      <c r="AH3" s="51">
        <f>IFERROR(IF(OR(A3="",AE3=""),"",AE3-Z3),"")</f>
        <v/>
      </c>
      <c r="AI3" s="25">
        <f>IFERROR(IF(A3="","",IF(G3&gt;F3,"Check out-of-order rooms",IF(K3&gt;H3,"On the books exceeds sellable rooms",IF(R3&gt;H3,"Forecast exceeds sellable rooms",IF(AND(A3&lt;TODAY(),AB3=""),"Actual results missing","OK"))))),"")</f>
        <v/>
      </c>
    </row>
    <row r="4">
      <c r="A4" s="24" t="n">
        <v>46176</v>
      </c>
      <c r="B4" s="25">
        <f>IFERROR(IF(A4="","",VLOOKUP(MOD(A4,7),'Assumptions'!$E$16:$F$22,2,0)),"")</f>
        <v/>
      </c>
      <c r="C4" s="25">
        <f>IFERROR(IF(A4="","",IF(A4&lt;TODAY(),"Past",IF(A4=TODAY(),"Today","Future"))),"")</f>
        <v/>
      </c>
      <c r="D4" s="26" t="inlineStr">
        <is>
          <t>Regional sales meeting</t>
        </is>
      </c>
      <c r="E4" s="26" t="inlineStr">
        <is>
          <t>Daily pickup report - 6/3/2026</t>
        </is>
      </c>
      <c r="F4" s="27" t="n">
        <v>150</v>
      </c>
      <c r="G4" s="27" t="n">
        <v>2</v>
      </c>
      <c r="H4" s="28">
        <f>IFERROR(IF(A4="","",MAX(0,F4-G4)),"")</f>
        <v/>
      </c>
      <c r="I4" s="27" t="n">
        <v>87</v>
      </c>
      <c r="J4" s="27" t="n">
        <v>28</v>
      </c>
      <c r="K4" s="28">
        <f>IFERROR(IF(A4="","",I4+J4),"")</f>
        <v/>
      </c>
      <c r="L4" s="29">
        <f>IFERROR(IF(A4="","",K4/H4),"")</f>
        <v/>
      </c>
      <c r="M4" s="29">
        <f>IFERROR(IF(A4="","",VLOOKUP(B4,'Assumptions'!$A$16:$B$22,2,0)),"")</f>
        <v/>
      </c>
      <c r="N4" s="27" t="n">
        <v>8</v>
      </c>
      <c r="O4" s="27" t="n">
        <v>4</v>
      </c>
      <c r="P4" s="27" t="n"/>
      <c r="Q4" s="28">
        <f>IFERROR(IF(A4="","",MIN(H4,MAX(0,K4,ROUND(H4*M4,0)+N4+O4))),"")</f>
        <v/>
      </c>
      <c r="R4" s="28">
        <f>IFERROR(IF(A4="","",MIN(H4,MAX(0,IF(P4="",Q4,P4)))),"")</f>
        <v/>
      </c>
      <c r="S4" s="28">
        <f>IFERROR(IF(A4="","",MAX(0,R4-K4)),"")</f>
        <v/>
      </c>
      <c r="T4" s="29">
        <f>IFERROR(IF(A4="","",R4/H4),"")</f>
        <v/>
      </c>
      <c r="U4" s="29">
        <f>IFERROR(IF(A4="","",'Assumptions'!$B$5),"")</f>
        <v/>
      </c>
      <c r="V4" s="29">
        <f>IFERROR(IF(A4="","",T4-U4),"")</f>
        <v/>
      </c>
      <c r="W4" s="50" t="n">
        <v>169</v>
      </c>
      <c r="X4" s="50" t="n">
        <v>174</v>
      </c>
      <c r="Y4" s="51">
        <f>IFERROR(IF(A4="","",IF(X4&lt;&gt;"",X4,IF(W4&lt;&gt;"",W4,'Assumptions'!$B$8))),"")</f>
        <v/>
      </c>
      <c r="Z4" s="51">
        <f>IFERROR(IF(A4="","",R4*Y4),"")</f>
        <v/>
      </c>
      <c r="AA4" s="51">
        <f>IFERROR(IF(A4="","",Z4/H4),"")</f>
        <v/>
      </c>
      <c r="AB4" s="32" t="n">
        <v>134</v>
      </c>
      <c r="AC4" s="52" t="n">
        <v>175</v>
      </c>
      <c r="AD4" s="29">
        <f>IFERROR(IF(OR(A4="",AB4=""),"",AB4/H4),"")</f>
        <v/>
      </c>
      <c r="AE4" s="51">
        <f>IFERROR(IF(OR(A4="",AB4="",AC4=""),"",AB4*AC4),"")</f>
        <v/>
      </c>
      <c r="AF4" s="28">
        <f>IFERROR(IF(OR(A4="",AB4=""),"",AB4-R4),"")</f>
        <v/>
      </c>
      <c r="AG4" s="29">
        <f>IFERROR(IF(OR(A4="",AB4=""),"",IF(AD4-T4&lt;0,T4-AD4,AD4-T4)),"")</f>
        <v/>
      </c>
      <c r="AH4" s="51">
        <f>IFERROR(IF(OR(A4="",AE4=""),"",AE4-Z4),"")</f>
        <v/>
      </c>
      <c r="AI4" s="25">
        <f>IFERROR(IF(A4="","",IF(G4&gt;F4,"Check out-of-order rooms",IF(K4&gt;H4,"On the books exceeds sellable rooms",IF(R4&gt;H4,"Forecast exceeds sellable rooms",IF(AND(A4&lt;TODAY(),AB4=""),"Actual results missing","OK"))))),"")</f>
        <v/>
      </c>
    </row>
    <row r="5">
      <c r="A5" s="24" t="n">
        <v>46177</v>
      </c>
      <c r="B5" s="25">
        <f>IFERROR(IF(A5="","",VLOOKUP(MOD(A5,7),'Assumptions'!$E$16:$F$22,2,0)),"")</f>
        <v/>
      </c>
      <c r="C5" s="25">
        <f>IFERROR(IF(A5="","",IF(A5&lt;TODAY(),"Past",IF(A5=TODAY(),"Today","Future"))),"")</f>
        <v/>
      </c>
      <c r="D5" s="26" t="inlineStr">
        <is>
          <t>Downtown concert demand</t>
        </is>
      </c>
      <c r="E5" s="26" t="inlineStr">
        <is>
          <t>Daily pickup report - 6/4/2026</t>
        </is>
      </c>
      <c r="F5" s="27" t="n">
        <v>150</v>
      </c>
      <c r="G5" s="27" t="n">
        <v>2</v>
      </c>
      <c r="H5" s="28">
        <f>IFERROR(IF(A5="","",MAX(0,F5-G5)),"")</f>
        <v/>
      </c>
      <c r="I5" s="27" t="n">
        <v>96</v>
      </c>
      <c r="J5" s="27" t="n">
        <v>20</v>
      </c>
      <c r="K5" s="28">
        <f>IFERROR(IF(A5="","",I5+J5),"")</f>
        <v/>
      </c>
      <c r="L5" s="29">
        <f>IFERROR(IF(A5="","",K5/H5),"")</f>
        <v/>
      </c>
      <c r="M5" s="29">
        <f>IFERROR(IF(A5="","",VLOOKUP(B5,'Assumptions'!$A$16:$B$22,2,0)),"")</f>
        <v/>
      </c>
      <c r="N5" s="27" t="n">
        <v>9</v>
      </c>
      <c r="O5" s="27" t="n">
        <v>7</v>
      </c>
      <c r="P5" s="27" t="n"/>
      <c r="Q5" s="28">
        <f>IFERROR(IF(A5="","",MIN(H5,MAX(0,K5,ROUND(H5*M5,0)+N5+O5))),"")</f>
        <v/>
      </c>
      <c r="R5" s="28">
        <f>IFERROR(IF(A5="","",MIN(H5,MAX(0,IF(P5="",Q5,P5)))),"")</f>
        <v/>
      </c>
      <c r="S5" s="28">
        <f>IFERROR(IF(A5="","",MAX(0,R5-K5)),"")</f>
        <v/>
      </c>
      <c r="T5" s="29">
        <f>IFERROR(IF(A5="","",R5/H5),"")</f>
        <v/>
      </c>
      <c r="U5" s="29">
        <f>IFERROR(IF(A5="","",'Assumptions'!$B$5),"")</f>
        <v/>
      </c>
      <c r="V5" s="29">
        <f>IFERROR(IF(A5="","",T5-U5),"")</f>
        <v/>
      </c>
      <c r="W5" s="50" t="n">
        <v>178</v>
      </c>
      <c r="X5" s="50" t="n">
        <v>189</v>
      </c>
      <c r="Y5" s="51">
        <f>IFERROR(IF(A5="","",IF(X5&lt;&gt;"",X5,IF(W5&lt;&gt;"",W5,'Assumptions'!$B$8))),"")</f>
        <v/>
      </c>
      <c r="Z5" s="51">
        <f>IFERROR(IF(A5="","",R5*Y5),"")</f>
        <v/>
      </c>
      <c r="AA5" s="51">
        <f>IFERROR(IF(A5="","",Z5/H5),"")</f>
        <v/>
      </c>
      <c r="AB5" s="32" t="n">
        <v>143</v>
      </c>
      <c r="AC5" s="52" t="n">
        <v>191</v>
      </c>
      <c r="AD5" s="29">
        <f>IFERROR(IF(OR(A5="",AB5=""),"",AB5/H5),"")</f>
        <v/>
      </c>
      <c r="AE5" s="51">
        <f>IFERROR(IF(OR(A5="",AB5="",AC5=""),"",AB5*AC5),"")</f>
        <v/>
      </c>
      <c r="AF5" s="28">
        <f>IFERROR(IF(OR(A5="",AB5=""),"",AB5-R5),"")</f>
        <v/>
      </c>
      <c r="AG5" s="29">
        <f>IFERROR(IF(OR(A5="",AB5=""),"",IF(AD5-T5&lt;0,T5-AD5,AD5-T5)),"")</f>
        <v/>
      </c>
      <c r="AH5" s="51">
        <f>IFERROR(IF(OR(A5="",AE5=""),"",AE5-Z5),"")</f>
        <v/>
      </c>
      <c r="AI5" s="25">
        <f>IFERROR(IF(A5="","",IF(G5&gt;F5,"Check out-of-order rooms",IF(K5&gt;H5,"On the books exceeds sellable rooms",IF(R5&gt;H5,"Forecast exceeds sellable rooms",IF(AND(A5&lt;TODAY(),AB5=""),"Actual results missing","OK"))))),"")</f>
        <v/>
      </c>
    </row>
    <row r="6">
      <c r="A6" s="24" t="n">
        <v>46178</v>
      </c>
      <c r="B6" s="25">
        <f>IFERROR(IF(A6="","",VLOOKUP(MOD(A6,7),'Assumptions'!$E$16:$F$22,2,0)),"")</f>
        <v/>
      </c>
      <c r="C6" s="25">
        <f>IFERROR(IF(A6="","",IF(A6&lt;TODAY(),"Past",IF(A6=TODAY(),"Today","Future"))),"")</f>
        <v/>
      </c>
      <c r="D6" s="26" t="inlineStr">
        <is>
          <t>Friday leisure pickup expected</t>
        </is>
      </c>
      <c r="E6" s="26" t="inlineStr">
        <is>
          <t>Daily pickup report - 6/5/2026</t>
        </is>
      </c>
      <c r="F6" s="27" t="n">
        <v>150</v>
      </c>
      <c r="G6" s="27" t="n">
        <v>1</v>
      </c>
      <c r="H6" s="28">
        <f>IFERROR(IF(A6="","",MAX(0,F6-G6)),"")</f>
        <v/>
      </c>
      <c r="I6" s="27" t="n">
        <v>83</v>
      </c>
      <c r="J6" s="27" t="n">
        <v>15</v>
      </c>
      <c r="K6" s="28">
        <f>IFERROR(IF(A6="","",I6+J6),"")</f>
        <v/>
      </c>
      <c r="L6" s="29">
        <f>IFERROR(IF(A6="","",K6/H6),"")</f>
        <v/>
      </c>
      <c r="M6" s="29">
        <f>IFERROR(IF(A6="","",VLOOKUP(B6,'Assumptions'!$A$16:$B$22,2,0)),"")</f>
        <v/>
      </c>
      <c r="N6" s="27" t="n">
        <v>18</v>
      </c>
      <c r="O6" s="27" t="n">
        <v>5</v>
      </c>
      <c r="P6" s="27" t="n"/>
      <c r="Q6" s="28">
        <f>IFERROR(IF(A6="","",MIN(H6,MAX(0,K6,ROUND(H6*M6,0)+N6+O6))),"")</f>
        <v/>
      </c>
      <c r="R6" s="28">
        <f>IFERROR(IF(A6="","",MIN(H6,MAX(0,IF(P6="",Q6,P6)))),"")</f>
        <v/>
      </c>
      <c r="S6" s="28">
        <f>IFERROR(IF(A6="","",MAX(0,R6-K6)),"")</f>
        <v/>
      </c>
      <c r="T6" s="29">
        <f>IFERROR(IF(A6="","",R6/H6),"")</f>
        <v/>
      </c>
      <c r="U6" s="29">
        <f>IFERROR(IF(A6="","",'Assumptions'!$B$5),"")</f>
        <v/>
      </c>
      <c r="V6" s="29">
        <f>IFERROR(IF(A6="","",T6-U6),"")</f>
        <v/>
      </c>
      <c r="W6" s="50" t="n">
        <v>184</v>
      </c>
      <c r="X6" s="50" t="n">
        <v>195</v>
      </c>
      <c r="Y6" s="51">
        <f>IFERROR(IF(A6="","",IF(X6&lt;&gt;"",X6,IF(W6&lt;&gt;"",W6,'Assumptions'!$B$8))),"")</f>
        <v/>
      </c>
      <c r="Z6" s="51">
        <f>IFERROR(IF(A6="","",R6*Y6),"")</f>
        <v/>
      </c>
      <c r="AA6" s="51">
        <f>IFERROR(IF(A6="","",Z6/H6),"")</f>
        <v/>
      </c>
      <c r="AB6" s="32" t="n">
        <v>132</v>
      </c>
      <c r="AC6" s="52" t="n">
        <v>198</v>
      </c>
      <c r="AD6" s="29">
        <f>IFERROR(IF(OR(A6="",AB6=""),"",AB6/H6),"")</f>
        <v/>
      </c>
      <c r="AE6" s="51">
        <f>IFERROR(IF(OR(A6="",AB6="",AC6=""),"",AB6*AC6),"")</f>
        <v/>
      </c>
      <c r="AF6" s="28">
        <f>IFERROR(IF(OR(A6="",AB6=""),"",AB6-R6),"")</f>
        <v/>
      </c>
      <c r="AG6" s="29">
        <f>IFERROR(IF(OR(A6="",AB6=""),"",IF(AD6-T6&lt;0,T6-AD6,AD6-T6)),"")</f>
        <v/>
      </c>
      <c r="AH6" s="51">
        <f>IFERROR(IF(OR(A6="",AE6=""),"",AE6-Z6),"")</f>
        <v/>
      </c>
      <c r="AI6" s="25">
        <f>IFERROR(IF(A6="","",IF(G6&gt;F6,"Check out-of-order rooms",IF(K6&gt;H6,"On the books exceeds sellable rooms",IF(R6&gt;H6,"Forecast exceeds sellable rooms",IF(AND(A6&lt;TODAY(),AB6=""),"Actual results missing","OK"))))),"")</f>
        <v/>
      </c>
    </row>
    <row r="7">
      <c r="A7" s="24" t="n">
        <v>46179</v>
      </c>
      <c r="B7" s="25">
        <f>IFERROR(IF(A7="","",VLOOKUP(MOD(A7,7),'Assumptions'!$E$16:$F$22,2,0)),"")</f>
        <v/>
      </c>
      <c r="C7" s="25">
        <f>IFERROR(IF(A7="","",IF(A7&lt;TODAY(),"Past",IF(A7=TODAY(),"Today","Future"))),"")</f>
        <v/>
      </c>
      <c r="D7" s="26" t="inlineStr">
        <is>
          <t>Wedding block and youth sports</t>
        </is>
      </c>
      <c r="E7" s="26" t="inlineStr">
        <is>
          <t>Daily pickup report - 6/6/2026</t>
        </is>
      </c>
      <c r="F7" s="27" t="n">
        <v>150</v>
      </c>
      <c r="G7" s="27" t="n">
        <v>1</v>
      </c>
      <c r="H7" s="28">
        <f>IFERROR(IF(A7="","",MAX(0,F7-G7)),"")</f>
        <v/>
      </c>
      <c r="I7" s="27" t="n">
        <v>78</v>
      </c>
      <c r="J7" s="27" t="n">
        <v>42</v>
      </c>
      <c r="K7" s="28">
        <f>IFERROR(IF(A7="","",I7+J7),"")</f>
        <v/>
      </c>
      <c r="L7" s="29">
        <f>IFERROR(IF(A7="","",K7/H7),"")</f>
        <v/>
      </c>
      <c r="M7" s="29">
        <f>IFERROR(IF(A7="","",VLOOKUP(B7,'Assumptions'!$A$16:$B$22,2,0)),"")</f>
        <v/>
      </c>
      <c r="N7" s="27" t="n">
        <v>9</v>
      </c>
      <c r="O7" s="27" t="n">
        <v>6</v>
      </c>
      <c r="P7" s="27" t="n"/>
      <c r="Q7" s="28">
        <f>IFERROR(IF(A7="","",MIN(H7,MAX(0,K7,ROUND(H7*M7,0)+N7+O7))),"")</f>
        <v/>
      </c>
      <c r="R7" s="28">
        <f>IFERROR(IF(A7="","",MIN(H7,MAX(0,IF(P7="",Q7,P7)))),"")</f>
        <v/>
      </c>
      <c r="S7" s="28">
        <f>IFERROR(IF(A7="","",MAX(0,R7-K7)),"")</f>
        <v/>
      </c>
      <c r="T7" s="29">
        <f>IFERROR(IF(A7="","",R7/H7),"")</f>
        <v/>
      </c>
      <c r="U7" s="29">
        <f>IFERROR(IF(A7="","",'Assumptions'!$B$5),"")</f>
        <v/>
      </c>
      <c r="V7" s="29">
        <f>IFERROR(IF(A7="","",T7-U7),"")</f>
        <v/>
      </c>
      <c r="W7" s="50" t="n">
        <v>192</v>
      </c>
      <c r="X7" s="50" t="n">
        <v>205</v>
      </c>
      <c r="Y7" s="51">
        <f>IFERROR(IF(A7="","",IF(X7&lt;&gt;"",X7,IF(W7&lt;&gt;"",W7,'Assumptions'!$B$8))),"")</f>
        <v/>
      </c>
      <c r="Z7" s="51">
        <f>IFERROR(IF(A7="","",R7*Y7),"")</f>
        <v/>
      </c>
      <c r="AA7" s="51">
        <f>IFERROR(IF(A7="","",Z7/H7),"")</f>
        <v/>
      </c>
      <c r="AB7" s="32" t="n">
        <v>146</v>
      </c>
      <c r="AC7" s="52" t="n">
        <v>207</v>
      </c>
      <c r="AD7" s="29">
        <f>IFERROR(IF(OR(A7="",AB7=""),"",AB7/H7),"")</f>
        <v/>
      </c>
      <c r="AE7" s="51">
        <f>IFERROR(IF(OR(A7="",AB7="",AC7=""),"",AB7*AC7),"")</f>
        <v/>
      </c>
      <c r="AF7" s="28">
        <f>IFERROR(IF(OR(A7="",AB7=""),"",AB7-R7),"")</f>
        <v/>
      </c>
      <c r="AG7" s="29">
        <f>IFERROR(IF(OR(A7="",AB7=""),"",IF(AD7-T7&lt;0,T7-AD7,AD7-T7)),"")</f>
        <v/>
      </c>
      <c r="AH7" s="51">
        <f>IFERROR(IF(OR(A7="",AE7=""),"",AE7-Z7),"")</f>
        <v/>
      </c>
      <c r="AI7" s="25">
        <f>IFERROR(IF(A7="","",IF(G7&gt;F7,"Check out-of-order rooms",IF(K7&gt;H7,"On the books exceeds sellable rooms",IF(R7&gt;H7,"Forecast exceeds sellable rooms",IF(AND(A7&lt;TODAY(),AB7=""),"Actual results missing","OK"))))),"")</f>
        <v/>
      </c>
    </row>
    <row r="8">
      <c r="A8" s="24" t="n">
        <v>46180</v>
      </c>
      <c r="B8" s="25">
        <f>IFERROR(IF(A8="","",VLOOKUP(MOD(A8,7),'Assumptions'!$E$16:$F$22,2,0)),"")</f>
        <v/>
      </c>
      <c r="C8" s="25">
        <f>IFERROR(IF(A8="","",IF(A8&lt;TODAY(),"Past",IF(A8=TODAY(),"Today","Future"))),"")</f>
        <v/>
      </c>
      <c r="D8" s="26" t="inlineStr">
        <is>
          <t>Sunday group departures</t>
        </is>
      </c>
      <c r="E8" s="26" t="inlineStr">
        <is>
          <t>Daily pickup report - 6/7/2026</t>
        </is>
      </c>
      <c r="F8" s="27" t="n">
        <v>150</v>
      </c>
      <c r="G8" s="27" t="n">
        <v>1</v>
      </c>
      <c r="H8" s="28">
        <f>IFERROR(IF(A8="","",MAX(0,F8-G8)),"")</f>
        <v/>
      </c>
      <c r="I8" s="27" t="n">
        <v>59</v>
      </c>
      <c r="J8" s="27" t="n">
        <v>12</v>
      </c>
      <c r="K8" s="28">
        <f>IFERROR(IF(A8="","",I8+J8),"")</f>
        <v/>
      </c>
      <c r="L8" s="29">
        <f>IFERROR(IF(A8="","",K8/H8),"")</f>
        <v/>
      </c>
      <c r="M8" s="29">
        <f>IFERROR(IF(A8="","",VLOOKUP(B8,'Assumptions'!$A$16:$B$22,2,0)),"")</f>
        <v/>
      </c>
      <c r="N8" s="27" t="n">
        <v>10</v>
      </c>
      <c r="O8" s="27" t="n">
        <v>-3</v>
      </c>
      <c r="P8" s="27" t="n"/>
      <c r="Q8" s="28">
        <f>IFERROR(IF(A8="","",MIN(H8,MAX(0,K8,ROUND(H8*M8,0)+N8+O8))),"")</f>
        <v/>
      </c>
      <c r="R8" s="28">
        <f>IFERROR(IF(A8="","",MIN(H8,MAX(0,IF(P8="",Q8,P8)))),"")</f>
        <v/>
      </c>
      <c r="S8" s="28">
        <f>IFERROR(IF(A8="","",MAX(0,R8-K8)),"")</f>
        <v/>
      </c>
      <c r="T8" s="29">
        <f>IFERROR(IF(A8="","",R8/H8),"")</f>
        <v/>
      </c>
      <c r="U8" s="29">
        <f>IFERROR(IF(A8="","",'Assumptions'!$B$5),"")</f>
        <v/>
      </c>
      <c r="V8" s="29">
        <f>IFERROR(IF(A8="","",T8-U8),"")</f>
        <v/>
      </c>
      <c r="W8" s="50" t="n">
        <v>151</v>
      </c>
      <c r="X8" s="50" t="n"/>
      <c r="Y8" s="51">
        <f>IFERROR(IF(A8="","",IF(X8&lt;&gt;"",X8,IF(W8&lt;&gt;"",W8,'Assumptions'!$B$8))),"")</f>
        <v/>
      </c>
      <c r="Z8" s="51">
        <f>IFERROR(IF(A8="","",R8*Y8),"")</f>
        <v/>
      </c>
      <c r="AA8" s="51">
        <f>IFERROR(IF(A8="","",Z8/H8),"")</f>
        <v/>
      </c>
      <c r="AB8" s="32" t="n">
        <v>88</v>
      </c>
      <c r="AC8" s="52" t="n">
        <v>154</v>
      </c>
      <c r="AD8" s="29">
        <f>IFERROR(IF(OR(A8="",AB8=""),"",AB8/H8),"")</f>
        <v/>
      </c>
      <c r="AE8" s="51">
        <f>IFERROR(IF(OR(A8="",AB8="",AC8=""),"",AB8*AC8),"")</f>
        <v/>
      </c>
      <c r="AF8" s="28">
        <f>IFERROR(IF(OR(A8="",AB8=""),"",AB8-R8),"")</f>
        <v/>
      </c>
      <c r="AG8" s="29">
        <f>IFERROR(IF(OR(A8="",AB8=""),"",IF(AD8-T8&lt;0,T8-AD8,AD8-T8)),"")</f>
        <v/>
      </c>
      <c r="AH8" s="51">
        <f>IFERROR(IF(OR(A8="",AE8=""),"",AE8-Z8),"")</f>
        <v/>
      </c>
      <c r="AI8" s="25">
        <f>IFERROR(IF(A8="","",IF(G8&gt;F8,"Check out-of-order rooms",IF(K8&gt;H8,"On the books exceeds sellable rooms",IF(R8&gt;H8,"Forecast exceeds sellable rooms",IF(AND(A8&lt;TODAY(),AB8=""),"Actual results missing","OK"))))),"")</f>
        <v/>
      </c>
    </row>
    <row r="9">
      <c r="A9" s="24" t="n">
        <v>46181</v>
      </c>
      <c r="B9" s="25">
        <f>IFERROR(IF(A9="","",VLOOKUP(MOD(A9,7),'Assumptions'!$E$16:$F$22,2,0)),"")</f>
        <v/>
      </c>
      <c r="C9" s="25">
        <f>IFERROR(IF(A9="","",IF(A9&lt;TODAY(),"Past",IF(A9=TODAY(),"Today","Future"))),"")</f>
        <v/>
      </c>
      <c r="D9" s="26" t="inlineStr">
        <is>
          <t>Normal weekday demand</t>
        </is>
      </c>
      <c r="E9" s="26" t="inlineStr">
        <is>
          <t>Daily pickup report - 6/8/2026</t>
        </is>
      </c>
      <c r="F9" s="27" t="n">
        <v>150</v>
      </c>
      <c r="G9" s="27" t="n">
        <v>4</v>
      </c>
      <c r="H9" s="28">
        <f>IFERROR(IF(A9="","",MAX(0,F9-G9)),"")</f>
        <v/>
      </c>
      <c r="I9" s="27" t="n">
        <v>69</v>
      </c>
      <c r="J9" s="27" t="n">
        <v>20</v>
      </c>
      <c r="K9" s="28">
        <f>IFERROR(IF(A9="","",I9+J9),"")</f>
        <v/>
      </c>
      <c r="L9" s="29">
        <f>IFERROR(IF(A9="","",K9/H9),"")</f>
        <v/>
      </c>
      <c r="M9" s="29">
        <f>IFERROR(IF(A9="","",VLOOKUP(B9,'Assumptions'!$A$16:$B$22,2,0)),"")</f>
        <v/>
      </c>
      <c r="N9" s="27" t="n">
        <v>12</v>
      </c>
      <c r="O9" s="27" t="n">
        <v>0</v>
      </c>
      <c r="P9" s="27" t="n"/>
      <c r="Q9" s="28">
        <f>IFERROR(IF(A9="","",MIN(H9,MAX(0,K9,ROUND(H9*M9,0)+N9+O9))),"")</f>
        <v/>
      </c>
      <c r="R9" s="28">
        <f>IFERROR(IF(A9="","",MIN(H9,MAX(0,IF(P9="",Q9,P9)))),"")</f>
        <v/>
      </c>
      <c r="S9" s="28">
        <f>IFERROR(IF(A9="","",MAX(0,R9-K9)),"")</f>
        <v/>
      </c>
      <c r="T9" s="29">
        <f>IFERROR(IF(A9="","",R9/H9),"")</f>
        <v/>
      </c>
      <c r="U9" s="29">
        <f>IFERROR(IF(A9="","",'Assumptions'!$B$5),"")</f>
        <v/>
      </c>
      <c r="V9" s="29">
        <f>IFERROR(IF(A9="","",T9-U9),"")</f>
        <v/>
      </c>
      <c r="W9" s="50" t="n">
        <v>158</v>
      </c>
      <c r="X9" s="50" t="n"/>
      <c r="Y9" s="51">
        <f>IFERROR(IF(A9="","",IF(X9&lt;&gt;"",X9,IF(W9&lt;&gt;"",W9,'Assumptions'!$B$8))),"")</f>
        <v/>
      </c>
      <c r="Z9" s="51">
        <f>IFERROR(IF(A9="","",R9*Y9),"")</f>
        <v/>
      </c>
      <c r="AA9" s="51">
        <f>IFERROR(IF(A9="","",Z9/H9),"")</f>
        <v/>
      </c>
      <c r="AB9" s="32" t="n"/>
      <c r="AC9" s="52" t="n"/>
      <c r="AD9" s="29">
        <f>IFERROR(IF(OR(A9="",AB9=""),"",AB9/H9),"")</f>
        <v/>
      </c>
      <c r="AE9" s="51">
        <f>IFERROR(IF(OR(A9="",AB9="",AC9=""),"",AB9*AC9),"")</f>
        <v/>
      </c>
      <c r="AF9" s="28">
        <f>IFERROR(IF(OR(A9="",AB9=""),"",AB9-R9),"")</f>
        <v/>
      </c>
      <c r="AG9" s="29">
        <f>IFERROR(IF(OR(A9="",AB9=""),"",IF(AD9-T9&lt;0,T9-AD9,AD9-T9)),"")</f>
        <v/>
      </c>
      <c r="AH9" s="51">
        <f>IFERROR(IF(OR(A9="",AE9=""),"",AE9-Z9),"")</f>
        <v/>
      </c>
      <c r="AI9" s="25">
        <f>IFERROR(IF(A9="","",IF(G9&gt;F9,"Check out-of-order rooms",IF(K9&gt;H9,"On the books exceeds sellable rooms",IF(R9&gt;H9,"Forecast exceeds sellable rooms",IF(AND(A9&lt;TODAY(),AB9=""),"Actual results missing","OK"))))),"")</f>
        <v/>
      </c>
    </row>
    <row r="10">
      <c r="A10" s="24" t="n">
        <v>46182</v>
      </c>
      <c r="B10" s="25">
        <f>IFERROR(IF(A10="","",VLOOKUP(MOD(A10,7),'Assumptions'!$E$16:$F$22,2,0)),"")</f>
        <v/>
      </c>
      <c r="C10" s="25">
        <f>IFERROR(IF(A10="","",IF(A10&lt;TODAY(),"Past",IF(A10=TODAY(),"Today","Future"))),"")</f>
        <v/>
      </c>
      <c r="D10" s="26" t="inlineStr">
        <is>
          <t>Medical conference arrivals</t>
        </is>
      </c>
      <c r="E10" s="26" t="inlineStr">
        <is>
          <t>Daily pickup report - 6/9/2026</t>
        </is>
      </c>
      <c r="F10" s="27" t="n">
        <v>150</v>
      </c>
      <c r="G10" s="27" t="n">
        <v>4</v>
      </c>
      <c r="H10" s="28">
        <f>IFERROR(IF(A10="","",MAX(0,F10-G10)),"")</f>
        <v/>
      </c>
      <c r="I10" s="27" t="n">
        <v>77</v>
      </c>
      <c r="J10" s="27" t="n">
        <v>31</v>
      </c>
      <c r="K10" s="28">
        <f>IFERROR(IF(A10="","",I10+J10),"")</f>
        <v/>
      </c>
      <c r="L10" s="29">
        <f>IFERROR(IF(A10="","",K10/H10),"")</f>
        <v/>
      </c>
      <c r="M10" s="29">
        <f>IFERROR(IF(A10="","",VLOOKUP(B10,'Assumptions'!$A$16:$B$22,2,0)),"")</f>
        <v/>
      </c>
      <c r="N10" s="27" t="n">
        <v>10</v>
      </c>
      <c r="O10" s="27" t="n">
        <v>5</v>
      </c>
      <c r="P10" s="27" t="n"/>
      <c r="Q10" s="28">
        <f>IFERROR(IF(A10="","",MIN(H10,MAX(0,K10,ROUND(H10*M10,0)+N10+O10))),"")</f>
        <v/>
      </c>
      <c r="R10" s="28">
        <f>IFERROR(IF(A10="","",MIN(H10,MAX(0,IF(P10="",Q10,P10)))),"")</f>
        <v/>
      </c>
      <c r="S10" s="28">
        <f>IFERROR(IF(A10="","",MAX(0,R10-K10)),"")</f>
        <v/>
      </c>
      <c r="T10" s="29">
        <f>IFERROR(IF(A10="","",R10/H10),"")</f>
        <v/>
      </c>
      <c r="U10" s="29">
        <f>IFERROR(IF(A10="","",'Assumptions'!$B$5),"")</f>
        <v/>
      </c>
      <c r="V10" s="29">
        <f>IFERROR(IF(A10="","",T10-U10),"")</f>
        <v/>
      </c>
      <c r="W10" s="50" t="n">
        <v>172</v>
      </c>
      <c r="X10" s="50" t="n">
        <v>181</v>
      </c>
      <c r="Y10" s="51">
        <f>IFERROR(IF(A10="","",IF(X10&lt;&gt;"",X10,IF(W10&lt;&gt;"",W10,'Assumptions'!$B$8))),"")</f>
        <v/>
      </c>
      <c r="Z10" s="51">
        <f>IFERROR(IF(A10="","",R10*Y10),"")</f>
        <v/>
      </c>
      <c r="AA10" s="51">
        <f>IFERROR(IF(A10="","",Z10/H10),"")</f>
        <v/>
      </c>
      <c r="AB10" s="32" t="n"/>
      <c r="AC10" s="52" t="n"/>
      <c r="AD10" s="29">
        <f>IFERROR(IF(OR(A10="",AB10=""),"",AB10/H10),"")</f>
        <v/>
      </c>
      <c r="AE10" s="51">
        <f>IFERROR(IF(OR(A10="",AB10="",AC10=""),"",AB10*AC10),"")</f>
        <v/>
      </c>
      <c r="AF10" s="28">
        <f>IFERROR(IF(OR(A10="",AB10=""),"",AB10-R10),"")</f>
        <v/>
      </c>
      <c r="AG10" s="29">
        <f>IFERROR(IF(OR(A10="",AB10=""),"",IF(AD10-T10&lt;0,T10-AD10,AD10-T10)),"")</f>
        <v/>
      </c>
      <c r="AH10" s="51">
        <f>IFERROR(IF(OR(A10="",AE10=""),"",AE10-Z10),"")</f>
        <v/>
      </c>
      <c r="AI10" s="25">
        <f>IFERROR(IF(A10="","",IF(G10&gt;F10,"Check out-of-order rooms",IF(K10&gt;H10,"On the books exceeds sellable rooms",IF(R10&gt;H10,"Forecast exceeds sellable rooms",IF(AND(A10&lt;TODAY(),AB10=""),"Actual results missing","OK"))))),"")</f>
        <v/>
      </c>
    </row>
    <row r="11">
      <c r="A11" s="24" t="n">
        <v>46183</v>
      </c>
      <c r="B11" s="25">
        <f>IFERROR(IF(A11="","",VLOOKUP(MOD(A11,7),'Assumptions'!$E$16:$F$22,2,0)),"")</f>
        <v/>
      </c>
      <c r="C11" s="25">
        <f>IFERROR(IF(A11="","",IF(A11&lt;TODAY(),"Past",IF(A11=TODAY(),"Today","Future"))),"")</f>
        <v/>
      </c>
      <c r="D11" s="26" t="inlineStr">
        <is>
          <t>Medical conference peak night</t>
        </is>
      </c>
      <c r="E11" s="26" t="inlineStr">
        <is>
          <t>Daily pickup report - 6/10/2026</t>
        </is>
      </c>
      <c r="F11" s="27" t="n">
        <v>150</v>
      </c>
      <c r="G11" s="27" t="n">
        <v>2</v>
      </c>
      <c r="H11" s="28">
        <f>IFERROR(IF(A11="","",MAX(0,F11-G11)),"")</f>
        <v/>
      </c>
      <c r="I11" s="27" t="n">
        <v>91</v>
      </c>
      <c r="J11" s="27" t="n">
        <v>39</v>
      </c>
      <c r="K11" s="28">
        <f>IFERROR(IF(A11="","",I11+J11),"")</f>
        <v/>
      </c>
      <c r="L11" s="29">
        <f>IFERROR(IF(A11="","",K11/H11),"")</f>
        <v/>
      </c>
      <c r="M11" s="29">
        <f>IFERROR(IF(A11="","",VLOOKUP(B11,'Assumptions'!$A$16:$B$22,2,0)),"")</f>
        <v/>
      </c>
      <c r="N11" s="27" t="n">
        <v>6</v>
      </c>
      <c r="O11" s="27" t="n">
        <v>7</v>
      </c>
      <c r="P11" s="27" t="n">
        <v>147</v>
      </c>
      <c r="Q11" s="28">
        <f>IFERROR(IF(A11="","",MIN(H11,MAX(0,K11,ROUND(H11*M11,0)+N11+O11))),"")</f>
        <v/>
      </c>
      <c r="R11" s="28">
        <f>IFERROR(IF(A11="","",MIN(H11,MAX(0,IF(P11="",Q11,P11)))),"")</f>
        <v/>
      </c>
      <c r="S11" s="28">
        <f>IFERROR(IF(A11="","",MAX(0,R11-K11)),"")</f>
        <v/>
      </c>
      <c r="T11" s="29">
        <f>IFERROR(IF(A11="","",R11/H11),"")</f>
        <v/>
      </c>
      <c r="U11" s="29">
        <f>IFERROR(IF(A11="","",'Assumptions'!$B$5),"")</f>
        <v/>
      </c>
      <c r="V11" s="29">
        <f>IFERROR(IF(A11="","",T11-U11),"")</f>
        <v/>
      </c>
      <c r="W11" s="50" t="n">
        <v>188</v>
      </c>
      <c r="X11" s="50" t="n">
        <v>209</v>
      </c>
      <c r="Y11" s="51">
        <f>IFERROR(IF(A11="","",IF(X11&lt;&gt;"",X11,IF(W11&lt;&gt;"",W11,'Assumptions'!$B$8))),"")</f>
        <v/>
      </c>
      <c r="Z11" s="51">
        <f>IFERROR(IF(A11="","",R11*Y11),"")</f>
        <v/>
      </c>
      <c r="AA11" s="51">
        <f>IFERROR(IF(A11="","",Z11/H11),"")</f>
        <v/>
      </c>
      <c r="AB11" s="32" t="n"/>
      <c r="AC11" s="52" t="n"/>
      <c r="AD11" s="29">
        <f>IFERROR(IF(OR(A11="",AB11=""),"",AB11/H11),"")</f>
        <v/>
      </c>
      <c r="AE11" s="51">
        <f>IFERROR(IF(OR(A11="",AB11="",AC11=""),"",AB11*AC11),"")</f>
        <v/>
      </c>
      <c r="AF11" s="28">
        <f>IFERROR(IF(OR(A11="",AB11=""),"",AB11-R11),"")</f>
        <v/>
      </c>
      <c r="AG11" s="29">
        <f>IFERROR(IF(OR(A11="",AB11=""),"",IF(AD11-T11&lt;0,T11-AD11,AD11-T11)),"")</f>
        <v/>
      </c>
      <c r="AH11" s="51">
        <f>IFERROR(IF(OR(A11="",AE11=""),"",AE11-Z11),"")</f>
        <v/>
      </c>
      <c r="AI11" s="25">
        <f>IFERROR(IF(A11="","",IF(G11&gt;F11,"Check out-of-order rooms",IF(K11&gt;H11,"On the books exceeds sellable rooms",IF(R11&gt;H11,"Forecast exceeds sellable rooms",IF(AND(A11&lt;TODAY(),AB11=""),"Actual results missing","OK"))))),"")</f>
        <v/>
      </c>
    </row>
    <row r="12">
      <c r="A12" s="24" t="n"/>
      <c r="B12" s="25">
        <f>IFERROR(IF(A12="","",VLOOKUP(MOD(A12,7),'Assumptions'!$E$16:$F$22,2,0)),"")</f>
        <v/>
      </c>
      <c r="C12" s="25">
        <f>IFERROR(IF(A12="","",IF(A12&lt;TODAY(),"Past",IF(A12=TODAY(),"Today","Future"))),"")</f>
        <v/>
      </c>
      <c r="D12" s="26" t="n"/>
      <c r="E12" s="26" t="n"/>
      <c r="F12" s="27" t="n"/>
      <c r="G12" s="27" t="n"/>
      <c r="H12" s="28">
        <f>IFERROR(IF(A12="","",MAX(0,F12-G12)),"")</f>
        <v/>
      </c>
      <c r="I12" s="27" t="n"/>
      <c r="J12" s="27" t="n"/>
      <c r="K12" s="28">
        <f>IFERROR(IF(A12="","",I12+J12),"")</f>
        <v/>
      </c>
      <c r="L12" s="29">
        <f>IFERROR(IF(A12="","",K12/H12),"")</f>
        <v/>
      </c>
      <c r="M12" s="29">
        <f>IFERROR(IF(A12="","",VLOOKUP(B12,'Assumptions'!$A$16:$B$22,2,0)),"")</f>
        <v/>
      </c>
      <c r="N12" s="27" t="n"/>
      <c r="O12" s="27" t="n"/>
      <c r="P12" s="27" t="n"/>
      <c r="Q12" s="28">
        <f>IFERROR(IF(A12="","",MIN(H12,MAX(0,K12,ROUND(H12*M12,0)+N12+O12))),"")</f>
        <v/>
      </c>
      <c r="R12" s="28">
        <f>IFERROR(IF(A12="","",MIN(H12,MAX(0,IF(P12="",Q12,P12)))),"")</f>
        <v/>
      </c>
      <c r="S12" s="28">
        <f>IFERROR(IF(A12="","",MAX(0,R12-K12)),"")</f>
        <v/>
      </c>
      <c r="T12" s="29">
        <f>IFERROR(IF(A12="","",R12/H12),"")</f>
        <v/>
      </c>
      <c r="U12" s="29">
        <f>IFERROR(IF(A12="","",'Assumptions'!$B$5),"")</f>
        <v/>
      </c>
      <c r="V12" s="29">
        <f>IFERROR(IF(A12="","",T12-U12),"")</f>
        <v/>
      </c>
      <c r="W12" s="50" t="n"/>
      <c r="X12" s="50" t="n"/>
      <c r="Y12" s="51">
        <f>IFERROR(IF(A12="","",IF(X12&lt;&gt;"",X12,IF(W12&lt;&gt;"",W12,'Assumptions'!$B$8))),"")</f>
        <v/>
      </c>
      <c r="Z12" s="51">
        <f>IFERROR(IF(A12="","",R12*Y12),"")</f>
        <v/>
      </c>
      <c r="AA12" s="51">
        <f>IFERROR(IF(A12="","",Z12/H12),"")</f>
        <v/>
      </c>
      <c r="AB12" s="32" t="n"/>
      <c r="AC12" s="52" t="n"/>
      <c r="AD12" s="29">
        <f>IFERROR(IF(OR(A12="",AB12=""),"",AB12/H12),"")</f>
        <v/>
      </c>
      <c r="AE12" s="51">
        <f>IFERROR(IF(OR(A12="",AB12="",AC12=""),"",AB12*AC12),"")</f>
        <v/>
      </c>
      <c r="AF12" s="28">
        <f>IFERROR(IF(OR(A12="",AB12=""),"",AB12-R12),"")</f>
        <v/>
      </c>
      <c r="AG12" s="29">
        <f>IFERROR(IF(OR(A12="",AB12=""),"",IF(AD12-T12&lt;0,T12-AD12,AD12-T12)),"")</f>
        <v/>
      </c>
      <c r="AH12" s="51">
        <f>IFERROR(IF(OR(A12="",AE12=""),"",AE12-Z12),"")</f>
        <v/>
      </c>
      <c r="AI12" s="25">
        <f>IFERROR(IF(A12="","",IF(G12&gt;F12,"Check out-of-order rooms",IF(K12&gt;H12,"On the books exceeds sellable rooms",IF(R12&gt;H12,"Forecast exceeds sellable rooms",IF(AND(A12&lt;TODAY(),AB12=""),"Actual results missing","OK"))))),"")</f>
        <v/>
      </c>
    </row>
    <row r="13">
      <c r="A13" s="24" t="n"/>
      <c r="B13" s="25">
        <f>IFERROR(IF(A13="","",VLOOKUP(MOD(A13,7),'Assumptions'!$E$16:$F$22,2,0)),"")</f>
        <v/>
      </c>
      <c r="C13" s="25">
        <f>IFERROR(IF(A13="","",IF(A13&lt;TODAY(),"Past",IF(A13=TODAY(),"Today","Future"))),"")</f>
        <v/>
      </c>
      <c r="D13" s="26" t="n"/>
      <c r="E13" s="26" t="n"/>
      <c r="F13" s="27" t="n"/>
      <c r="G13" s="27" t="n"/>
      <c r="H13" s="28">
        <f>IFERROR(IF(A13="","",MAX(0,F13-G13)),"")</f>
        <v/>
      </c>
      <c r="I13" s="27" t="n"/>
      <c r="J13" s="27" t="n"/>
      <c r="K13" s="28">
        <f>IFERROR(IF(A13="","",I13+J13),"")</f>
        <v/>
      </c>
      <c r="L13" s="29">
        <f>IFERROR(IF(A13="","",K13/H13),"")</f>
        <v/>
      </c>
      <c r="M13" s="29">
        <f>IFERROR(IF(A13="","",VLOOKUP(B13,'Assumptions'!$A$16:$B$22,2,0)),"")</f>
        <v/>
      </c>
      <c r="N13" s="27" t="n"/>
      <c r="O13" s="27" t="n"/>
      <c r="P13" s="27" t="n"/>
      <c r="Q13" s="28">
        <f>IFERROR(IF(A13="","",MIN(H13,MAX(0,K13,ROUND(H13*M13,0)+N13+O13))),"")</f>
        <v/>
      </c>
      <c r="R13" s="28">
        <f>IFERROR(IF(A13="","",MIN(H13,MAX(0,IF(P13="",Q13,P13)))),"")</f>
        <v/>
      </c>
      <c r="S13" s="28">
        <f>IFERROR(IF(A13="","",MAX(0,R13-K13)),"")</f>
        <v/>
      </c>
      <c r="T13" s="29">
        <f>IFERROR(IF(A13="","",R13/H13),"")</f>
        <v/>
      </c>
      <c r="U13" s="29">
        <f>IFERROR(IF(A13="","",'Assumptions'!$B$5),"")</f>
        <v/>
      </c>
      <c r="V13" s="29">
        <f>IFERROR(IF(A13="","",T13-U13),"")</f>
        <v/>
      </c>
      <c r="W13" s="50" t="n"/>
      <c r="X13" s="50" t="n"/>
      <c r="Y13" s="51">
        <f>IFERROR(IF(A13="","",IF(X13&lt;&gt;"",X13,IF(W13&lt;&gt;"",W13,'Assumptions'!$B$8))),"")</f>
        <v/>
      </c>
      <c r="Z13" s="51">
        <f>IFERROR(IF(A13="","",R13*Y13),"")</f>
        <v/>
      </c>
      <c r="AA13" s="51">
        <f>IFERROR(IF(A13="","",Z13/H13),"")</f>
        <v/>
      </c>
      <c r="AB13" s="32" t="n"/>
      <c r="AC13" s="52" t="n"/>
      <c r="AD13" s="29">
        <f>IFERROR(IF(OR(A13="",AB13=""),"",AB13/H13),"")</f>
        <v/>
      </c>
      <c r="AE13" s="51">
        <f>IFERROR(IF(OR(A13="",AB13="",AC13=""),"",AB13*AC13),"")</f>
        <v/>
      </c>
      <c r="AF13" s="28">
        <f>IFERROR(IF(OR(A13="",AB13=""),"",AB13-R13),"")</f>
        <v/>
      </c>
      <c r="AG13" s="29">
        <f>IFERROR(IF(OR(A13="",AB13=""),"",IF(AD13-T13&lt;0,T13-AD13,AD13-T13)),"")</f>
        <v/>
      </c>
      <c r="AH13" s="51">
        <f>IFERROR(IF(OR(A13="",AE13=""),"",AE13-Z13),"")</f>
        <v/>
      </c>
      <c r="AI13" s="25">
        <f>IFERROR(IF(A13="","",IF(G13&gt;F13,"Check out-of-order rooms",IF(K13&gt;H13,"On the books exceeds sellable rooms",IF(R13&gt;H13,"Forecast exceeds sellable rooms",IF(AND(A13&lt;TODAY(),AB13=""),"Actual results missing","OK"))))),"")</f>
        <v/>
      </c>
    </row>
    <row r="14">
      <c r="A14" s="24" t="n"/>
      <c r="B14" s="25">
        <f>IFERROR(IF(A14="","",VLOOKUP(MOD(A14,7),'Assumptions'!$E$16:$F$22,2,0)),"")</f>
        <v/>
      </c>
      <c r="C14" s="25">
        <f>IFERROR(IF(A14="","",IF(A14&lt;TODAY(),"Past",IF(A14=TODAY(),"Today","Future"))),"")</f>
        <v/>
      </c>
      <c r="D14" s="26" t="n"/>
      <c r="E14" s="26" t="n"/>
      <c r="F14" s="27" t="n"/>
      <c r="G14" s="27" t="n"/>
      <c r="H14" s="28">
        <f>IFERROR(IF(A14="","",MAX(0,F14-G14)),"")</f>
        <v/>
      </c>
      <c r="I14" s="27" t="n"/>
      <c r="J14" s="27" t="n"/>
      <c r="K14" s="28">
        <f>IFERROR(IF(A14="","",I14+J14),"")</f>
        <v/>
      </c>
      <c r="L14" s="29">
        <f>IFERROR(IF(A14="","",K14/H14),"")</f>
        <v/>
      </c>
      <c r="M14" s="29">
        <f>IFERROR(IF(A14="","",VLOOKUP(B14,'Assumptions'!$A$16:$B$22,2,0)),"")</f>
        <v/>
      </c>
      <c r="N14" s="27" t="n"/>
      <c r="O14" s="27" t="n"/>
      <c r="P14" s="27" t="n"/>
      <c r="Q14" s="28">
        <f>IFERROR(IF(A14="","",MIN(H14,MAX(0,K14,ROUND(H14*M14,0)+N14+O14))),"")</f>
        <v/>
      </c>
      <c r="R14" s="28">
        <f>IFERROR(IF(A14="","",MIN(H14,MAX(0,IF(P14="",Q14,P14)))),"")</f>
        <v/>
      </c>
      <c r="S14" s="28">
        <f>IFERROR(IF(A14="","",MAX(0,R14-K14)),"")</f>
        <v/>
      </c>
      <c r="T14" s="29">
        <f>IFERROR(IF(A14="","",R14/H14),"")</f>
        <v/>
      </c>
      <c r="U14" s="29">
        <f>IFERROR(IF(A14="","",'Assumptions'!$B$5),"")</f>
        <v/>
      </c>
      <c r="V14" s="29">
        <f>IFERROR(IF(A14="","",T14-U14),"")</f>
        <v/>
      </c>
      <c r="W14" s="50" t="n"/>
      <c r="X14" s="50" t="n"/>
      <c r="Y14" s="51">
        <f>IFERROR(IF(A14="","",IF(X14&lt;&gt;"",X14,IF(W14&lt;&gt;"",W14,'Assumptions'!$B$8))),"")</f>
        <v/>
      </c>
      <c r="Z14" s="51">
        <f>IFERROR(IF(A14="","",R14*Y14),"")</f>
        <v/>
      </c>
      <c r="AA14" s="51">
        <f>IFERROR(IF(A14="","",Z14/H14),"")</f>
        <v/>
      </c>
      <c r="AB14" s="32" t="n"/>
      <c r="AC14" s="52" t="n"/>
      <c r="AD14" s="29">
        <f>IFERROR(IF(OR(A14="",AB14=""),"",AB14/H14),"")</f>
        <v/>
      </c>
      <c r="AE14" s="51">
        <f>IFERROR(IF(OR(A14="",AB14="",AC14=""),"",AB14*AC14),"")</f>
        <v/>
      </c>
      <c r="AF14" s="28">
        <f>IFERROR(IF(OR(A14="",AB14=""),"",AB14-R14),"")</f>
        <v/>
      </c>
      <c r="AG14" s="29">
        <f>IFERROR(IF(OR(A14="",AB14=""),"",IF(AD14-T14&lt;0,T14-AD14,AD14-T14)),"")</f>
        <v/>
      </c>
      <c r="AH14" s="51">
        <f>IFERROR(IF(OR(A14="",AE14=""),"",AE14-Z14),"")</f>
        <v/>
      </c>
      <c r="AI14" s="25">
        <f>IFERROR(IF(A14="","",IF(G14&gt;F14,"Check out-of-order rooms",IF(K14&gt;H14,"On the books exceeds sellable rooms",IF(R14&gt;H14,"Forecast exceeds sellable rooms",IF(AND(A14&lt;TODAY(),AB14=""),"Actual results missing","OK"))))),"")</f>
        <v/>
      </c>
    </row>
    <row r="15">
      <c r="A15" s="24" t="n"/>
      <c r="B15" s="25">
        <f>IFERROR(IF(A15="","",VLOOKUP(MOD(A15,7),'Assumptions'!$E$16:$F$22,2,0)),"")</f>
        <v/>
      </c>
      <c r="C15" s="25">
        <f>IFERROR(IF(A15="","",IF(A15&lt;TODAY(),"Past",IF(A15=TODAY(),"Today","Future"))),"")</f>
        <v/>
      </c>
      <c r="D15" s="26" t="n"/>
      <c r="E15" s="26" t="n"/>
      <c r="F15" s="27" t="n"/>
      <c r="G15" s="27" t="n"/>
      <c r="H15" s="28">
        <f>IFERROR(IF(A15="","",MAX(0,F15-G15)),"")</f>
        <v/>
      </c>
      <c r="I15" s="27" t="n"/>
      <c r="J15" s="27" t="n"/>
      <c r="K15" s="28">
        <f>IFERROR(IF(A15="","",I15+J15),"")</f>
        <v/>
      </c>
      <c r="L15" s="29">
        <f>IFERROR(IF(A15="","",K15/H15),"")</f>
        <v/>
      </c>
      <c r="M15" s="29">
        <f>IFERROR(IF(A15="","",VLOOKUP(B15,'Assumptions'!$A$16:$B$22,2,0)),"")</f>
        <v/>
      </c>
      <c r="N15" s="27" t="n"/>
      <c r="O15" s="27" t="n"/>
      <c r="P15" s="27" t="n"/>
      <c r="Q15" s="28">
        <f>IFERROR(IF(A15="","",MIN(H15,MAX(0,K15,ROUND(H15*M15,0)+N15+O15))),"")</f>
        <v/>
      </c>
      <c r="R15" s="28">
        <f>IFERROR(IF(A15="","",MIN(H15,MAX(0,IF(P15="",Q15,P15)))),"")</f>
        <v/>
      </c>
      <c r="S15" s="28">
        <f>IFERROR(IF(A15="","",MAX(0,R15-K15)),"")</f>
        <v/>
      </c>
      <c r="T15" s="29">
        <f>IFERROR(IF(A15="","",R15/H15),"")</f>
        <v/>
      </c>
      <c r="U15" s="29">
        <f>IFERROR(IF(A15="","",'Assumptions'!$B$5),"")</f>
        <v/>
      </c>
      <c r="V15" s="29">
        <f>IFERROR(IF(A15="","",T15-U15),"")</f>
        <v/>
      </c>
      <c r="W15" s="50" t="n"/>
      <c r="X15" s="50" t="n"/>
      <c r="Y15" s="51">
        <f>IFERROR(IF(A15="","",IF(X15&lt;&gt;"",X15,IF(W15&lt;&gt;"",W15,'Assumptions'!$B$8))),"")</f>
        <v/>
      </c>
      <c r="Z15" s="51">
        <f>IFERROR(IF(A15="","",R15*Y15),"")</f>
        <v/>
      </c>
      <c r="AA15" s="51">
        <f>IFERROR(IF(A15="","",Z15/H15),"")</f>
        <v/>
      </c>
      <c r="AB15" s="32" t="n"/>
      <c r="AC15" s="52" t="n"/>
      <c r="AD15" s="29">
        <f>IFERROR(IF(OR(A15="",AB15=""),"",AB15/H15),"")</f>
        <v/>
      </c>
      <c r="AE15" s="51">
        <f>IFERROR(IF(OR(A15="",AB15="",AC15=""),"",AB15*AC15),"")</f>
        <v/>
      </c>
      <c r="AF15" s="28">
        <f>IFERROR(IF(OR(A15="",AB15=""),"",AB15-R15),"")</f>
        <v/>
      </c>
      <c r="AG15" s="29">
        <f>IFERROR(IF(OR(A15="",AB15=""),"",IF(AD15-T15&lt;0,T15-AD15,AD15-T15)),"")</f>
        <v/>
      </c>
      <c r="AH15" s="51">
        <f>IFERROR(IF(OR(A15="",AE15=""),"",AE15-Z15),"")</f>
        <v/>
      </c>
      <c r="AI15" s="25">
        <f>IFERROR(IF(A15="","",IF(G15&gt;F15,"Check out-of-order rooms",IF(K15&gt;H15,"On the books exceeds sellable rooms",IF(R15&gt;H15,"Forecast exceeds sellable rooms",IF(AND(A15&lt;TODAY(),AB15=""),"Actual results missing","OK"))))),"")</f>
        <v/>
      </c>
    </row>
    <row r="16">
      <c r="A16" s="24" t="n"/>
      <c r="B16" s="25">
        <f>IFERROR(IF(A16="","",VLOOKUP(MOD(A16,7),'Assumptions'!$E$16:$F$22,2,0)),"")</f>
        <v/>
      </c>
      <c r="C16" s="25">
        <f>IFERROR(IF(A16="","",IF(A16&lt;TODAY(),"Past",IF(A16=TODAY(),"Today","Future"))),"")</f>
        <v/>
      </c>
      <c r="D16" s="26" t="n"/>
      <c r="E16" s="26" t="n"/>
      <c r="F16" s="27" t="n"/>
      <c r="G16" s="27" t="n"/>
      <c r="H16" s="28">
        <f>IFERROR(IF(A16="","",MAX(0,F16-G16)),"")</f>
        <v/>
      </c>
      <c r="I16" s="27" t="n"/>
      <c r="J16" s="27" t="n"/>
      <c r="K16" s="28">
        <f>IFERROR(IF(A16="","",I16+J16),"")</f>
        <v/>
      </c>
      <c r="L16" s="29">
        <f>IFERROR(IF(A16="","",K16/H16),"")</f>
        <v/>
      </c>
      <c r="M16" s="29">
        <f>IFERROR(IF(A16="","",VLOOKUP(B16,'Assumptions'!$A$16:$B$22,2,0)),"")</f>
        <v/>
      </c>
      <c r="N16" s="27" t="n"/>
      <c r="O16" s="27" t="n"/>
      <c r="P16" s="27" t="n"/>
      <c r="Q16" s="28">
        <f>IFERROR(IF(A16="","",MIN(H16,MAX(0,K16,ROUND(H16*M16,0)+N16+O16))),"")</f>
        <v/>
      </c>
      <c r="R16" s="28">
        <f>IFERROR(IF(A16="","",MIN(H16,MAX(0,IF(P16="",Q16,P16)))),"")</f>
        <v/>
      </c>
      <c r="S16" s="28">
        <f>IFERROR(IF(A16="","",MAX(0,R16-K16)),"")</f>
        <v/>
      </c>
      <c r="T16" s="29">
        <f>IFERROR(IF(A16="","",R16/H16),"")</f>
        <v/>
      </c>
      <c r="U16" s="29">
        <f>IFERROR(IF(A16="","",'Assumptions'!$B$5),"")</f>
        <v/>
      </c>
      <c r="V16" s="29">
        <f>IFERROR(IF(A16="","",T16-U16),"")</f>
        <v/>
      </c>
      <c r="W16" s="50" t="n"/>
      <c r="X16" s="50" t="n"/>
      <c r="Y16" s="51">
        <f>IFERROR(IF(A16="","",IF(X16&lt;&gt;"",X16,IF(W16&lt;&gt;"",W16,'Assumptions'!$B$8))),"")</f>
        <v/>
      </c>
      <c r="Z16" s="51">
        <f>IFERROR(IF(A16="","",R16*Y16),"")</f>
        <v/>
      </c>
      <c r="AA16" s="51">
        <f>IFERROR(IF(A16="","",Z16/H16),"")</f>
        <v/>
      </c>
      <c r="AB16" s="32" t="n"/>
      <c r="AC16" s="52" t="n"/>
      <c r="AD16" s="29">
        <f>IFERROR(IF(OR(A16="",AB16=""),"",AB16/H16),"")</f>
        <v/>
      </c>
      <c r="AE16" s="51">
        <f>IFERROR(IF(OR(A16="",AB16="",AC16=""),"",AB16*AC16),"")</f>
        <v/>
      </c>
      <c r="AF16" s="28">
        <f>IFERROR(IF(OR(A16="",AB16=""),"",AB16-R16),"")</f>
        <v/>
      </c>
      <c r="AG16" s="29">
        <f>IFERROR(IF(OR(A16="",AB16=""),"",IF(AD16-T16&lt;0,T16-AD16,AD16-T16)),"")</f>
        <v/>
      </c>
      <c r="AH16" s="51">
        <f>IFERROR(IF(OR(A16="",AE16=""),"",AE16-Z16),"")</f>
        <v/>
      </c>
      <c r="AI16" s="25">
        <f>IFERROR(IF(A16="","",IF(G16&gt;F16,"Check out-of-order rooms",IF(K16&gt;H16,"On the books exceeds sellable rooms",IF(R16&gt;H16,"Forecast exceeds sellable rooms",IF(AND(A16&lt;TODAY(),AB16=""),"Actual results missing","OK"))))),"")</f>
        <v/>
      </c>
    </row>
    <row r="17">
      <c r="A17" s="24" t="n"/>
      <c r="B17" s="25">
        <f>IFERROR(IF(A17="","",VLOOKUP(MOD(A17,7),'Assumptions'!$E$16:$F$22,2,0)),"")</f>
        <v/>
      </c>
      <c r="C17" s="25">
        <f>IFERROR(IF(A17="","",IF(A17&lt;TODAY(),"Past",IF(A17=TODAY(),"Today","Future"))),"")</f>
        <v/>
      </c>
      <c r="D17" s="26" t="n"/>
      <c r="E17" s="26" t="n"/>
      <c r="F17" s="27" t="n"/>
      <c r="G17" s="27" t="n"/>
      <c r="H17" s="28">
        <f>IFERROR(IF(A17="","",MAX(0,F17-G17)),"")</f>
        <v/>
      </c>
      <c r="I17" s="27" t="n"/>
      <c r="J17" s="27" t="n"/>
      <c r="K17" s="28">
        <f>IFERROR(IF(A17="","",I17+J17),"")</f>
        <v/>
      </c>
      <c r="L17" s="29">
        <f>IFERROR(IF(A17="","",K17/H17),"")</f>
        <v/>
      </c>
      <c r="M17" s="29">
        <f>IFERROR(IF(A17="","",VLOOKUP(B17,'Assumptions'!$A$16:$B$22,2,0)),"")</f>
        <v/>
      </c>
      <c r="N17" s="27" t="n"/>
      <c r="O17" s="27" t="n"/>
      <c r="P17" s="27" t="n"/>
      <c r="Q17" s="28">
        <f>IFERROR(IF(A17="","",MIN(H17,MAX(0,K17,ROUND(H17*M17,0)+N17+O17))),"")</f>
        <v/>
      </c>
      <c r="R17" s="28">
        <f>IFERROR(IF(A17="","",MIN(H17,MAX(0,IF(P17="",Q17,P17)))),"")</f>
        <v/>
      </c>
      <c r="S17" s="28">
        <f>IFERROR(IF(A17="","",MAX(0,R17-K17)),"")</f>
        <v/>
      </c>
      <c r="T17" s="29">
        <f>IFERROR(IF(A17="","",R17/H17),"")</f>
        <v/>
      </c>
      <c r="U17" s="29">
        <f>IFERROR(IF(A17="","",'Assumptions'!$B$5),"")</f>
        <v/>
      </c>
      <c r="V17" s="29">
        <f>IFERROR(IF(A17="","",T17-U17),"")</f>
        <v/>
      </c>
      <c r="W17" s="50" t="n"/>
      <c r="X17" s="50" t="n"/>
      <c r="Y17" s="51">
        <f>IFERROR(IF(A17="","",IF(X17&lt;&gt;"",X17,IF(W17&lt;&gt;"",W17,'Assumptions'!$B$8))),"")</f>
        <v/>
      </c>
      <c r="Z17" s="51">
        <f>IFERROR(IF(A17="","",R17*Y17),"")</f>
        <v/>
      </c>
      <c r="AA17" s="51">
        <f>IFERROR(IF(A17="","",Z17/H17),"")</f>
        <v/>
      </c>
      <c r="AB17" s="32" t="n"/>
      <c r="AC17" s="52" t="n"/>
      <c r="AD17" s="29">
        <f>IFERROR(IF(OR(A17="",AB17=""),"",AB17/H17),"")</f>
        <v/>
      </c>
      <c r="AE17" s="51">
        <f>IFERROR(IF(OR(A17="",AB17="",AC17=""),"",AB17*AC17),"")</f>
        <v/>
      </c>
      <c r="AF17" s="28">
        <f>IFERROR(IF(OR(A17="",AB17=""),"",AB17-R17),"")</f>
        <v/>
      </c>
      <c r="AG17" s="29">
        <f>IFERROR(IF(OR(A17="",AB17=""),"",IF(AD17-T17&lt;0,T17-AD17,AD17-T17)),"")</f>
        <v/>
      </c>
      <c r="AH17" s="51">
        <f>IFERROR(IF(OR(A17="",AE17=""),"",AE17-Z17),"")</f>
        <v/>
      </c>
      <c r="AI17" s="25">
        <f>IFERROR(IF(A17="","",IF(G17&gt;F17,"Check out-of-order rooms",IF(K17&gt;H17,"On the books exceeds sellable rooms",IF(R17&gt;H17,"Forecast exceeds sellable rooms",IF(AND(A17&lt;TODAY(),AB17=""),"Actual results missing","OK"))))),"")</f>
        <v/>
      </c>
    </row>
    <row r="18">
      <c r="A18" s="24" t="n"/>
      <c r="B18" s="25">
        <f>IFERROR(IF(A18="","",VLOOKUP(MOD(A18,7),'Assumptions'!$E$16:$F$22,2,0)),"")</f>
        <v/>
      </c>
      <c r="C18" s="25">
        <f>IFERROR(IF(A18="","",IF(A18&lt;TODAY(),"Past",IF(A18=TODAY(),"Today","Future"))),"")</f>
        <v/>
      </c>
      <c r="D18" s="26" t="n"/>
      <c r="E18" s="26" t="n"/>
      <c r="F18" s="27" t="n"/>
      <c r="G18" s="27" t="n"/>
      <c r="H18" s="28">
        <f>IFERROR(IF(A18="","",MAX(0,F18-G18)),"")</f>
        <v/>
      </c>
      <c r="I18" s="27" t="n"/>
      <c r="J18" s="27" t="n"/>
      <c r="K18" s="28">
        <f>IFERROR(IF(A18="","",I18+J18),"")</f>
        <v/>
      </c>
      <c r="L18" s="29">
        <f>IFERROR(IF(A18="","",K18/H18),"")</f>
        <v/>
      </c>
      <c r="M18" s="29">
        <f>IFERROR(IF(A18="","",VLOOKUP(B18,'Assumptions'!$A$16:$B$22,2,0)),"")</f>
        <v/>
      </c>
      <c r="N18" s="27" t="n"/>
      <c r="O18" s="27" t="n"/>
      <c r="P18" s="27" t="n"/>
      <c r="Q18" s="28">
        <f>IFERROR(IF(A18="","",MIN(H18,MAX(0,K18,ROUND(H18*M18,0)+N18+O18))),"")</f>
        <v/>
      </c>
      <c r="R18" s="28">
        <f>IFERROR(IF(A18="","",MIN(H18,MAX(0,IF(P18="",Q18,P18)))),"")</f>
        <v/>
      </c>
      <c r="S18" s="28">
        <f>IFERROR(IF(A18="","",MAX(0,R18-K18)),"")</f>
        <v/>
      </c>
      <c r="T18" s="29">
        <f>IFERROR(IF(A18="","",R18/H18),"")</f>
        <v/>
      </c>
      <c r="U18" s="29">
        <f>IFERROR(IF(A18="","",'Assumptions'!$B$5),"")</f>
        <v/>
      </c>
      <c r="V18" s="29">
        <f>IFERROR(IF(A18="","",T18-U18),"")</f>
        <v/>
      </c>
      <c r="W18" s="50" t="n"/>
      <c r="X18" s="50" t="n"/>
      <c r="Y18" s="51">
        <f>IFERROR(IF(A18="","",IF(X18&lt;&gt;"",X18,IF(W18&lt;&gt;"",W18,'Assumptions'!$B$8))),"")</f>
        <v/>
      </c>
      <c r="Z18" s="51">
        <f>IFERROR(IF(A18="","",R18*Y18),"")</f>
        <v/>
      </c>
      <c r="AA18" s="51">
        <f>IFERROR(IF(A18="","",Z18/H18),"")</f>
        <v/>
      </c>
      <c r="AB18" s="32" t="n"/>
      <c r="AC18" s="52" t="n"/>
      <c r="AD18" s="29">
        <f>IFERROR(IF(OR(A18="",AB18=""),"",AB18/H18),"")</f>
        <v/>
      </c>
      <c r="AE18" s="51">
        <f>IFERROR(IF(OR(A18="",AB18="",AC18=""),"",AB18*AC18),"")</f>
        <v/>
      </c>
      <c r="AF18" s="28">
        <f>IFERROR(IF(OR(A18="",AB18=""),"",AB18-R18),"")</f>
        <v/>
      </c>
      <c r="AG18" s="29">
        <f>IFERROR(IF(OR(A18="",AB18=""),"",IF(AD18-T18&lt;0,T18-AD18,AD18-T18)),"")</f>
        <v/>
      </c>
      <c r="AH18" s="51">
        <f>IFERROR(IF(OR(A18="",AE18=""),"",AE18-Z18),"")</f>
        <v/>
      </c>
      <c r="AI18" s="25">
        <f>IFERROR(IF(A18="","",IF(G18&gt;F18,"Check out-of-order rooms",IF(K18&gt;H18,"On the books exceeds sellable rooms",IF(R18&gt;H18,"Forecast exceeds sellable rooms",IF(AND(A18&lt;TODAY(),AB18=""),"Actual results missing","OK"))))),"")</f>
        <v/>
      </c>
    </row>
    <row r="19">
      <c r="A19" s="24" t="n"/>
      <c r="B19" s="25">
        <f>IFERROR(IF(A19="","",VLOOKUP(MOD(A19,7),'Assumptions'!$E$16:$F$22,2,0)),"")</f>
        <v/>
      </c>
      <c r="C19" s="25">
        <f>IFERROR(IF(A19="","",IF(A19&lt;TODAY(),"Past",IF(A19=TODAY(),"Today","Future"))),"")</f>
        <v/>
      </c>
      <c r="D19" s="26" t="n"/>
      <c r="E19" s="26" t="n"/>
      <c r="F19" s="27" t="n"/>
      <c r="G19" s="27" t="n"/>
      <c r="H19" s="28">
        <f>IFERROR(IF(A19="","",MAX(0,F19-G19)),"")</f>
        <v/>
      </c>
      <c r="I19" s="27" t="n"/>
      <c r="J19" s="27" t="n"/>
      <c r="K19" s="28">
        <f>IFERROR(IF(A19="","",I19+J19),"")</f>
        <v/>
      </c>
      <c r="L19" s="29">
        <f>IFERROR(IF(A19="","",K19/H19),"")</f>
        <v/>
      </c>
      <c r="M19" s="29">
        <f>IFERROR(IF(A19="","",VLOOKUP(B19,'Assumptions'!$A$16:$B$22,2,0)),"")</f>
        <v/>
      </c>
      <c r="N19" s="27" t="n"/>
      <c r="O19" s="27" t="n"/>
      <c r="P19" s="27" t="n"/>
      <c r="Q19" s="28">
        <f>IFERROR(IF(A19="","",MIN(H19,MAX(0,K19,ROUND(H19*M19,0)+N19+O19))),"")</f>
        <v/>
      </c>
      <c r="R19" s="28">
        <f>IFERROR(IF(A19="","",MIN(H19,MAX(0,IF(P19="",Q19,P19)))),"")</f>
        <v/>
      </c>
      <c r="S19" s="28">
        <f>IFERROR(IF(A19="","",MAX(0,R19-K19)),"")</f>
        <v/>
      </c>
      <c r="T19" s="29">
        <f>IFERROR(IF(A19="","",R19/H19),"")</f>
        <v/>
      </c>
      <c r="U19" s="29">
        <f>IFERROR(IF(A19="","",'Assumptions'!$B$5),"")</f>
        <v/>
      </c>
      <c r="V19" s="29">
        <f>IFERROR(IF(A19="","",T19-U19),"")</f>
        <v/>
      </c>
      <c r="W19" s="50" t="n"/>
      <c r="X19" s="50" t="n"/>
      <c r="Y19" s="51">
        <f>IFERROR(IF(A19="","",IF(X19&lt;&gt;"",X19,IF(W19&lt;&gt;"",W19,'Assumptions'!$B$8))),"")</f>
        <v/>
      </c>
      <c r="Z19" s="51">
        <f>IFERROR(IF(A19="","",R19*Y19),"")</f>
        <v/>
      </c>
      <c r="AA19" s="51">
        <f>IFERROR(IF(A19="","",Z19/H19),"")</f>
        <v/>
      </c>
      <c r="AB19" s="32" t="n"/>
      <c r="AC19" s="52" t="n"/>
      <c r="AD19" s="29">
        <f>IFERROR(IF(OR(A19="",AB19=""),"",AB19/H19),"")</f>
        <v/>
      </c>
      <c r="AE19" s="51">
        <f>IFERROR(IF(OR(A19="",AB19="",AC19=""),"",AB19*AC19),"")</f>
        <v/>
      </c>
      <c r="AF19" s="28">
        <f>IFERROR(IF(OR(A19="",AB19=""),"",AB19-R19),"")</f>
        <v/>
      </c>
      <c r="AG19" s="29">
        <f>IFERROR(IF(OR(A19="",AB19=""),"",IF(AD19-T19&lt;0,T19-AD19,AD19-T19)),"")</f>
        <v/>
      </c>
      <c r="AH19" s="51">
        <f>IFERROR(IF(OR(A19="",AE19=""),"",AE19-Z19),"")</f>
        <v/>
      </c>
      <c r="AI19" s="25">
        <f>IFERROR(IF(A19="","",IF(G19&gt;F19,"Check out-of-order rooms",IF(K19&gt;H19,"On the books exceeds sellable rooms",IF(R19&gt;H19,"Forecast exceeds sellable rooms",IF(AND(A19&lt;TODAY(),AB19=""),"Actual results missing","OK"))))),"")</f>
        <v/>
      </c>
    </row>
    <row r="20">
      <c r="A20" s="24" t="n"/>
      <c r="B20" s="25">
        <f>IFERROR(IF(A20="","",VLOOKUP(MOD(A20,7),'Assumptions'!$E$16:$F$22,2,0)),"")</f>
        <v/>
      </c>
      <c r="C20" s="25">
        <f>IFERROR(IF(A20="","",IF(A20&lt;TODAY(),"Past",IF(A20=TODAY(),"Today","Future"))),"")</f>
        <v/>
      </c>
      <c r="D20" s="26" t="n"/>
      <c r="E20" s="26" t="n"/>
      <c r="F20" s="27" t="n"/>
      <c r="G20" s="27" t="n"/>
      <c r="H20" s="28">
        <f>IFERROR(IF(A20="","",MAX(0,F20-G20)),"")</f>
        <v/>
      </c>
      <c r="I20" s="27" t="n"/>
      <c r="J20" s="27" t="n"/>
      <c r="K20" s="28">
        <f>IFERROR(IF(A20="","",I20+J20),"")</f>
        <v/>
      </c>
      <c r="L20" s="29">
        <f>IFERROR(IF(A20="","",K20/H20),"")</f>
        <v/>
      </c>
      <c r="M20" s="29">
        <f>IFERROR(IF(A20="","",VLOOKUP(B20,'Assumptions'!$A$16:$B$22,2,0)),"")</f>
        <v/>
      </c>
      <c r="N20" s="27" t="n"/>
      <c r="O20" s="27" t="n"/>
      <c r="P20" s="27" t="n"/>
      <c r="Q20" s="28">
        <f>IFERROR(IF(A20="","",MIN(H20,MAX(0,K20,ROUND(H20*M20,0)+N20+O20))),"")</f>
        <v/>
      </c>
      <c r="R20" s="28">
        <f>IFERROR(IF(A20="","",MIN(H20,MAX(0,IF(P20="",Q20,P20)))),"")</f>
        <v/>
      </c>
      <c r="S20" s="28">
        <f>IFERROR(IF(A20="","",MAX(0,R20-K20)),"")</f>
        <v/>
      </c>
      <c r="T20" s="29">
        <f>IFERROR(IF(A20="","",R20/H20),"")</f>
        <v/>
      </c>
      <c r="U20" s="29">
        <f>IFERROR(IF(A20="","",'Assumptions'!$B$5),"")</f>
        <v/>
      </c>
      <c r="V20" s="29">
        <f>IFERROR(IF(A20="","",T20-U20),"")</f>
        <v/>
      </c>
      <c r="W20" s="50" t="n"/>
      <c r="X20" s="50" t="n"/>
      <c r="Y20" s="51">
        <f>IFERROR(IF(A20="","",IF(X20&lt;&gt;"",X20,IF(W20&lt;&gt;"",W20,'Assumptions'!$B$8))),"")</f>
        <v/>
      </c>
      <c r="Z20" s="51">
        <f>IFERROR(IF(A20="","",R20*Y20),"")</f>
        <v/>
      </c>
      <c r="AA20" s="51">
        <f>IFERROR(IF(A20="","",Z20/H20),"")</f>
        <v/>
      </c>
      <c r="AB20" s="32" t="n"/>
      <c r="AC20" s="52" t="n"/>
      <c r="AD20" s="29">
        <f>IFERROR(IF(OR(A20="",AB20=""),"",AB20/H20),"")</f>
        <v/>
      </c>
      <c r="AE20" s="51">
        <f>IFERROR(IF(OR(A20="",AB20="",AC20=""),"",AB20*AC20),"")</f>
        <v/>
      </c>
      <c r="AF20" s="28">
        <f>IFERROR(IF(OR(A20="",AB20=""),"",AB20-R20),"")</f>
        <v/>
      </c>
      <c r="AG20" s="29">
        <f>IFERROR(IF(OR(A20="",AB20=""),"",IF(AD20-T20&lt;0,T20-AD20,AD20-T20)),"")</f>
        <v/>
      </c>
      <c r="AH20" s="51">
        <f>IFERROR(IF(OR(A20="",AE20=""),"",AE20-Z20),"")</f>
        <v/>
      </c>
      <c r="AI20" s="25">
        <f>IFERROR(IF(A20="","",IF(G20&gt;F20,"Check out-of-order rooms",IF(K20&gt;H20,"On the books exceeds sellable rooms",IF(R20&gt;H20,"Forecast exceeds sellable rooms",IF(AND(A20&lt;TODAY(),AB20=""),"Actual results missing","OK"))))),"")</f>
        <v/>
      </c>
    </row>
    <row r="21">
      <c r="A21" s="24" t="n"/>
      <c r="B21" s="25">
        <f>IFERROR(IF(A21="","",VLOOKUP(MOD(A21,7),'Assumptions'!$E$16:$F$22,2,0)),"")</f>
        <v/>
      </c>
      <c r="C21" s="25">
        <f>IFERROR(IF(A21="","",IF(A21&lt;TODAY(),"Past",IF(A21=TODAY(),"Today","Future"))),"")</f>
        <v/>
      </c>
      <c r="D21" s="26" t="n"/>
      <c r="E21" s="26" t="n"/>
      <c r="F21" s="27" t="n"/>
      <c r="G21" s="27" t="n"/>
      <c r="H21" s="28">
        <f>IFERROR(IF(A21="","",MAX(0,F21-G21)),"")</f>
        <v/>
      </c>
      <c r="I21" s="27" t="n"/>
      <c r="J21" s="27" t="n"/>
      <c r="K21" s="28">
        <f>IFERROR(IF(A21="","",I21+J21),"")</f>
        <v/>
      </c>
      <c r="L21" s="29">
        <f>IFERROR(IF(A21="","",K21/H21),"")</f>
        <v/>
      </c>
      <c r="M21" s="29">
        <f>IFERROR(IF(A21="","",VLOOKUP(B21,'Assumptions'!$A$16:$B$22,2,0)),"")</f>
        <v/>
      </c>
      <c r="N21" s="27" t="n"/>
      <c r="O21" s="27" t="n"/>
      <c r="P21" s="27" t="n"/>
      <c r="Q21" s="28">
        <f>IFERROR(IF(A21="","",MIN(H21,MAX(0,K21,ROUND(H21*M21,0)+N21+O21))),"")</f>
        <v/>
      </c>
      <c r="R21" s="28">
        <f>IFERROR(IF(A21="","",MIN(H21,MAX(0,IF(P21="",Q21,P21)))),"")</f>
        <v/>
      </c>
      <c r="S21" s="28">
        <f>IFERROR(IF(A21="","",MAX(0,R21-K21)),"")</f>
        <v/>
      </c>
      <c r="T21" s="29">
        <f>IFERROR(IF(A21="","",R21/H21),"")</f>
        <v/>
      </c>
      <c r="U21" s="29">
        <f>IFERROR(IF(A21="","",'Assumptions'!$B$5),"")</f>
        <v/>
      </c>
      <c r="V21" s="29">
        <f>IFERROR(IF(A21="","",T21-U21),"")</f>
        <v/>
      </c>
      <c r="W21" s="50" t="n"/>
      <c r="X21" s="50" t="n"/>
      <c r="Y21" s="51">
        <f>IFERROR(IF(A21="","",IF(X21&lt;&gt;"",X21,IF(W21&lt;&gt;"",W21,'Assumptions'!$B$8))),"")</f>
        <v/>
      </c>
      <c r="Z21" s="51">
        <f>IFERROR(IF(A21="","",R21*Y21),"")</f>
        <v/>
      </c>
      <c r="AA21" s="51">
        <f>IFERROR(IF(A21="","",Z21/H21),"")</f>
        <v/>
      </c>
      <c r="AB21" s="32" t="n"/>
      <c r="AC21" s="52" t="n"/>
      <c r="AD21" s="29">
        <f>IFERROR(IF(OR(A21="",AB21=""),"",AB21/H21),"")</f>
        <v/>
      </c>
      <c r="AE21" s="51">
        <f>IFERROR(IF(OR(A21="",AB21="",AC21=""),"",AB21*AC21),"")</f>
        <v/>
      </c>
      <c r="AF21" s="28">
        <f>IFERROR(IF(OR(A21="",AB21=""),"",AB21-R21),"")</f>
        <v/>
      </c>
      <c r="AG21" s="29">
        <f>IFERROR(IF(OR(A21="",AB21=""),"",IF(AD21-T21&lt;0,T21-AD21,AD21-T21)),"")</f>
        <v/>
      </c>
      <c r="AH21" s="51">
        <f>IFERROR(IF(OR(A21="",AE21=""),"",AE21-Z21),"")</f>
        <v/>
      </c>
      <c r="AI21" s="25">
        <f>IFERROR(IF(A21="","",IF(G21&gt;F21,"Check out-of-order rooms",IF(K21&gt;H21,"On the books exceeds sellable rooms",IF(R21&gt;H21,"Forecast exceeds sellable rooms",IF(AND(A21&lt;TODAY(),AB21=""),"Actual results missing","OK"))))),"")</f>
        <v/>
      </c>
    </row>
    <row r="22">
      <c r="A22" s="24" t="n"/>
      <c r="B22" s="25">
        <f>IFERROR(IF(A22="","",VLOOKUP(MOD(A22,7),'Assumptions'!$E$16:$F$22,2,0)),"")</f>
        <v/>
      </c>
      <c r="C22" s="25">
        <f>IFERROR(IF(A22="","",IF(A22&lt;TODAY(),"Past",IF(A22=TODAY(),"Today","Future"))),"")</f>
        <v/>
      </c>
      <c r="D22" s="26" t="n"/>
      <c r="E22" s="26" t="n"/>
      <c r="F22" s="27" t="n"/>
      <c r="G22" s="27" t="n"/>
      <c r="H22" s="28">
        <f>IFERROR(IF(A22="","",MAX(0,F22-G22)),"")</f>
        <v/>
      </c>
      <c r="I22" s="27" t="n"/>
      <c r="J22" s="27" t="n"/>
      <c r="K22" s="28">
        <f>IFERROR(IF(A22="","",I22+J22),"")</f>
        <v/>
      </c>
      <c r="L22" s="29">
        <f>IFERROR(IF(A22="","",K22/H22),"")</f>
        <v/>
      </c>
      <c r="M22" s="29">
        <f>IFERROR(IF(A22="","",VLOOKUP(B22,'Assumptions'!$A$16:$B$22,2,0)),"")</f>
        <v/>
      </c>
      <c r="N22" s="27" t="n"/>
      <c r="O22" s="27" t="n"/>
      <c r="P22" s="27" t="n"/>
      <c r="Q22" s="28">
        <f>IFERROR(IF(A22="","",MIN(H22,MAX(0,K22,ROUND(H22*M22,0)+N22+O22))),"")</f>
        <v/>
      </c>
      <c r="R22" s="28">
        <f>IFERROR(IF(A22="","",MIN(H22,MAX(0,IF(P22="",Q22,P22)))),"")</f>
        <v/>
      </c>
      <c r="S22" s="28">
        <f>IFERROR(IF(A22="","",MAX(0,R22-K22)),"")</f>
        <v/>
      </c>
      <c r="T22" s="29">
        <f>IFERROR(IF(A22="","",R22/H22),"")</f>
        <v/>
      </c>
      <c r="U22" s="29">
        <f>IFERROR(IF(A22="","",'Assumptions'!$B$5),"")</f>
        <v/>
      </c>
      <c r="V22" s="29">
        <f>IFERROR(IF(A22="","",T22-U22),"")</f>
        <v/>
      </c>
      <c r="W22" s="50" t="n"/>
      <c r="X22" s="50" t="n"/>
      <c r="Y22" s="51">
        <f>IFERROR(IF(A22="","",IF(X22&lt;&gt;"",X22,IF(W22&lt;&gt;"",W22,'Assumptions'!$B$8))),"")</f>
        <v/>
      </c>
      <c r="Z22" s="51">
        <f>IFERROR(IF(A22="","",R22*Y22),"")</f>
        <v/>
      </c>
      <c r="AA22" s="51">
        <f>IFERROR(IF(A22="","",Z22/H22),"")</f>
        <v/>
      </c>
      <c r="AB22" s="32" t="n"/>
      <c r="AC22" s="52" t="n"/>
      <c r="AD22" s="29">
        <f>IFERROR(IF(OR(A22="",AB22=""),"",AB22/H22),"")</f>
        <v/>
      </c>
      <c r="AE22" s="51">
        <f>IFERROR(IF(OR(A22="",AB22="",AC22=""),"",AB22*AC22),"")</f>
        <v/>
      </c>
      <c r="AF22" s="28">
        <f>IFERROR(IF(OR(A22="",AB22=""),"",AB22-R22),"")</f>
        <v/>
      </c>
      <c r="AG22" s="29">
        <f>IFERROR(IF(OR(A22="",AB22=""),"",IF(AD22-T22&lt;0,T22-AD22,AD22-T22)),"")</f>
        <v/>
      </c>
      <c r="AH22" s="51">
        <f>IFERROR(IF(OR(A22="",AE22=""),"",AE22-Z22),"")</f>
        <v/>
      </c>
      <c r="AI22" s="25">
        <f>IFERROR(IF(A22="","",IF(G22&gt;F22,"Check out-of-order rooms",IF(K22&gt;H22,"On the books exceeds sellable rooms",IF(R22&gt;H22,"Forecast exceeds sellable rooms",IF(AND(A22&lt;TODAY(),AB22=""),"Actual results missing","OK"))))),"")</f>
        <v/>
      </c>
    </row>
    <row r="23">
      <c r="A23" s="24" t="n"/>
      <c r="B23" s="25">
        <f>IFERROR(IF(A23="","",VLOOKUP(MOD(A23,7),'Assumptions'!$E$16:$F$22,2,0)),"")</f>
        <v/>
      </c>
      <c r="C23" s="25">
        <f>IFERROR(IF(A23="","",IF(A23&lt;TODAY(),"Past",IF(A23=TODAY(),"Today","Future"))),"")</f>
        <v/>
      </c>
      <c r="D23" s="26" t="n"/>
      <c r="E23" s="26" t="n"/>
      <c r="F23" s="27" t="n"/>
      <c r="G23" s="27" t="n"/>
      <c r="H23" s="28">
        <f>IFERROR(IF(A23="","",MAX(0,F23-G23)),"")</f>
        <v/>
      </c>
      <c r="I23" s="27" t="n"/>
      <c r="J23" s="27" t="n"/>
      <c r="K23" s="28">
        <f>IFERROR(IF(A23="","",I23+J23),"")</f>
        <v/>
      </c>
      <c r="L23" s="29">
        <f>IFERROR(IF(A23="","",K23/H23),"")</f>
        <v/>
      </c>
      <c r="M23" s="29">
        <f>IFERROR(IF(A23="","",VLOOKUP(B23,'Assumptions'!$A$16:$B$22,2,0)),"")</f>
        <v/>
      </c>
      <c r="N23" s="27" t="n"/>
      <c r="O23" s="27" t="n"/>
      <c r="P23" s="27" t="n"/>
      <c r="Q23" s="28">
        <f>IFERROR(IF(A23="","",MIN(H23,MAX(0,K23,ROUND(H23*M23,0)+N23+O23))),"")</f>
        <v/>
      </c>
      <c r="R23" s="28">
        <f>IFERROR(IF(A23="","",MIN(H23,MAX(0,IF(P23="",Q23,P23)))),"")</f>
        <v/>
      </c>
      <c r="S23" s="28">
        <f>IFERROR(IF(A23="","",MAX(0,R23-K23)),"")</f>
        <v/>
      </c>
      <c r="T23" s="29">
        <f>IFERROR(IF(A23="","",R23/H23),"")</f>
        <v/>
      </c>
      <c r="U23" s="29">
        <f>IFERROR(IF(A23="","",'Assumptions'!$B$5),"")</f>
        <v/>
      </c>
      <c r="V23" s="29">
        <f>IFERROR(IF(A23="","",T23-U23),"")</f>
        <v/>
      </c>
      <c r="W23" s="50" t="n"/>
      <c r="X23" s="50" t="n"/>
      <c r="Y23" s="51">
        <f>IFERROR(IF(A23="","",IF(X23&lt;&gt;"",X23,IF(W23&lt;&gt;"",W23,'Assumptions'!$B$8))),"")</f>
        <v/>
      </c>
      <c r="Z23" s="51">
        <f>IFERROR(IF(A23="","",R23*Y23),"")</f>
        <v/>
      </c>
      <c r="AA23" s="51">
        <f>IFERROR(IF(A23="","",Z23/H23),"")</f>
        <v/>
      </c>
      <c r="AB23" s="32" t="n"/>
      <c r="AC23" s="52" t="n"/>
      <c r="AD23" s="29">
        <f>IFERROR(IF(OR(A23="",AB23=""),"",AB23/H23),"")</f>
        <v/>
      </c>
      <c r="AE23" s="51">
        <f>IFERROR(IF(OR(A23="",AB23="",AC23=""),"",AB23*AC23),"")</f>
        <v/>
      </c>
      <c r="AF23" s="28">
        <f>IFERROR(IF(OR(A23="",AB23=""),"",AB23-R23),"")</f>
        <v/>
      </c>
      <c r="AG23" s="29">
        <f>IFERROR(IF(OR(A23="",AB23=""),"",IF(AD23-T23&lt;0,T23-AD23,AD23-T23)),"")</f>
        <v/>
      </c>
      <c r="AH23" s="51">
        <f>IFERROR(IF(OR(A23="",AE23=""),"",AE23-Z23),"")</f>
        <v/>
      </c>
      <c r="AI23" s="25">
        <f>IFERROR(IF(A23="","",IF(G23&gt;F23,"Check out-of-order rooms",IF(K23&gt;H23,"On the books exceeds sellable rooms",IF(R23&gt;H23,"Forecast exceeds sellable rooms",IF(AND(A23&lt;TODAY(),AB23=""),"Actual results missing","OK"))))),"")</f>
        <v/>
      </c>
    </row>
    <row r="24">
      <c r="A24" s="24" t="n"/>
      <c r="B24" s="25">
        <f>IFERROR(IF(A24="","",VLOOKUP(MOD(A24,7),'Assumptions'!$E$16:$F$22,2,0)),"")</f>
        <v/>
      </c>
      <c r="C24" s="25">
        <f>IFERROR(IF(A24="","",IF(A24&lt;TODAY(),"Past",IF(A24=TODAY(),"Today","Future"))),"")</f>
        <v/>
      </c>
      <c r="D24" s="26" t="n"/>
      <c r="E24" s="26" t="n"/>
      <c r="F24" s="27" t="n"/>
      <c r="G24" s="27" t="n"/>
      <c r="H24" s="28">
        <f>IFERROR(IF(A24="","",MAX(0,F24-G24)),"")</f>
        <v/>
      </c>
      <c r="I24" s="27" t="n"/>
      <c r="J24" s="27" t="n"/>
      <c r="K24" s="28">
        <f>IFERROR(IF(A24="","",I24+J24),"")</f>
        <v/>
      </c>
      <c r="L24" s="29">
        <f>IFERROR(IF(A24="","",K24/H24),"")</f>
        <v/>
      </c>
      <c r="M24" s="29">
        <f>IFERROR(IF(A24="","",VLOOKUP(B24,'Assumptions'!$A$16:$B$22,2,0)),"")</f>
        <v/>
      </c>
      <c r="N24" s="27" t="n"/>
      <c r="O24" s="27" t="n"/>
      <c r="P24" s="27" t="n"/>
      <c r="Q24" s="28">
        <f>IFERROR(IF(A24="","",MIN(H24,MAX(0,K24,ROUND(H24*M24,0)+N24+O24))),"")</f>
        <v/>
      </c>
      <c r="R24" s="28">
        <f>IFERROR(IF(A24="","",MIN(H24,MAX(0,IF(P24="",Q24,P24)))),"")</f>
        <v/>
      </c>
      <c r="S24" s="28">
        <f>IFERROR(IF(A24="","",MAX(0,R24-K24)),"")</f>
        <v/>
      </c>
      <c r="T24" s="29">
        <f>IFERROR(IF(A24="","",R24/H24),"")</f>
        <v/>
      </c>
      <c r="U24" s="29">
        <f>IFERROR(IF(A24="","",'Assumptions'!$B$5),"")</f>
        <v/>
      </c>
      <c r="V24" s="29">
        <f>IFERROR(IF(A24="","",T24-U24),"")</f>
        <v/>
      </c>
      <c r="W24" s="50" t="n"/>
      <c r="X24" s="50" t="n"/>
      <c r="Y24" s="51">
        <f>IFERROR(IF(A24="","",IF(X24&lt;&gt;"",X24,IF(W24&lt;&gt;"",W24,'Assumptions'!$B$8))),"")</f>
        <v/>
      </c>
      <c r="Z24" s="51">
        <f>IFERROR(IF(A24="","",R24*Y24),"")</f>
        <v/>
      </c>
      <c r="AA24" s="51">
        <f>IFERROR(IF(A24="","",Z24/H24),"")</f>
        <v/>
      </c>
      <c r="AB24" s="32" t="n"/>
      <c r="AC24" s="52" t="n"/>
      <c r="AD24" s="29">
        <f>IFERROR(IF(OR(A24="",AB24=""),"",AB24/H24),"")</f>
        <v/>
      </c>
      <c r="AE24" s="51">
        <f>IFERROR(IF(OR(A24="",AB24="",AC24=""),"",AB24*AC24),"")</f>
        <v/>
      </c>
      <c r="AF24" s="28">
        <f>IFERROR(IF(OR(A24="",AB24=""),"",AB24-R24),"")</f>
        <v/>
      </c>
      <c r="AG24" s="29">
        <f>IFERROR(IF(OR(A24="",AB24=""),"",IF(AD24-T24&lt;0,T24-AD24,AD24-T24)),"")</f>
        <v/>
      </c>
      <c r="AH24" s="51">
        <f>IFERROR(IF(OR(A24="",AE24=""),"",AE24-Z24),"")</f>
        <v/>
      </c>
      <c r="AI24" s="25">
        <f>IFERROR(IF(A24="","",IF(G24&gt;F24,"Check out-of-order rooms",IF(K24&gt;H24,"On the books exceeds sellable rooms",IF(R24&gt;H24,"Forecast exceeds sellable rooms",IF(AND(A24&lt;TODAY(),AB24=""),"Actual results missing","OK"))))),"")</f>
        <v/>
      </c>
    </row>
    <row r="25">
      <c r="A25" s="24" t="n"/>
      <c r="B25" s="25">
        <f>IFERROR(IF(A25="","",VLOOKUP(MOD(A25,7),'Assumptions'!$E$16:$F$22,2,0)),"")</f>
        <v/>
      </c>
      <c r="C25" s="25">
        <f>IFERROR(IF(A25="","",IF(A25&lt;TODAY(),"Past",IF(A25=TODAY(),"Today","Future"))),"")</f>
        <v/>
      </c>
      <c r="D25" s="26" t="n"/>
      <c r="E25" s="26" t="n"/>
      <c r="F25" s="27" t="n"/>
      <c r="G25" s="27" t="n"/>
      <c r="H25" s="28">
        <f>IFERROR(IF(A25="","",MAX(0,F25-G25)),"")</f>
        <v/>
      </c>
      <c r="I25" s="27" t="n"/>
      <c r="J25" s="27" t="n"/>
      <c r="K25" s="28">
        <f>IFERROR(IF(A25="","",I25+J25),"")</f>
        <v/>
      </c>
      <c r="L25" s="29">
        <f>IFERROR(IF(A25="","",K25/H25),"")</f>
        <v/>
      </c>
      <c r="M25" s="29">
        <f>IFERROR(IF(A25="","",VLOOKUP(B25,'Assumptions'!$A$16:$B$22,2,0)),"")</f>
        <v/>
      </c>
      <c r="N25" s="27" t="n"/>
      <c r="O25" s="27" t="n"/>
      <c r="P25" s="27" t="n"/>
      <c r="Q25" s="28">
        <f>IFERROR(IF(A25="","",MIN(H25,MAX(0,K25,ROUND(H25*M25,0)+N25+O25))),"")</f>
        <v/>
      </c>
      <c r="R25" s="28">
        <f>IFERROR(IF(A25="","",MIN(H25,MAX(0,IF(P25="",Q25,P25)))),"")</f>
        <v/>
      </c>
      <c r="S25" s="28">
        <f>IFERROR(IF(A25="","",MAX(0,R25-K25)),"")</f>
        <v/>
      </c>
      <c r="T25" s="29">
        <f>IFERROR(IF(A25="","",R25/H25),"")</f>
        <v/>
      </c>
      <c r="U25" s="29">
        <f>IFERROR(IF(A25="","",'Assumptions'!$B$5),"")</f>
        <v/>
      </c>
      <c r="V25" s="29">
        <f>IFERROR(IF(A25="","",T25-U25),"")</f>
        <v/>
      </c>
      <c r="W25" s="50" t="n"/>
      <c r="X25" s="50" t="n"/>
      <c r="Y25" s="51">
        <f>IFERROR(IF(A25="","",IF(X25&lt;&gt;"",X25,IF(W25&lt;&gt;"",W25,'Assumptions'!$B$8))),"")</f>
        <v/>
      </c>
      <c r="Z25" s="51">
        <f>IFERROR(IF(A25="","",R25*Y25),"")</f>
        <v/>
      </c>
      <c r="AA25" s="51">
        <f>IFERROR(IF(A25="","",Z25/H25),"")</f>
        <v/>
      </c>
      <c r="AB25" s="32" t="n"/>
      <c r="AC25" s="52" t="n"/>
      <c r="AD25" s="29">
        <f>IFERROR(IF(OR(A25="",AB25=""),"",AB25/H25),"")</f>
        <v/>
      </c>
      <c r="AE25" s="51">
        <f>IFERROR(IF(OR(A25="",AB25="",AC25=""),"",AB25*AC25),"")</f>
        <v/>
      </c>
      <c r="AF25" s="28">
        <f>IFERROR(IF(OR(A25="",AB25=""),"",AB25-R25),"")</f>
        <v/>
      </c>
      <c r="AG25" s="29">
        <f>IFERROR(IF(OR(A25="",AB25=""),"",IF(AD25-T25&lt;0,T25-AD25,AD25-T25)),"")</f>
        <v/>
      </c>
      <c r="AH25" s="51">
        <f>IFERROR(IF(OR(A25="",AE25=""),"",AE25-Z25),"")</f>
        <v/>
      </c>
      <c r="AI25" s="25">
        <f>IFERROR(IF(A25="","",IF(G25&gt;F25,"Check out-of-order rooms",IF(K25&gt;H25,"On the books exceeds sellable rooms",IF(R25&gt;H25,"Forecast exceeds sellable rooms",IF(AND(A25&lt;TODAY(),AB25=""),"Actual results missing","OK"))))),"")</f>
        <v/>
      </c>
    </row>
    <row r="26">
      <c r="A26" s="24" t="n"/>
      <c r="B26" s="25">
        <f>IFERROR(IF(A26="","",VLOOKUP(MOD(A26,7),'Assumptions'!$E$16:$F$22,2,0)),"")</f>
        <v/>
      </c>
      <c r="C26" s="25">
        <f>IFERROR(IF(A26="","",IF(A26&lt;TODAY(),"Past",IF(A26=TODAY(),"Today","Future"))),"")</f>
        <v/>
      </c>
      <c r="D26" s="26" t="n"/>
      <c r="E26" s="26" t="n"/>
      <c r="F26" s="27" t="n"/>
      <c r="G26" s="27" t="n"/>
      <c r="H26" s="28">
        <f>IFERROR(IF(A26="","",MAX(0,F26-G26)),"")</f>
        <v/>
      </c>
      <c r="I26" s="27" t="n"/>
      <c r="J26" s="27" t="n"/>
      <c r="K26" s="28">
        <f>IFERROR(IF(A26="","",I26+J26),"")</f>
        <v/>
      </c>
      <c r="L26" s="29">
        <f>IFERROR(IF(A26="","",K26/H26),"")</f>
        <v/>
      </c>
      <c r="M26" s="29">
        <f>IFERROR(IF(A26="","",VLOOKUP(B26,'Assumptions'!$A$16:$B$22,2,0)),"")</f>
        <v/>
      </c>
      <c r="N26" s="27" t="n"/>
      <c r="O26" s="27" t="n"/>
      <c r="P26" s="27" t="n"/>
      <c r="Q26" s="28">
        <f>IFERROR(IF(A26="","",MIN(H26,MAX(0,K26,ROUND(H26*M26,0)+N26+O26))),"")</f>
        <v/>
      </c>
      <c r="R26" s="28">
        <f>IFERROR(IF(A26="","",MIN(H26,MAX(0,IF(P26="",Q26,P26)))),"")</f>
        <v/>
      </c>
      <c r="S26" s="28">
        <f>IFERROR(IF(A26="","",MAX(0,R26-K26)),"")</f>
        <v/>
      </c>
      <c r="T26" s="29">
        <f>IFERROR(IF(A26="","",R26/H26),"")</f>
        <v/>
      </c>
      <c r="U26" s="29">
        <f>IFERROR(IF(A26="","",'Assumptions'!$B$5),"")</f>
        <v/>
      </c>
      <c r="V26" s="29">
        <f>IFERROR(IF(A26="","",T26-U26),"")</f>
        <v/>
      </c>
      <c r="W26" s="50" t="n"/>
      <c r="X26" s="50" t="n"/>
      <c r="Y26" s="51">
        <f>IFERROR(IF(A26="","",IF(X26&lt;&gt;"",X26,IF(W26&lt;&gt;"",W26,'Assumptions'!$B$8))),"")</f>
        <v/>
      </c>
      <c r="Z26" s="51">
        <f>IFERROR(IF(A26="","",R26*Y26),"")</f>
        <v/>
      </c>
      <c r="AA26" s="51">
        <f>IFERROR(IF(A26="","",Z26/H26),"")</f>
        <v/>
      </c>
      <c r="AB26" s="32" t="n"/>
      <c r="AC26" s="52" t="n"/>
      <c r="AD26" s="29">
        <f>IFERROR(IF(OR(A26="",AB26=""),"",AB26/H26),"")</f>
        <v/>
      </c>
      <c r="AE26" s="51">
        <f>IFERROR(IF(OR(A26="",AB26="",AC26=""),"",AB26*AC26),"")</f>
        <v/>
      </c>
      <c r="AF26" s="28">
        <f>IFERROR(IF(OR(A26="",AB26=""),"",AB26-R26),"")</f>
        <v/>
      </c>
      <c r="AG26" s="29">
        <f>IFERROR(IF(OR(A26="",AB26=""),"",IF(AD26-T26&lt;0,T26-AD26,AD26-T26)),"")</f>
        <v/>
      </c>
      <c r="AH26" s="51">
        <f>IFERROR(IF(OR(A26="",AE26=""),"",AE26-Z26),"")</f>
        <v/>
      </c>
      <c r="AI26" s="25">
        <f>IFERROR(IF(A26="","",IF(G26&gt;F26,"Check out-of-order rooms",IF(K26&gt;H26,"On the books exceeds sellable rooms",IF(R26&gt;H26,"Forecast exceeds sellable rooms",IF(AND(A26&lt;TODAY(),AB26=""),"Actual results missing","OK"))))),"")</f>
        <v/>
      </c>
    </row>
    <row r="27">
      <c r="A27" s="24" t="n"/>
      <c r="B27" s="25">
        <f>IFERROR(IF(A27="","",VLOOKUP(MOD(A27,7),'Assumptions'!$E$16:$F$22,2,0)),"")</f>
        <v/>
      </c>
      <c r="C27" s="25">
        <f>IFERROR(IF(A27="","",IF(A27&lt;TODAY(),"Past",IF(A27=TODAY(),"Today","Future"))),"")</f>
        <v/>
      </c>
      <c r="D27" s="26" t="n"/>
      <c r="E27" s="26" t="n"/>
      <c r="F27" s="27" t="n"/>
      <c r="G27" s="27" t="n"/>
      <c r="H27" s="28">
        <f>IFERROR(IF(A27="","",MAX(0,F27-G27)),"")</f>
        <v/>
      </c>
      <c r="I27" s="27" t="n"/>
      <c r="J27" s="27" t="n"/>
      <c r="K27" s="28">
        <f>IFERROR(IF(A27="","",I27+J27),"")</f>
        <v/>
      </c>
      <c r="L27" s="29">
        <f>IFERROR(IF(A27="","",K27/H27),"")</f>
        <v/>
      </c>
      <c r="M27" s="29">
        <f>IFERROR(IF(A27="","",VLOOKUP(B27,'Assumptions'!$A$16:$B$22,2,0)),"")</f>
        <v/>
      </c>
      <c r="N27" s="27" t="n"/>
      <c r="O27" s="27" t="n"/>
      <c r="P27" s="27" t="n"/>
      <c r="Q27" s="28">
        <f>IFERROR(IF(A27="","",MIN(H27,MAX(0,K27,ROUND(H27*M27,0)+N27+O27))),"")</f>
        <v/>
      </c>
      <c r="R27" s="28">
        <f>IFERROR(IF(A27="","",MIN(H27,MAX(0,IF(P27="",Q27,P27)))),"")</f>
        <v/>
      </c>
      <c r="S27" s="28">
        <f>IFERROR(IF(A27="","",MAX(0,R27-K27)),"")</f>
        <v/>
      </c>
      <c r="T27" s="29">
        <f>IFERROR(IF(A27="","",R27/H27),"")</f>
        <v/>
      </c>
      <c r="U27" s="29">
        <f>IFERROR(IF(A27="","",'Assumptions'!$B$5),"")</f>
        <v/>
      </c>
      <c r="V27" s="29">
        <f>IFERROR(IF(A27="","",T27-U27),"")</f>
        <v/>
      </c>
      <c r="W27" s="50" t="n"/>
      <c r="X27" s="50" t="n"/>
      <c r="Y27" s="51">
        <f>IFERROR(IF(A27="","",IF(X27&lt;&gt;"",X27,IF(W27&lt;&gt;"",W27,'Assumptions'!$B$8))),"")</f>
        <v/>
      </c>
      <c r="Z27" s="51">
        <f>IFERROR(IF(A27="","",R27*Y27),"")</f>
        <v/>
      </c>
      <c r="AA27" s="51">
        <f>IFERROR(IF(A27="","",Z27/H27),"")</f>
        <v/>
      </c>
      <c r="AB27" s="32" t="n"/>
      <c r="AC27" s="52" t="n"/>
      <c r="AD27" s="29">
        <f>IFERROR(IF(OR(A27="",AB27=""),"",AB27/H27),"")</f>
        <v/>
      </c>
      <c r="AE27" s="51">
        <f>IFERROR(IF(OR(A27="",AB27="",AC27=""),"",AB27*AC27),"")</f>
        <v/>
      </c>
      <c r="AF27" s="28">
        <f>IFERROR(IF(OR(A27="",AB27=""),"",AB27-R27),"")</f>
        <v/>
      </c>
      <c r="AG27" s="29">
        <f>IFERROR(IF(OR(A27="",AB27=""),"",IF(AD27-T27&lt;0,T27-AD27,AD27-T27)),"")</f>
        <v/>
      </c>
      <c r="AH27" s="51">
        <f>IFERROR(IF(OR(A27="",AE27=""),"",AE27-Z27),"")</f>
        <v/>
      </c>
      <c r="AI27" s="25">
        <f>IFERROR(IF(A27="","",IF(G27&gt;F27,"Check out-of-order rooms",IF(K27&gt;H27,"On the books exceeds sellable rooms",IF(R27&gt;H27,"Forecast exceeds sellable rooms",IF(AND(A27&lt;TODAY(),AB27=""),"Actual results missing","OK"))))),"")</f>
        <v/>
      </c>
    </row>
    <row r="28">
      <c r="A28" s="24" t="n"/>
      <c r="B28" s="25">
        <f>IFERROR(IF(A28="","",VLOOKUP(MOD(A28,7),'Assumptions'!$E$16:$F$22,2,0)),"")</f>
        <v/>
      </c>
      <c r="C28" s="25">
        <f>IFERROR(IF(A28="","",IF(A28&lt;TODAY(),"Past",IF(A28=TODAY(),"Today","Future"))),"")</f>
        <v/>
      </c>
      <c r="D28" s="26" t="n"/>
      <c r="E28" s="26" t="n"/>
      <c r="F28" s="27" t="n"/>
      <c r="G28" s="27" t="n"/>
      <c r="H28" s="28">
        <f>IFERROR(IF(A28="","",MAX(0,F28-G28)),"")</f>
        <v/>
      </c>
      <c r="I28" s="27" t="n"/>
      <c r="J28" s="27" t="n"/>
      <c r="K28" s="28">
        <f>IFERROR(IF(A28="","",I28+J28),"")</f>
        <v/>
      </c>
      <c r="L28" s="29">
        <f>IFERROR(IF(A28="","",K28/H28),"")</f>
        <v/>
      </c>
      <c r="M28" s="29">
        <f>IFERROR(IF(A28="","",VLOOKUP(B28,'Assumptions'!$A$16:$B$22,2,0)),"")</f>
        <v/>
      </c>
      <c r="N28" s="27" t="n"/>
      <c r="O28" s="27" t="n"/>
      <c r="P28" s="27" t="n"/>
      <c r="Q28" s="28">
        <f>IFERROR(IF(A28="","",MIN(H28,MAX(0,K28,ROUND(H28*M28,0)+N28+O28))),"")</f>
        <v/>
      </c>
      <c r="R28" s="28">
        <f>IFERROR(IF(A28="","",MIN(H28,MAX(0,IF(P28="",Q28,P28)))),"")</f>
        <v/>
      </c>
      <c r="S28" s="28">
        <f>IFERROR(IF(A28="","",MAX(0,R28-K28)),"")</f>
        <v/>
      </c>
      <c r="T28" s="29">
        <f>IFERROR(IF(A28="","",R28/H28),"")</f>
        <v/>
      </c>
      <c r="U28" s="29">
        <f>IFERROR(IF(A28="","",'Assumptions'!$B$5),"")</f>
        <v/>
      </c>
      <c r="V28" s="29">
        <f>IFERROR(IF(A28="","",T28-U28),"")</f>
        <v/>
      </c>
      <c r="W28" s="50" t="n"/>
      <c r="X28" s="50" t="n"/>
      <c r="Y28" s="51">
        <f>IFERROR(IF(A28="","",IF(X28&lt;&gt;"",X28,IF(W28&lt;&gt;"",W28,'Assumptions'!$B$8))),"")</f>
        <v/>
      </c>
      <c r="Z28" s="51">
        <f>IFERROR(IF(A28="","",R28*Y28),"")</f>
        <v/>
      </c>
      <c r="AA28" s="51">
        <f>IFERROR(IF(A28="","",Z28/H28),"")</f>
        <v/>
      </c>
      <c r="AB28" s="32" t="n"/>
      <c r="AC28" s="52" t="n"/>
      <c r="AD28" s="29">
        <f>IFERROR(IF(OR(A28="",AB28=""),"",AB28/H28),"")</f>
        <v/>
      </c>
      <c r="AE28" s="51">
        <f>IFERROR(IF(OR(A28="",AB28="",AC28=""),"",AB28*AC28),"")</f>
        <v/>
      </c>
      <c r="AF28" s="28">
        <f>IFERROR(IF(OR(A28="",AB28=""),"",AB28-R28),"")</f>
        <v/>
      </c>
      <c r="AG28" s="29">
        <f>IFERROR(IF(OR(A28="",AB28=""),"",IF(AD28-T28&lt;0,T28-AD28,AD28-T28)),"")</f>
        <v/>
      </c>
      <c r="AH28" s="51">
        <f>IFERROR(IF(OR(A28="",AE28=""),"",AE28-Z28),"")</f>
        <v/>
      </c>
      <c r="AI28" s="25">
        <f>IFERROR(IF(A28="","",IF(G28&gt;F28,"Check out-of-order rooms",IF(K28&gt;H28,"On the books exceeds sellable rooms",IF(R28&gt;H28,"Forecast exceeds sellable rooms",IF(AND(A28&lt;TODAY(),AB28=""),"Actual results missing","OK"))))),"")</f>
        <v/>
      </c>
    </row>
    <row r="29">
      <c r="A29" s="24" t="n"/>
      <c r="B29" s="25">
        <f>IFERROR(IF(A29="","",VLOOKUP(MOD(A29,7),'Assumptions'!$E$16:$F$22,2,0)),"")</f>
        <v/>
      </c>
      <c r="C29" s="25">
        <f>IFERROR(IF(A29="","",IF(A29&lt;TODAY(),"Past",IF(A29=TODAY(),"Today","Future"))),"")</f>
        <v/>
      </c>
      <c r="D29" s="26" t="n"/>
      <c r="E29" s="26" t="n"/>
      <c r="F29" s="27" t="n"/>
      <c r="G29" s="27" t="n"/>
      <c r="H29" s="28">
        <f>IFERROR(IF(A29="","",MAX(0,F29-G29)),"")</f>
        <v/>
      </c>
      <c r="I29" s="27" t="n"/>
      <c r="J29" s="27" t="n"/>
      <c r="K29" s="28">
        <f>IFERROR(IF(A29="","",I29+J29),"")</f>
        <v/>
      </c>
      <c r="L29" s="29">
        <f>IFERROR(IF(A29="","",K29/H29),"")</f>
        <v/>
      </c>
      <c r="M29" s="29">
        <f>IFERROR(IF(A29="","",VLOOKUP(B29,'Assumptions'!$A$16:$B$22,2,0)),"")</f>
        <v/>
      </c>
      <c r="N29" s="27" t="n"/>
      <c r="O29" s="27" t="n"/>
      <c r="P29" s="27" t="n"/>
      <c r="Q29" s="28">
        <f>IFERROR(IF(A29="","",MIN(H29,MAX(0,K29,ROUND(H29*M29,0)+N29+O29))),"")</f>
        <v/>
      </c>
      <c r="R29" s="28">
        <f>IFERROR(IF(A29="","",MIN(H29,MAX(0,IF(P29="",Q29,P29)))),"")</f>
        <v/>
      </c>
      <c r="S29" s="28">
        <f>IFERROR(IF(A29="","",MAX(0,R29-K29)),"")</f>
        <v/>
      </c>
      <c r="T29" s="29">
        <f>IFERROR(IF(A29="","",R29/H29),"")</f>
        <v/>
      </c>
      <c r="U29" s="29">
        <f>IFERROR(IF(A29="","",'Assumptions'!$B$5),"")</f>
        <v/>
      </c>
      <c r="V29" s="29">
        <f>IFERROR(IF(A29="","",T29-U29),"")</f>
        <v/>
      </c>
      <c r="W29" s="50" t="n"/>
      <c r="X29" s="50" t="n"/>
      <c r="Y29" s="51">
        <f>IFERROR(IF(A29="","",IF(X29&lt;&gt;"",X29,IF(W29&lt;&gt;"",W29,'Assumptions'!$B$8))),"")</f>
        <v/>
      </c>
      <c r="Z29" s="51">
        <f>IFERROR(IF(A29="","",R29*Y29),"")</f>
        <v/>
      </c>
      <c r="AA29" s="51">
        <f>IFERROR(IF(A29="","",Z29/H29),"")</f>
        <v/>
      </c>
      <c r="AB29" s="32" t="n"/>
      <c r="AC29" s="52" t="n"/>
      <c r="AD29" s="29">
        <f>IFERROR(IF(OR(A29="",AB29=""),"",AB29/H29),"")</f>
        <v/>
      </c>
      <c r="AE29" s="51">
        <f>IFERROR(IF(OR(A29="",AB29="",AC29=""),"",AB29*AC29),"")</f>
        <v/>
      </c>
      <c r="AF29" s="28">
        <f>IFERROR(IF(OR(A29="",AB29=""),"",AB29-R29),"")</f>
        <v/>
      </c>
      <c r="AG29" s="29">
        <f>IFERROR(IF(OR(A29="",AB29=""),"",IF(AD29-T29&lt;0,T29-AD29,AD29-T29)),"")</f>
        <v/>
      </c>
      <c r="AH29" s="51">
        <f>IFERROR(IF(OR(A29="",AE29=""),"",AE29-Z29),"")</f>
        <v/>
      </c>
      <c r="AI29" s="25">
        <f>IFERROR(IF(A29="","",IF(G29&gt;F29,"Check out-of-order rooms",IF(K29&gt;H29,"On the books exceeds sellable rooms",IF(R29&gt;H29,"Forecast exceeds sellable rooms",IF(AND(A29&lt;TODAY(),AB29=""),"Actual results missing","OK"))))),"")</f>
        <v/>
      </c>
    </row>
    <row r="30">
      <c r="A30" s="24" t="n"/>
      <c r="B30" s="25">
        <f>IFERROR(IF(A30="","",VLOOKUP(MOD(A30,7),'Assumptions'!$E$16:$F$22,2,0)),"")</f>
        <v/>
      </c>
      <c r="C30" s="25">
        <f>IFERROR(IF(A30="","",IF(A30&lt;TODAY(),"Past",IF(A30=TODAY(),"Today","Future"))),"")</f>
        <v/>
      </c>
      <c r="D30" s="26" t="n"/>
      <c r="E30" s="26" t="n"/>
      <c r="F30" s="27" t="n"/>
      <c r="G30" s="27" t="n"/>
      <c r="H30" s="28">
        <f>IFERROR(IF(A30="","",MAX(0,F30-G30)),"")</f>
        <v/>
      </c>
      <c r="I30" s="27" t="n"/>
      <c r="J30" s="27" t="n"/>
      <c r="K30" s="28">
        <f>IFERROR(IF(A30="","",I30+J30),"")</f>
        <v/>
      </c>
      <c r="L30" s="29">
        <f>IFERROR(IF(A30="","",K30/H30),"")</f>
        <v/>
      </c>
      <c r="M30" s="29">
        <f>IFERROR(IF(A30="","",VLOOKUP(B30,'Assumptions'!$A$16:$B$22,2,0)),"")</f>
        <v/>
      </c>
      <c r="N30" s="27" t="n"/>
      <c r="O30" s="27" t="n"/>
      <c r="P30" s="27" t="n"/>
      <c r="Q30" s="28">
        <f>IFERROR(IF(A30="","",MIN(H30,MAX(0,K30,ROUND(H30*M30,0)+N30+O30))),"")</f>
        <v/>
      </c>
      <c r="R30" s="28">
        <f>IFERROR(IF(A30="","",MIN(H30,MAX(0,IF(P30="",Q30,P30)))),"")</f>
        <v/>
      </c>
      <c r="S30" s="28">
        <f>IFERROR(IF(A30="","",MAX(0,R30-K30)),"")</f>
        <v/>
      </c>
      <c r="T30" s="29">
        <f>IFERROR(IF(A30="","",R30/H30),"")</f>
        <v/>
      </c>
      <c r="U30" s="29">
        <f>IFERROR(IF(A30="","",'Assumptions'!$B$5),"")</f>
        <v/>
      </c>
      <c r="V30" s="29">
        <f>IFERROR(IF(A30="","",T30-U30),"")</f>
        <v/>
      </c>
      <c r="W30" s="50" t="n"/>
      <c r="X30" s="50" t="n"/>
      <c r="Y30" s="51">
        <f>IFERROR(IF(A30="","",IF(X30&lt;&gt;"",X30,IF(W30&lt;&gt;"",W30,'Assumptions'!$B$8))),"")</f>
        <v/>
      </c>
      <c r="Z30" s="51">
        <f>IFERROR(IF(A30="","",R30*Y30),"")</f>
        <v/>
      </c>
      <c r="AA30" s="51">
        <f>IFERROR(IF(A30="","",Z30/H30),"")</f>
        <v/>
      </c>
      <c r="AB30" s="32" t="n"/>
      <c r="AC30" s="52" t="n"/>
      <c r="AD30" s="29">
        <f>IFERROR(IF(OR(A30="",AB30=""),"",AB30/H30),"")</f>
        <v/>
      </c>
      <c r="AE30" s="51">
        <f>IFERROR(IF(OR(A30="",AB30="",AC30=""),"",AB30*AC30),"")</f>
        <v/>
      </c>
      <c r="AF30" s="28">
        <f>IFERROR(IF(OR(A30="",AB30=""),"",AB30-R30),"")</f>
        <v/>
      </c>
      <c r="AG30" s="29">
        <f>IFERROR(IF(OR(A30="",AB30=""),"",IF(AD30-T30&lt;0,T30-AD30,AD30-T30)),"")</f>
        <v/>
      </c>
      <c r="AH30" s="51">
        <f>IFERROR(IF(OR(A30="",AE30=""),"",AE30-Z30),"")</f>
        <v/>
      </c>
      <c r="AI30" s="25">
        <f>IFERROR(IF(A30="","",IF(G30&gt;F30,"Check out-of-order rooms",IF(K30&gt;H30,"On the books exceeds sellable rooms",IF(R30&gt;H30,"Forecast exceeds sellable rooms",IF(AND(A30&lt;TODAY(),AB30=""),"Actual results missing","OK"))))),"")</f>
        <v/>
      </c>
    </row>
    <row r="31">
      <c r="A31" s="24" t="n"/>
      <c r="B31" s="25">
        <f>IFERROR(IF(A31="","",VLOOKUP(MOD(A31,7),'Assumptions'!$E$16:$F$22,2,0)),"")</f>
        <v/>
      </c>
      <c r="C31" s="25">
        <f>IFERROR(IF(A31="","",IF(A31&lt;TODAY(),"Past",IF(A31=TODAY(),"Today","Future"))),"")</f>
        <v/>
      </c>
      <c r="D31" s="26" t="n"/>
      <c r="E31" s="26" t="n"/>
      <c r="F31" s="27" t="n"/>
      <c r="G31" s="27" t="n"/>
      <c r="H31" s="28">
        <f>IFERROR(IF(A31="","",MAX(0,F31-G31)),"")</f>
        <v/>
      </c>
      <c r="I31" s="27" t="n"/>
      <c r="J31" s="27" t="n"/>
      <c r="K31" s="28">
        <f>IFERROR(IF(A31="","",I31+J31),"")</f>
        <v/>
      </c>
      <c r="L31" s="29">
        <f>IFERROR(IF(A31="","",K31/H31),"")</f>
        <v/>
      </c>
      <c r="M31" s="29">
        <f>IFERROR(IF(A31="","",VLOOKUP(B31,'Assumptions'!$A$16:$B$22,2,0)),"")</f>
        <v/>
      </c>
      <c r="N31" s="27" t="n"/>
      <c r="O31" s="27" t="n"/>
      <c r="P31" s="27" t="n"/>
      <c r="Q31" s="28">
        <f>IFERROR(IF(A31="","",MIN(H31,MAX(0,K31,ROUND(H31*M31,0)+N31+O31))),"")</f>
        <v/>
      </c>
      <c r="R31" s="28">
        <f>IFERROR(IF(A31="","",MIN(H31,MAX(0,IF(P31="",Q31,P31)))),"")</f>
        <v/>
      </c>
      <c r="S31" s="28">
        <f>IFERROR(IF(A31="","",MAX(0,R31-K31)),"")</f>
        <v/>
      </c>
      <c r="T31" s="29">
        <f>IFERROR(IF(A31="","",R31/H31),"")</f>
        <v/>
      </c>
      <c r="U31" s="29">
        <f>IFERROR(IF(A31="","",'Assumptions'!$B$5),"")</f>
        <v/>
      </c>
      <c r="V31" s="29">
        <f>IFERROR(IF(A31="","",T31-U31),"")</f>
        <v/>
      </c>
      <c r="W31" s="50" t="n"/>
      <c r="X31" s="50" t="n"/>
      <c r="Y31" s="51">
        <f>IFERROR(IF(A31="","",IF(X31&lt;&gt;"",X31,IF(W31&lt;&gt;"",W31,'Assumptions'!$B$8))),"")</f>
        <v/>
      </c>
      <c r="Z31" s="51">
        <f>IFERROR(IF(A31="","",R31*Y31),"")</f>
        <v/>
      </c>
      <c r="AA31" s="51">
        <f>IFERROR(IF(A31="","",Z31/H31),"")</f>
        <v/>
      </c>
      <c r="AB31" s="32" t="n"/>
      <c r="AC31" s="52" t="n"/>
      <c r="AD31" s="29">
        <f>IFERROR(IF(OR(A31="",AB31=""),"",AB31/H31),"")</f>
        <v/>
      </c>
      <c r="AE31" s="51">
        <f>IFERROR(IF(OR(A31="",AB31="",AC31=""),"",AB31*AC31),"")</f>
        <v/>
      </c>
      <c r="AF31" s="28">
        <f>IFERROR(IF(OR(A31="",AB31=""),"",AB31-R31),"")</f>
        <v/>
      </c>
      <c r="AG31" s="29">
        <f>IFERROR(IF(OR(A31="",AB31=""),"",IF(AD31-T31&lt;0,T31-AD31,AD31-T31)),"")</f>
        <v/>
      </c>
      <c r="AH31" s="51">
        <f>IFERROR(IF(OR(A31="",AE31=""),"",AE31-Z31),"")</f>
        <v/>
      </c>
      <c r="AI31" s="25">
        <f>IFERROR(IF(A31="","",IF(G31&gt;F31,"Check out-of-order rooms",IF(K31&gt;H31,"On the books exceeds sellable rooms",IF(R31&gt;H31,"Forecast exceeds sellable rooms",IF(AND(A31&lt;TODAY(),AB31=""),"Actual results missing","OK"))))),"")</f>
        <v/>
      </c>
    </row>
    <row r="32">
      <c r="A32" s="24" t="n"/>
      <c r="B32" s="25">
        <f>IFERROR(IF(A32="","",VLOOKUP(MOD(A32,7),'Assumptions'!$E$16:$F$22,2,0)),"")</f>
        <v/>
      </c>
      <c r="C32" s="25">
        <f>IFERROR(IF(A32="","",IF(A32&lt;TODAY(),"Past",IF(A32=TODAY(),"Today","Future"))),"")</f>
        <v/>
      </c>
      <c r="D32" s="26" t="n"/>
      <c r="E32" s="26" t="n"/>
      <c r="F32" s="27" t="n"/>
      <c r="G32" s="27" t="n"/>
      <c r="H32" s="28">
        <f>IFERROR(IF(A32="","",MAX(0,F32-G32)),"")</f>
        <v/>
      </c>
      <c r="I32" s="27" t="n"/>
      <c r="J32" s="27" t="n"/>
      <c r="K32" s="28">
        <f>IFERROR(IF(A32="","",I32+J32),"")</f>
        <v/>
      </c>
      <c r="L32" s="29">
        <f>IFERROR(IF(A32="","",K32/H32),"")</f>
        <v/>
      </c>
      <c r="M32" s="29">
        <f>IFERROR(IF(A32="","",VLOOKUP(B32,'Assumptions'!$A$16:$B$22,2,0)),"")</f>
        <v/>
      </c>
      <c r="N32" s="27" t="n"/>
      <c r="O32" s="27" t="n"/>
      <c r="P32" s="27" t="n"/>
      <c r="Q32" s="28">
        <f>IFERROR(IF(A32="","",MIN(H32,MAX(0,K32,ROUND(H32*M32,0)+N32+O32))),"")</f>
        <v/>
      </c>
      <c r="R32" s="28">
        <f>IFERROR(IF(A32="","",MIN(H32,MAX(0,IF(P32="",Q32,P32)))),"")</f>
        <v/>
      </c>
      <c r="S32" s="28">
        <f>IFERROR(IF(A32="","",MAX(0,R32-K32)),"")</f>
        <v/>
      </c>
      <c r="T32" s="29">
        <f>IFERROR(IF(A32="","",R32/H32),"")</f>
        <v/>
      </c>
      <c r="U32" s="29">
        <f>IFERROR(IF(A32="","",'Assumptions'!$B$5),"")</f>
        <v/>
      </c>
      <c r="V32" s="29">
        <f>IFERROR(IF(A32="","",T32-U32),"")</f>
        <v/>
      </c>
      <c r="W32" s="50" t="n"/>
      <c r="X32" s="50" t="n"/>
      <c r="Y32" s="51">
        <f>IFERROR(IF(A32="","",IF(X32&lt;&gt;"",X32,IF(W32&lt;&gt;"",W32,'Assumptions'!$B$8))),"")</f>
        <v/>
      </c>
      <c r="Z32" s="51">
        <f>IFERROR(IF(A32="","",R32*Y32),"")</f>
        <v/>
      </c>
      <c r="AA32" s="51">
        <f>IFERROR(IF(A32="","",Z32/H32),"")</f>
        <v/>
      </c>
      <c r="AB32" s="32" t="n"/>
      <c r="AC32" s="52" t="n"/>
      <c r="AD32" s="29">
        <f>IFERROR(IF(OR(A32="",AB32=""),"",AB32/H32),"")</f>
        <v/>
      </c>
      <c r="AE32" s="51">
        <f>IFERROR(IF(OR(A32="",AB32="",AC32=""),"",AB32*AC32),"")</f>
        <v/>
      </c>
      <c r="AF32" s="28">
        <f>IFERROR(IF(OR(A32="",AB32=""),"",AB32-R32),"")</f>
        <v/>
      </c>
      <c r="AG32" s="29">
        <f>IFERROR(IF(OR(A32="",AB32=""),"",IF(AD32-T32&lt;0,T32-AD32,AD32-T32)),"")</f>
        <v/>
      </c>
      <c r="AH32" s="51">
        <f>IFERROR(IF(OR(A32="",AE32=""),"",AE32-Z32),"")</f>
        <v/>
      </c>
      <c r="AI32" s="25">
        <f>IFERROR(IF(A32="","",IF(G32&gt;F32,"Check out-of-order rooms",IF(K32&gt;H32,"On the books exceeds sellable rooms",IF(R32&gt;H32,"Forecast exceeds sellable rooms",IF(AND(A32&lt;TODAY(),AB32=""),"Actual results missing","OK"))))),"")</f>
        <v/>
      </c>
    </row>
    <row r="33">
      <c r="A33" s="24" t="n"/>
      <c r="B33" s="25">
        <f>IFERROR(IF(A33="","",VLOOKUP(MOD(A33,7),'Assumptions'!$E$16:$F$22,2,0)),"")</f>
        <v/>
      </c>
      <c r="C33" s="25">
        <f>IFERROR(IF(A33="","",IF(A33&lt;TODAY(),"Past",IF(A33=TODAY(),"Today","Future"))),"")</f>
        <v/>
      </c>
      <c r="D33" s="26" t="n"/>
      <c r="E33" s="26" t="n"/>
      <c r="F33" s="27" t="n"/>
      <c r="G33" s="27" t="n"/>
      <c r="H33" s="28">
        <f>IFERROR(IF(A33="","",MAX(0,F33-G33)),"")</f>
        <v/>
      </c>
      <c r="I33" s="27" t="n"/>
      <c r="J33" s="27" t="n"/>
      <c r="K33" s="28">
        <f>IFERROR(IF(A33="","",I33+J33),"")</f>
        <v/>
      </c>
      <c r="L33" s="29">
        <f>IFERROR(IF(A33="","",K33/H33),"")</f>
        <v/>
      </c>
      <c r="M33" s="29">
        <f>IFERROR(IF(A33="","",VLOOKUP(B33,'Assumptions'!$A$16:$B$22,2,0)),"")</f>
        <v/>
      </c>
      <c r="N33" s="27" t="n"/>
      <c r="O33" s="27" t="n"/>
      <c r="P33" s="27" t="n"/>
      <c r="Q33" s="28">
        <f>IFERROR(IF(A33="","",MIN(H33,MAX(0,K33,ROUND(H33*M33,0)+N33+O33))),"")</f>
        <v/>
      </c>
      <c r="R33" s="28">
        <f>IFERROR(IF(A33="","",MIN(H33,MAX(0,IF(P33="",Q33,P33)))),"")</f>
        <v/>
      </c>
      <c r="S33" s="28">
        <f>IFERROR(IF(A33="","",MAX(0,R33-K33)),"")</f>
        <v/>
      </c>
      <c r="T33" s="29">
        <f>IFERROR(IF(A33="","",R33/H33),"")</f>
        <v/>
      </c>
      <c r="U33" s="29">
        <f>IFERROR(IF(A33="","",'Assumptions'!$B$5),"")</f>
        <v/>
      </c>
      <c r="V33" s="29">
        <f>IFERROR(IF(A33="","",T33-U33),"")</f>
        <v/>
      </c>
      <c r="W33" s="50" t="n"/>
      <c r="X33" s="50" t="n"/>
      <c r="Y33" s="51">
        <f>IFERROR(IF(A33="","",IF(X33&lt;&gt;"",X33,IF(W33&lt;&gt;"",W33,'Assumptions'!$B$8))),"")</f>
        <v/>
      </c>
      <c r="Z33" s="51">
        <f>IFERROR(IF(A33="","",R33*Y33),"")</f>
        <v/>
      </c>
      <c r="AA33" s="51">
        <f>IFERROR(IF(A33="","",Z33/H33),"")</f>
        <v/>
      </c>
      <c r="AB33" s="32" t="n"/>
      <c r="AC33" s="52" t="n"/>
      <c r="AD33" s="29">
        <f>IFERROR(IF(OR(A33="",AB33=""),"",AB33/H33),"")</f>
        <v/>
      </c>
      <c r="AE33" s="51">
        <f>IFERROR(IF(OR(A33="",AB33="",AC33=""),"",AB33*AC33),"")</f>
        <v/>
      </c>
      <c r="AF33" s="28">
        <f>IFERROR(IF(OR(A33="",AB33=""),"",AB33-R33),"")</f>
        <v/>
      </c>
      <c r="AG33" s="29">
        <f>IFERROR(IF(OR(A33="",AB33=""),"",IF(AD33-T33&lt;0,T33-AD33,AD33-T33)),"")</f>
        <v/>
      </c>
      <c r="AH33" s="51">
        <f>IFERROR(IF(OR(A33="",AE33=""),"",AE33-Z33),"")</f>
        <v/>
      </c>
      <c r="AI33" s="25">
        <f>IFERROR(IF(A33="","",IF(G33&gt;F33,"Check out-of-order rooms",IF(K33&gt;H33,"On the books exceeds sellable rooms",IF(R33&gt;H33,"Forecast exceeds sellable rooms",IF(AND(A33&lt;TODAY(),AB33=""),"Actual results missing","OK"))))),"")</f>
        <v/>
      </c>
    </row>
    <row r="34">
      <c r="A34" s="24" t="n"/>
      <c r="B34" s="25">
        <f>IFERROR(IF(A34="","",VLOOKUP(MOD(A34,7),'Assumptions'!$E$16:$F$22,2,0)),"")</f>
        <v/>
      </c>
      <c r="C34" s="25">
        <f>IFERROR(IF(A34="","",IF(A34&lt;TODAY(),"Past",IF(A34=TODAY(),"Today","Future"))),"")</f>
        <v/>
      </c>
      <c r="D34" s="26" t="n"/>
      <c r="E34" s="26" t="n"/>
      <c r="F34" s="27" t="n"/>
      <c r="G34" s="27" t="n"/>
      <c r="H34" s="28">
        <f>IFERROR(IF(A34="","",MAX(0,F34-G34)),"")</f>
        <v/>
      </c>
      <c r="I34" s="27" t="n"/>
      <c r="J34" s="27" t="n"/>
      <c r="K34" s="28">
        <f>IFERROR(IF(A34="","",I34+J34),"")</f>
        <v/>
      </c>
      <c r="L34" s="29">
        <f>IFERROR(IF(A34="","",K34/H34),"")</f>
        <v/>
      </c>
      <c r="M34" s="29">
        <f>IFERROR(IF(A34="","",VLOOKUP(B34,'Assumptions'!$A$16:$B$22,2,0)),"")</f>
        <v/>
      </c>
      <c r="N34" s="27" t="n"/>
      <c r="O34" s="27" t="n"/>
      <c r="P34" s="27" t="n"/>
      <c r="Q34" s="28">
        <f>IFERROR(IF(A34="","",MIN(H34,MAX(0,K34,ROUND(H34*M34,0)+N34+O34))),"")</f>
        <v/>
      </c>
      <c r="R34" s="28">
        <f>IFERROR(IF(A34="","",MIN(H34,MAX(0,IF(P34="",Q34,P34)))),"")</f>
        <v/>
      </c>
      <c r="S34" s="28">
        <f>IFERROR(IF(A34="","",MAX(0,R34-K34)),"")</f>
        <v/>
      </c>
      <c r="T34" s="29">
        <f>IFERROR(IF(A34="","",R34/H34),"")</f>
        <v/>
      </c>
      <c r="U34" s="29">
        <f>IFERROR(IF(A34="","",'Assumptions'!$B$5),"")</f>
        <v/>
      </c>
      <c r="V34" s="29">
        <f>IFERROR(IF(A34="","",T34-U34),"")</f>
        <v/>
      </c>
      <c r="W34" s="50" t="n"/>
      <c r="X34" s="50" t="n"/>
      <c r="Y34" s="51">
        <f>IFERROR(IF(A34="","",IF(X34&lt;&gt;"",X34,IF(W34&lt;&gt;"",W34,'Assumptions'!$B$8))),"")</f>
        <v/>
      </c>
      <c r="Z34" s="51">
        <f>IFERROR(IF(A34="","",R34*Y34),"")</f>
        <v/>
      </c>
      <c r="AA34" s="51">
        <f>IFERROR(IF(A34="","",Z34/H34),"")</f>
        <v/>
      </c>
      <c r="AB34" s="32" t="n"/>
      <c r="AC34" s="52" t="n"/>
      <c r="AD34" s="29">
        <f>IFERROR(IF(OR(A34="",AB34=""),"",AB34/H34),"")</f>
        <v/>
      </c>
      <c r="AE34" s="51">
        <f>IFERROR(IF(OR(A34="",AB34="",AC34=""),"",AB34*AC34),"")</f>
        <v/>
      </c>
      <c r="AF34" s="28">
        <f>IFERROR(IF(OR(A34="",AB34=""),"",AB34-R34),"")</f>
        <v/>
      </c>
      <c r="AG34" s="29">
        <f>IFERROR(IF(OR(A34="",AB34=""),"",IF(AD34-T34&lt;0,T34-AD34,AD34-T34)),"")</f>
        <v/>
      </c>
      <c r="AH34" s="51">
        <f>IFERROR(IF(OR(A34="",AE34=""),"",AE34-Z34),"")</f>
        <v/>
      </c>
      <c r="AI34" s="25">
        <f>IFERROR(IF(A34="","",IF(G34&gt;F34,"Check out-of-order rooms",IF(K34&gt;H34,"On the books exceeds sellable rooms",IF(R34&gt;H34,"Forecast exceeds sellable rooms",IF(AND(A34&lt;TODAY(),AB34=""),"Actual results missing","OK"))))),"")</f>
        <v/>
      </c>
    </row>
    <row r="35">
      <c r="A35" s="24" t="n"/>
      <c r="B35" s="25">
        <f>IFERROR(IF(A35="","",VLOOKUP(MOD(A35,7),'Assumptions'!$E$16:$F$22,2,0)),"")</f>
        <v/>
      </c>
      <c r="C35" s="25">
        <f>IFERROR(IF(A35="","",IF(A35&lt;TODAY(),"Past",IF(A35=TODAY(),"Today","Future"))),"")</f>
        <v/>
      </c>
      <c r="D35" s="26" t="n"/>
      <c r="E35" s="26" t="n"/>
      <c r="F35" s="27" t="n"/>
      <c r="G35" s="27" t="n"/>
      <c r="H35" s="28">
        <f>IFERROR(IF(A35="","",MAX(0,F35-G35)),"")</f>
        <v/>
      </c>
      <c r="I35" s="27" t="n"/>
      <c r="J35" s="27" t="n"/>
      <c r="K35" s="28">
        <f>IFERROR(IF(A35="","",I35+J35),"")</f>
        <v/>
      </c>
      <c r="L35" s="29">
        <f>IFERROR(IF(A35="","",K35/H35),"")</f>
        <v/>
      </c>
      <c r="M35" s="29">
        <f>IFERROR(IF(A35="","",VLOOKUP(B35,'Assumptions'!$A$16:$B$22,2,0)),"")</f>
        <v/>
      </c>
      <c r="N35" s="27" t="n"/>
      <c r="O35" s="27" t="n"/>
      <c r="P35" s="27" t="n"/>
      <c r="Q35" s="28">
        <f>IFERROR(IF(A35="","",MIN(H35,MAX(0,K35,ROUND(H35*M35,0)+N35+O35))),"")</f>
        <v/>
      </c>
      <c r="R35" s="28">
        <f>IFERROR(IF(A35="","",MIN(H35,MAX(0,IF(P35="",Q35,P35)))),"")</f>
        <v/>
      </c>
      <c r="S35" s="28">
        <f>IFERROR(IF(A35="","",MAX(0,R35-K35)),"")</f>
        <v/>
      </c>
      <c r="T35" s="29">
        <f>IFERROR(IF(A35="","",R35/H35),"")</f>
        <v/>
      </c>
      <c r="U35" s="29">
        <f>IFERROR(IF(A35="","",'Assumptions'!$B$5),"")</f>
        <v/>
      </c>
      <c r="V35" s="29">
        <f>IFERROR(IF(A35="","",T35-U35),"")</f>
        <v/>
      </c>
      <c r="W35" s="50" t="n"/>
      <c r="X35" s="50" t="n"/>
      <c r="Y35" s="51">
        <f>IFERROR(IF(A35="","",IF(X35&lt;&gt;"",X35,IF(W35&lt;&gt;"",W35,'Assumptions'!$B$8))),"")</f>
        <v/>
      </c>
      <c r="Z35" s="51">
        <f>IFERROR(IF(A35="","",R35*Y35),"")</f>
        <v/>
      </c>
      <c r="AA35" s="51">
        <f>IFERROR(IF(A35="","",Z35/H35),"")</f>
        <v/>
      </c>
      <c r="AB35" s="32" t="n"/>
      <c r="AC35" s="52" t="n"/>
      <c r="AD35" s="29">
        <f>IFERROR(IF(OR(A35="",AB35=""),"",AB35/H35),"")</f>
        <v/>
      </c>
      <c r="AE35" s="51">
        <f>IFERROR(IF(OR(A35="",AB35="",AC35=""),"",AB35*AC35),"")</f>
        <v/>
      </c>
      <c r="AF35" s="28">
        <f>IFERROR(IF(OR(A35="",AB35=""),"",AB35-R35),"")</f>
        <v/>
      </c>
      <c r="AG35" s="29">
        <f>IFERROR(IF(OR(A35="",AB35=""),"",IF(AD35-T35&lt;0,T35-AD35,AD35-T35)),"")</f>
        <v/>
      </c>
      <c r="AH35" s="51">
        <f>IFERROR(IF(OR(A35="",AE35=""),"",AE35-Z35),"")</f>
        <v/>
      </c>
      <c r="AI35" s="25">
        <f>IFERROR(IF(A35="","",IF(G35&gt;F35,"Check out-of-order rooms",IF(K35&gt;H35,"On the books exceeds sellable rooms",IF(R35&gt;H35,"Forecast exceeds sellable rooms",IF(AND(A35&lt;TODAY(),AB35=""),"Actual results missing","OK"))))),"")</f>
        <v/>
      </c>
    </row>
    <row r="36">
      <c r="A36" s="24" t="n"/>
      <c r="B36" s="25">
        <f>IFERROR(IF(A36="","",VLOOKUP(MOD(A36,7),'Assumptions'!$E$16:$F$22,2,0)),"")</f>
        <v/>
      </c>
      <c r="C36" s="25">
        <f>IFERROR(IF(A36="","",IF(A36&lt;TODAY(),"Past",IF(A36=TODAY(),"Today","Future"))),"")</f>
        <v/>
      </c>
      <c r="D36" s="26" t="n"/>
      <c r="E36" s="26" t="n"/>
      <c r="F36" s="27" t="n"/>
      <c r="G36" s="27" t="n"/>
      <c r="H36" s="28">
        <f>IFERROR(IF(A36="","",MAX(0,F36-G36)),"")</f>
        <v/>
      </c>
      <c r="I36" s="27" t="n"/>
      <c r="J36" s="27" t="n"/>
      <c r="K36" s="28">
        <f>IFERROR(IF(A36="","",I36+J36),"")</f>
        <v/>
      </c>
      <c r="L36" s="29">
        <f>IFERROR(IF(A36="","",K36/H36),"")</f>
        <v/>
      </c>
      <c r="M36" s="29">
        <f>IFERROR(IF(A36="","",VLOOKUP(B36,'Assumptions'!$A$16:$B$22,2,0)),"")</f>
        <v/>
      </c>
      <c r="N36" s="27" t="n"/>
      <c r="O36" s="27" t="n"/>
      <c r="P36" s="27" t="n"/>
      <c r="Q36" s="28">
        <f>IFERROR(IF(A36="","",MIN(H36,MAX(0,K36,ROUND(H36*M36,0)+N36+O36))),"")</f>
        <v/>
      </c>
      <c r="R36" s="28">
        <f>IFERROR(IF(A36="","",MIN(H36,MAX(0,IF(P36="",Q36,P36)))),"")</f>
        <v/>
      </c>
      <c r="S36" s="28">
        <f>IFERROR(IF(A36="","",MAX(0,R36-K36)),"")</f>
        <v/>
      </c>
      <c r="T36" s="29">
        <f>IFERROR(IF(A36="","",R36/H36),"")</f>
        <v/>
      </c>
      <c r="U36" s="29">
        <f>IFERROR(IF(A36="","",'Assumptions'!$B$5),"")</f>
        <v/>
      </c>
      <c r="V36" s="29">
        <f>IFERROR(IF(A36="","",T36-U36),"")</f>
        <v/>
      </c>
      <c r="W36" s="50" t="n"/>
      <c r="X36" s="50" t="n"/>
      <c r="Y36" s="51">
        <f>IFERROR(IF(A36="","",IF(X36&lt;&gt;"",X36,IF(W36&lt;&gt;"",W36,'Assumptions'!$B$8))),"")</f>
        <v/>
      </c>
      <c r="Z36" s="51">
        <f>IFERROR(IF(A36="","",R36*Y36),"")</f>
        <v/>
      </c>
      <c r="AA36" s="51">
        <f>IFERROR(IF(A36="","",Z36/H36),"")</f>
        <v/>
      </c>
      <c r="AB36" s="32" t="n"/>
      <c r="AC36" s="52" t="n"/>
      <c r="AD36" s="29">
        <f>IFERROR(IF(OR(A36="",AB36=""),"",AB36/H36),"")</f>
        <v/>
      </c>
      <c r="AE36" s="51">
        <f>IFERROR(IF(OR(A36="",AB36="",AC36=""),"",AB36*AC36),"")</f>
        <v/>
      </c>
      <c r="AF36" s="28">
        <f>IFERROR(IF(OR(A36="",AB36=""),"",AB36-R36),"")</f>
        <v/>
      </c>
      <c r="AG36" s="29">
        <f>IFERROR(IF(OR(A36="",AB36=""),"",IF(AD36-T36&lt;0,T36-AD36,AD36-T36)),"")</f>
        <v/>
      </c>
      <c r="AH36" s="51">
        <f>IFERROR(IF(OR(A36="",AE36=""),"",AE36-Z36),"")</f>
        <v/>
      </c>
      <c r="AI36" s="25">
        <f>IFERROR(IF(A36="","",IF(G36&gt;F36,"Check out-of-order rooms",IF(K36&gt;H36,"On the books exceeds sellable rooms",IF(R36&gt;H36,"Forecast exceeds sellable rooms",IF(AND(A36&lt;TODAY(),AB36=""),"Actual results missing","OK"))))),"")</f>
        <v/>
      </c>
    </row>
    <row r="37">
      <c r="A37" s="24" t="n"/>
      <c r="B37" s="25">
        <f>IFERROR(IF(A37="","",VLOOKUP(MOD(A37,7),'Assumptions'!$E$16:$F$22,2,0)),"")</f>
        <v/>
      </c>
      <c r="C37" s="25">
        <f>IFERROR(IF(A37="","",IF(A37&lt;TODAY(),"Past",IF(A37=TODAY(),"Today","Future"))),"")</f>
        <v/>
      </c>
      <c r="D37" s="26" t="n"/>
      <c r="E37" s="26" t="n"/>
      <c r="F37" s="27" t="n"/>
      <c r="G37" s="27" t="n"/>
      <c r="H37" s="28">
        <f>IFERROR(IF(A37="","",MAX(0,F37-G37)),"")</f>
        <v/>
      </c>
      <c r="I37" s="27" t="n"/>
      <c r="J37" s="27" t="n"/>
      <c r="K37" s="28">
        <f>IFERROR(IF(A37="","",I37+J37),"")</f>
        <v/>
      </c>
      <c r="L37" s="29">
        <f>IFERROR(IF(A37="","",K37/H37),"")</f>
        <v/>
      </c>
      <c r="M37" s="29">
        <f>IFERROR(IF(A37="","",VLOOKUP(B37,'Assumptions'!$A$16:$B$22,2,0)),"")</f>
        <v/>
      </c>
      <c r="N37" s="27" t="n"/>
      <c r="O37" s="27" t="n"/>
      <c r="P37" s="27" t="n"/>
      <c r="Q37" s="28">
        <f>IFERROR(IF(A37="","",MIN(H37,MAX(0,K37,ROUND(H37*M37,0)+N37+O37))),"")</f>
        <v/>
      </c>
      <c r="R37" s="28">
        <f>IFERROR(IF(A37="","",MIN(H37,MAX(0,IF(P37="",Q37,P37)))),"")</f>
        <v/>
      </c>
      <c r="S37" s="28">
        <f>IFERROR(IF(A37="","",MAX(0,R37-K37)),"")</f>
        <v/>
      </c>
      <c r="T37" s="29">
        <f>IFERROR(IF(A37="","",R37/H37),"")</f>
        <v/>
      </c>
      <c r="U37" s="29">
        <f>IFERROR(IF(A37="","",'Assumptions'!$B$5),"")</f>
        <v/>
      </c>
      <c r="V37" s="29">
        <f>IFERROR(IF(A37="","",T37-U37),"")</f>
        <v/>
      </c>
      <c r="W37" s="50" t="n"/>
      <c r="X37" s="50" t="n"/>
      <c r="Y37" s="51">
        <f>IFERROR(IF(A37="","",IF(X37&lt;&gt;"",X37,IF(W37&lt;&gt;"",W37,'Assumptions'!$B$8))),"")</f>
        <v/>
      </c>
      <c r="Z37" s="51">
        <f>IFERROR(IF(A37="","",R37*Y37),"")</f>
        <v/>
      </c>
      <c r="AA37" s="51">
        <f>IFERROR(IF(A37="","",Z37/H37),"")</f>
        <v/>
      </c>
      <c r="AB37" s="32" t="n"/>
      <c r="AC37" s="52" t="n"/>
      <c r="AD37" s="29">
        <f>IFERROR(IF(OR(A37="",AB37=""),"",AB37/H37),"")</f>
        <v/>
      </c>
      <c r="AE37" s="51">
        <f>IFERROR(IF(OR(A37="",AB37="",AC37=""),"",AB37*AC37),"")</f>
        <v/>
      </c>
      <c r="AF37" s="28">
        <f>IFERROR(IF(OR(A37="",AB37=""),"",AB37-R37),"")</f>
        <v/>
      </c>
      <c r="AG37" s="29">
        <f>IFERROR(IF(OR(A37="",AB37=""),"",IF(AD37-T37&lt;0,T37-AD37,AD37-T37)),"")</f>
        <v/>
      </c>
      <c r="AH37" s="51">
        <f>IFERROR(IF(OR(A37="",AE37=""),"",AE37-Z37),"")</f>
        <v/>
      </c>
      <c r="AI37" s="25">
        <f>IFERROR(IF(A37="","",IF(G37&gt;F37,"Check out-of-order rooms",IF(K37&gt;H37,"On the books exceeds sellable rooms",IF(R37&gt;H37,"Forecast exceeds sellable rooms",IF(AND(A37&lt;TODAY(),AB37=""),"Actual results missing","OK"))))),"")</f>
        <v/>
      </c>
    </row>
    <row r="38">
      <c r="A38" s="24" t="n"/>
      <c r="B38" s="25">
        <f>IFERROR(IF(A38="","",VLOOKUP(MOD(A38,7),'Assumptions'!$E$16:$F$22,2,0)),"")</f>
        <v/>
      </c>
      <c r="C38" s="25">
        <f>IFERROR(IF(A38="","",IF(A38&lt;TODAY(),"Past",IF(A38=TODAY(),"Today","Future"))),"")</f>
        <v/>
      </c>
      <c r="D38" s="26" t="n"/>
      <c r="E38" s="26" t="n"/>
      <c r="F38" s="27" t="n"/>
      <c r="G38" s="27" t="n"/>
      <c r="H38" s="28">
        <f>IFERROR(IF(A38="","",MAX(0,F38-G38)),"")</f>
        <v/>
      </c>
      <c r="I38" s="27" t="n"/>
      <c r="J38" s="27" t="n"/>
      <c r="K38" s="28">
        <f>IFERROR(IF(A38="","",I38+J38),"")</f>
        <v/>
      </c>
      <c r="L38" s="29">
        <f>IFERROR(IF(A38="","",K38/H38),"")</f>
        <v/>
      </c>
      <c r="M38" s="29">
        <f>IFERROR(IF(A38="","",VLOOKUP(B38,'Assumptions'!$A$16:$B$22,2,0)),"")</f>
        <v/>
      </c>
      <c r="N38" s="27" t="n"/>
      <c r="O38" s="27" t="n"/>
      <c r="P38" s="27" t="n"/>
      <c r="Q38" s="28">
        <f>IFERROR(IF(A38="","",MIN(H38,MAX(0,K38,ROUND(H38*M38,0)+N38+O38))),"")</f>
        <v/>
      </c>
      <c r="R38" s="28">
        <f>IFERROR(IF(A38="","",MIN(H38,MAX(0,IF(P38="",Q38,P38)))),"")</f>
        <v/>
      </c>
      <c r="S38" s="28">
        <f>IFERROR(IF(A38="","",MAX(0,R38-K38)),"")</f>
        <v/>
      </c>
      <c r="T38" s="29">
        <f>IFERROR(IF(A38="","",R38/H38),"")</f>
        <v/>
      </c>
      <c r="U38" s="29">
        <f>IFERROR(IF(A38="","",'Assumptions'!$B$5),"")</f>
        <v/>
      </c>
      <c r="V38" s="29">
        <f>IFERROR(IF(A38="","",T38-U38),"")</f>
        <v/>
      </c>
      <c r="W38" s="50" t="n"/>
      <c r="X38" s="50" t="n"/>
      <c r="Y38" s="51">
        <f>IFERROR(IF(A38="","",IF(X38&lt;&gt;"",X38,IF(W38&lt;&gt;"",W38,'Assumptions'!$B$8))),"")</f>
        <v/>
      </c>
      <c r="Z38" s="51">
        <f>IFERROR(IF(A38="","",R38*Y38),"")</f>
        <v/>
      </c>
      <c r="AA38" s="51">
        <f>IFERROR(IF(A38="","",Z38/H38),"")</f>
        <v/>
      </c>
      <c r="AB38" s="32" t="n"/>
      <c r="AC38" s="52" t="n"/>
      <c r="AD38" s="29">
        <f>IFERROR(IF(OR(A38="",AB38=""),"",AB38/H38),"")</f>
        <v/>
      </c>
      <c r="AE38" s="51">
        <f>IFERROR(IF(OR(A38="",AB38="",AC38=""),"",AB38*AC38),"")</f>
        <v/>
      </c>
      <c r="AF38" s="28">
        <f>IFERROR(IF(OR(A38="",AB38=""),"",AB38-R38),"")</f>
        <v/>
      </c>
      <c r="AG38" s="29">
        <f>IFERROR(IF(OR(A38="",AB38=""),"",IF(AD38-T38&lt;0,T38-AD38,AD38-T38)),"")</f>
        <v/>
      </c>
      <c r="AH38" s="51">
        <f>IFERROR(IF(OR(A38="",AE38=""),"",AE38-Z38),"")</f>
        <v/>
      </c>
      <c r="AI38" s="25">
        <f>IFERROR(IF(A38="","",IF(G38&gt;F38,"Check out-of-order rooms",IF(K38&gt;H38,"On the books exceeds sellable rooms",IF(R38&gt;H38,"Forecast exceeds sellable rooms",IF(AND(A38&lt;TODAY(),AB38=""),"Actual results missing","OK"))))),"")</f>
        <v/>
      </c>
    </row>
    <row r="39">
      <c r="A39" s="24" t="n"/>
      <c r="B39" s="25">
        <f>IFERROR(IF(A39="","",VLOOKUP(MOD(A39,7),'Assumptions'!$E$16:$F$22,2,0)),"")</f>
        <v/>
      </c>
      <c r="C39" s="25">
        <f>IFERROR(IF(A39="","",IF(A39&lt;TODAY(),"Past",IF(A39=TODAY(),"Today","Future"))),"")</f>
        <v/>
      </c>
      <c r="D39" s="26" t="n"/>
      <c r="E39" s="26" t="n"/>
      <c r="F39" s="27" t="n"/>
      <c r="G39" s="27" t="n"/>
      <c r="H39" s="28">
        <f>IFERROR(IF(A39="","",MAX(0,F39-G39)),"")</f>
        <v/>
      </c>
      <c r="I39" s="27" t="n"/>
      <c r="J39" s="27" t="n"/>
      <c r="K39" s="28">
        <f>IFERROR(IF(A39="","",I39+J39),"")</f>
        <v/>
      </c>
      <c r="L39" s="29">
        <f>IFERROR(IF(A39="","",K39/H39),"")</f>
        <v/>
      </c>
      <c r="M39" s="29">
        <f>IFERROR(IF(A39="","",VLOOKUP(B39,'Assumptions'!$A$16:$B$22,2,0)),"")</f>
        <v/>
      </c>
      <c r="N39" s="27" t="n"/>
      <c r="O39" s="27" t="n"/>
      <c r="P39" s="27" t="n"/>
      <c r="Q39" s="28">
        <f>IFERROR(IF(A39="","",MIN(H39,MAX(0,K39,ROUND(H39*M39,0)+N39+O39))),"")</f>
        <v/>
      </c>
      <c r="R39" s="28">
        <f>IFERROR(IF(A39="","",MIN(H39,MAX(0,IF(P39="",Q39,P39)))),"")</f>
        <v/>
      </c>
      <c r="S39" s="28">
        <f>IFERROR(IF(A39="","",MAX(0,R39-K39)),"")</f>
        <v/>
      </c>
      <c r="T39" s="29">
        <f>IFERROR(IF(A39="","",R39/H39),"")</f>
        <v/>
      </c>
      <c r="U39" s="29">
        <f>IFERROR(IF(A39="","",'Assumptions'!$B$5),"")</f>
        <v/>
      </c>
      <c r="V39" s="29">
        <f>IFERROR(IF(A39="","",T39-U39),"")</f>
        <v/>
      </c>
      <c r="W39" s="50" t="n"/>
      <c r="X39" s="50" t="n"/>
      <c r="Y39" s="51">
        <f>IFERROR(IF(A39="","",IF(X39&lt;&gt;"",X39,IF(W39&lt;&gt;"",W39,'Assumptions'!$B$8))),"")</f>
        <v/>
      </c>
      <c r="Z39" s="51">
        <f>IFERROR(IF(A39="","",R39*Y39),"")</f>
        <v/>
      </c>
      <c r="AA39" s="51">
        <f>IFERROR(IF(A39="","",Z39/H39),"")</f>
        <v/>
      </c>
      <c r="AB39" s="32" t="n"/>
      <c r="AC39" s="52" t="n"/>
      <c r="AD39" s="29">
        <f>IFERROR(IF(OR(A39="",AB39=""),"",AB39/H39),"")</f>
        <v/>
      </c>
      <c r="AE39" s="51">
        <f>IFERROR(IF(OR(A39="",AB39="",AC39=""),"",AB39*AC39),"")</f>
        <v/>
      </c>
      <c r="AF39" s="28">
        <f>IFERROR(IF(OR(A39="",AB39=""),"",AB39-R39),"")</f>
        <v/>
      </c>
      <c r="AG39" s="29">
        <f>IFERROR(IF(OR(A39="",AB39=""),"",IF(AD39-T39&lt;0,T39-AD39,AD39-T39)),"")</f>
        <v/>
      </c>
      <c r="AH39" s="51">
        <f>IFERROR(IF(OR(A39="",AE39=""),"",AE39-Z39),"")</f>
        <v/>
      </c>
      <c r="AI39" s="25">
        <f>IFERROR(IF(A39="","",IF(G39&gt;F39,"Check out-of-order rooms",IF(K39&gt;H39,"On the books exceeds sellable rooms",IF(R39&gt;H39,"Forecast exceeds sellable rooms",IF(AND(A39&lt;TODAY(),AB39=""),"Actual results missing","OK"))))),"")</f>
        <v/>
      </c>
    </row>
    <row r="40">
      <c r="A40" s="24" t="n"/>
      <c r="B40" s="25">
        <f>IFERROR(IF(A40="","",VLOOKUP(MOD(A40,7),'Assumptions'!$E$16:$F$22,2,0)),"")</f>
        <v/>
      </c>
      <c r="C40" s="25">
        <f>IFERROR(IF(A40="","",IF(A40&lt;TODAY(),"Past",IF(A40=TODAY(),"Today","Future"))),"")</f>
        <v/>
      </c>
      <c r="D40" s="26" t="n"/>
      <c r="E40" s="26" t="n"/>
      <c r="F40" s="27" t="n"/>
      <c r="G40" s="27" t="n"/>
      <c r="H40" s="28">
        <f>IFERROR(IF(A40="","",MAX(0,F40-G40)),"")</f>
        <v/>
      </c>
      <c r="I40" s="27" t="n"/>
      <c r="J40" s="27" t="n"/>
      <c r="K40" s="28">
        <f>IFERROR(IF(A40="","",I40+J40),"")</f>
        <v/>
      </c>
      <c r="L40" s="29">
        <f>IFERROR(IF(A40="","",K40/H40),"")</f>
        <v/>
      </c>
      <c r="M40" s="29">
        <f>IFERROR(IF(A40="","",VLOOKUP(B40,'Assumptions'!$A$16:$B$22,2,0)),"")</f>
        <v/>
      </c>
      <c r="N40" s="27" t="n"/>
      <c r="O40" s="27" t="n"/>
      <c r="P40" s="27" t="n"/>
      <c r="Q40" s="28">
        <f>IFERROR(IF(A40="","",MIN(H40,MAX(0,K40,ROUND(H40*M40,0)+N40+O40))),"")</f>
        <v/>
      </c>
      <c r="R40" s="28">
        <f>IFERROR(IF(A40="","",MIN(H40,MAX(0,IF(P40="",Q40,P40)))),"")</f>
        <v/>
      </c>
      <c r="S40" s="28">
        <f>IFERROR(IF(A40="","",MAX(0,R40-K40)),"")</f>
        <v/>
      </c>
      <c r="T40" s="29">
        <f>IFERROR(IF(A40="","",R40/H40),"")</f>
        <v/>
      </c>
      <c r="U40" s="29">
        <f>IFERROR(IF(A40="","",'Assumptions'!$B$5),"")</f>
        <v/>
      </c>
      <c r="V40" s="29">
        <f>IFERROR(IF(A40="","",T40-U40),"")</f>
        <v/>
      </c>
      <c r="W40" s="50" t="n"/>
      <c r="X40" s="50" t="n"/>
      <c r="Y40" s="51">
        <f>IFERROR(IF(A40="","",IF(X40&lt;&gt;"",X40,IF(W40&lt;&gt;"",W40,'Assumptions'!$B$8))),"")</f>
        <v/>
      </c>
      <c r="Z40" s="51">
        <f>IFERROR(IF(A40="","",R40*Y40),"")</f>
        <v/>
      </c>
      <c r="AA40" s="51">
        <f>IFERROR(IF(A40="","",Z40/H40),"")</f>
        <v/>
      </c>
      <c r="AB40" s="32" t="n"/>
      <c r="AC40" s="52" t="n"/>
      <c r="AD40" s="29">
        <f>IFERROR(IF(OR(A40="",AB40=""),"",AB40/H40),"")</f>
        <v/>
      </c>
      <c r="AE40" s="51">
        <f>IFERROR(IF(OR(A40="",AB40="",AC40=""),"",AB40*AC40),"")</f>
        <v/>
      </c>
      <c r="AF40" s="28">
        <f>IFERROR(IF(OR(A40="",AB40=""),"",AB40-R40),"")</f>
        <v/>
      </c>
      <c r="AG40" s="29">
        <f>IFERROR(IF(OR(A40="",AB40=""),"",IF(AD40-T40&lt;0,T40-AD40,AD40-T40)),"")</f>
        <v/>
      </c>
      <c r="AH40" s="51">
        <f>IFERROR(IF(OR(A40="",AE40=""),"",AE40-Z40),"")</f>
        <v/>
      </c>
      <c r="AI40" s="25">
        <f>IFERROR(IF(A40="","",IF(G40&gt;F40,"Check out-of-order rooms",IF(K40&gt;H40,"On the books exceeds sellable rooms",IF(R40&gt;H40,"Forecast exceeds sellable rooms",IF(AND(A40&lt;TODAY(),AB40=""),"Actual results missing","OK"))))),"")</f>
        <v/>
      </c>
    </row>
    <row r="41">
      <c r="A41" s="24" t="n"/>
      <c r="B41" s="25">
        <f>IFERROR(IF(A41="","",VLOOKUP(MOD(A41,7),'Assumptions'!$E$16:$F$22,2,0)),"")</f>
        <v/>
      </c>
      <c r="C41" s="25">
        <f>IFERROR(IF(A41="","",IF(A41&lt;TODAY(),"Past",IF(A41=TODAY(),"Today","Future"))),"")</f>
        <v/>
      </c>
      <c r="D41" s="26" t="n"/>
      <c r="E41" s="26" t="n"/>
      <c r="F41" s="27" t="n"/>
      <c r="G41" s="27" t="n"/>
      <c r="H41" s="28">
        <f>IFERROR(IF(A41="","",MAX(0,F41-G41)),"")</f>
        <v/>
      </c>
      <c r="I41" s="27" t="n"/>
      <c r="J41" s="27" t="n"/>
      <c r="K41" s="28">
        <f>IFERROR(IF(A41="","",I41+J41),"")</f>
        <v/>
      </c>
      <c r="L41" s="29">
        <f>IFERROR(IF(A41="","",K41/H41),"")</f>
        <v/>
      </c>
      <c r="M41" s="29">
        <f>IFERROR(IF(A41="","",VLOOKUP(B41,'Assumptions'!$A$16:$B$22,2,0)),"")</f>
        <v/>
      </c>
      <c r="N41" s="27" t="n"/>
      <c r="O41" s="27" t="n"/>
      <c r="P41" s="27" t="n"/>
      <c r="Q41" s="28">
        <f>IFERROR(IF(A41="","",MIN(H41,MAX(0,K41,ROUND(H41*M41,0)+N41+O41))),"")</f>
        <v/>
      </c>
      <c r="R41" s="28">
        <f>IFERROR(IF(A41="","",MIN(H41,MAX(0,IF(P41="",Q41,P41)))),"")</f>
        <v/>
      </c>
      <c r="S41" s="28">
        <f>IFERROR(IF(A41="","",MAX(0,R41-K41)),"")</f>
        <v/>
      </c>
      <c r="T41" s="29">
        <f>IFERROR(IF(A41="","",R41/H41),"")</f>
        <v/>
      </c>
      <c r="U41" s="29">
        <f>IFERROR(IF(A41="","",'Assumptions'!$B$5),"")</f>
        <v/>
      </c>
      <c r="V41" s="29">
        <f>IFERROR(IF(A41="","",T41-U41),"")</f>
        <v/>
      </c>
      <c r="W41" s="50" t="n"/>
      <c r="X41" s="50" t="n"/>
      <c r="Y41" s="51">
        <f>IFERROR(IF(A41="","",IF(X41&lt;&gt;"",X41,IF(W41&lt;&gt;"",W41,'Assumptions'!$B$8))),"")</f>
        <v/>
      </c>
      <c r="Z41" s="51">
        <f>IFERROR(IF(A41="","",R41*Y41),"")</f>
        <v/>
      </c>
      <c r="AA41" s="51">
        <f>IFERROR(IF(A41="","",Z41/H41),"")</f>
        <v/>
      </c>
      <c r="AB41" s="32" t="n"/>
      <c r="AC41" s="52" t="n"/>
      <c r="AD41" s="29">
        <f>IFERROR(IF(OR(A41="",AB41=""),"",AB41/H41),"")</f>
        <v/>
      </c>
      <c r="AE41" s="51">
        <f>IFERROR(IF(OR(A41="",AB41="",AC41=""),"",AB41*AC41),"")</f>
        <v/>
      </c>
      <c r="AF41" s="28">
        <f>IFERROR(IF(OR(A41="",AB41=""),"",AB41-R41),"")</f>
        <v/>
      </c>
      <c r="AG41" s="29">
        <f>IFERROR(IF(OR(A41="",AB41=""),"",IF(AD41-T41&lt;0,T41-AD41,AD41-T41)),"")</f>
        <v/>
      </c>
      <c r="AH41" s="51">
        <f>IFERROR(IF(OR(A41="",AE41=""),"",AE41-Z41),"")</f>
        <v/>
      </c>
      <c r="AI41" s="25">
        <f>IFERROR(IF(A41="","",IF(G41&gt;F41,"Check out-of-order rooms",IF(K41&gt;H41,"On the books exceeds sellable rooms",IF(R41&gt;H41,"Forecast exceeds sellable rooms",IF(AND(A41&lt;TODAY(),AB41=""),"Actual results missing","OK"))))),"")</f>
        <v/>
      </c>
    </row>
    <row r="42">
      <c r="A42" s="24" t="n"/>
      <c r="B42" s="25">
        <f>IFERROR(IF(A42="","",VLOOKUP(MOD(A42,7),'Assumptions'!$E$16:$F$22,2,0)),"")</f>
        <v/>
      </c>
      <c r="C42" s="25">
        <f>IFERROR(IF(A42="","",IF(A42&lt;TODAY(),"Past",IF(A42=TODAY(),"Today","Future"))),"")</f>
        <v/>
      </c>
      <c r="D42" s="26" t="n"/>
      <c r="E42" s="26" t="n"/>
      <c r="F42" s="27" t="n"/>
      <c r="G42" s="27" t="n"/>
      <c r="H42" s="28">
        <f>IFERROR(IF(A42="","",MAX(0,F42-G42)),"")</f>
        <v/>
      </c>
      <c r="I42" s="27" t="n"/>
      <c r="J42" s="27" t="n"/>
      <c r="K42" s="28">
        <f>IFERROR(IF(A42="","",I42+J42),"")</f>
        <v/>
      </c>
      <c r="L42" s="29">
        <f>IFERROR(IF(A42="","",K42/H42),"")</f>
        <v/>
      </c>
      <c r="M42" s="29">
        <f>IFERROR(IF(A42="","",VLOOKUP(B42,'Assumptions'!$A$16:$B$22,2,0)),"")</f>
        <v/>
      </c>
      <c r="N42" s="27" t="n"/>
      <c r="O42" s="27" t="n"/>
      <c r="P42" s="27" t="n"/>
      <c r="Q42" s="28">
        <f>IFERROR(IF(A42="","",MIN(H42,MAX(0,K42,ROUND(H42*M42,0)+N42+O42))),"")</f>
        <v/>
      </c>
      <c r="R42" s="28">
        <f>IFERROR(IF(A42="","",MIN(H42,MAX(0,IF(P42="",Q42,P42)))),"")</f>
        <v/>
      </c>
      <c r="S42" s="28">
        <f>IFERROR(IF(A42="","",MAX(0,R42-K42)),"")</f>
        <v/>
      </c>
      <c r="T42" s="29">
        <f>IFERROR(IF(A42="","",R42/H42),"")</f>
        <v/>
      </c>
      <c r="U42" s="29">
        <f>IFERROR(IF(A42="","",'Assumptions'!$B$5),"")</f>
        <v/>
      </c>
      <c r="V42" s="29">
        <f>IFERROR(IF(A42="","",T42-U42),"")</f>
        <v/>
      </c>
      <c r="W42" s="50" t="n"/>
      <c r="X42" s="50" t="n"/>
      <c r="Y42" s="51">
        <f>IFERROR(IF(A42="","",IF(X42&lt;&gt;"",X42,IF(W42&lt;&gt;"",W42,'Assumptions'!$B$8))),"")</f>
        <v/>
      </c>
      <c r="Z42" s="51">
        <f>IFERROR(IF(A42="","",R42*Y42),"")</f>
        <v/>
      </c>
      <c r="AA42" s="51">
        <f>IFERROR(IF(A42="","",Z42/H42),"")</f>
        <v/>
      </c>
      <c r="AB42" s="32" t="n"/>
      <c r="AC42" s="52" t="n"/>
      <c r="AD42" s="29">
        <f>IFERROR(IF(OR(A42="",AB42=""),"",AB42/H42),"")</f>
        <v/>
      </c>
      <c r="AE42" s="51">
        <f>IFERROR(IF(OR(A42="",AB42="",AC42=""),"",AB42*AC42),"")</f>
        <v/>
      </c>
      <c r="AF42" s="28">
        <f>IFERROR(IF(OR(A42="",AB42=""),"",AB42-R42),"")</f>
        <v/>
      </c>
      <c r="AG42" s="29">
        <f>IFERROR(IF(OR(A42="",AB42=""),"",IF(AD42-T42&lt;0,T42-AD42,AD42-T42)),"")</f>
        <v/>
      </c>
      <c r="AH42" s="51">
        <f>IFERROR(IF(OR(A42="",AE42=""),"",AE42-Z42),"")</f>
        <v/>
      </c>
      <c r="AI42" s="25">
        <f>IFERROR(IF(A42="","",IF(G42&gt;F42,"Check out-of-order rooms",IF(K42&gt;H42,"On the books exceeds sellable rooms",IF(R42&gt;H42,"Forecast exceeds sellable rooms",IF(AND(A42&lt;TODAY(),AB42=""),"Actual results missing","OK"))))),"")</f>
        <v/>
      </c>
    </row>
    <row r="43">
      <c r="A43" s="24" t="n"/>
      <c r="B43" s="25">
        <f>IFERROR(IF(A43="","",VLOOKUP(MOD(A43,7),'Assumptions'!$E$16:$F$22,2,0)),"")</f>
        <v/>
      </c>
      <c r="C43" s="25">
        <f>IFERROR(IF(A43="","",IF(A43&lt;TODAY(),"Past",IF(A43=TODAY(),"Today","Future"))),"")</f>
        <v/>
      </c>
      <c r="D43" s="26" t="n"/>
      <c r="E43" s="26" t="n"/>
      <c r="F43" s="27" t="n"/>
      <c r="G43" s="27" t="n"/>
      <c r="H43" s="28">
        <f>IFERROR(IF(A43="","",MAX(0,F43-G43)),"")</f>
        <v/>
      </c>
      <c r="I43" s="27" t="n"/>
      <c r="J43" s="27" t="n"/>
      <c r="K43" s="28">
        <f>IFERROR(IF(A43="","",I43+J43),"")</f>
        <v/>
      </c>
      <c r="L43" s="29">
        <f>IFERROR(IF(A43="","",K43/H43),"")</f>
        <v/>
      </c>
      <c r="M43" s="29">
        <f>IFERROR(IF(A43="","",VLOOKUP(B43,'Assumptions'!$A$16:$B$22,2,0)),"")</f>
        <v/>
      </c>
      <c r="N43" s="27" t="n"/>
      <c r="O43" s="27" t="n"/>
      <c r="P43" s="27" t="n"/>
      <c r="Q43" s="28">
        <f>IFERROR(IF(A43="","",MIN(H43,MAX(0,K43,ROUND(H43*M43,0)+N43+O43))),"")</f>
        <v/>
      </c>
      <c r="R43" s="28">
        <f>IFERROR(IF(A43="","",MIN(H43,MAX(0,IF(P43="",Q43,P43)))),"")</f>
        <v/>
      </c>
      <c r="S43" s="28">
        <f>IFERROR(IF(A43="","",MAX(0,R43-K43)),"")</f>
        <v/>
      </c>
      <c r="T43" s="29">
        <f>IFERROR(IF(A43="","",R43/H43),"")</f>
        <v/>
      </c>
      <c r="U43" s="29">
        <f>IFERROR(IF(A43="","",'Assumptions'!$B$5),"")</f>
        <v/>
      </c>
      <c r="V43" s="29">
        <f>IFERROR(IF(A43="","",T43-U43),"")</f>
        <v/>
      </c>
      <c r="W43" s="50" t="n"/>
      <c r="X43" s="50" t="n"/>
      <c r="Y43" s="51">
        <f>IFERROR(IF(A43="","",IF(X43&lt;&gt;"",X43,IF(W43&lt;&gt;"",W43,'Assumptions'!$B$8))),"")</f>
        <v/>
      </c>
      <c r="Z43" s="51">
        <f>IFERROR(IF(A43="","",R43*Y43),"")</f>
        <v/>
      </c>
      <c r="AA43" s="51">
        <f>IFERROR(IF(A43="","",Z43/H43),"")</f>
        <v/>
      </c>
      <c r="AB43" s="32" t="n"/>
      <c r="AC43" s="52" t="n"/>
      <c r="AD43" s="29">
        <f>IFERROR(IF(OR(A43="",AB43=""),"",AB43/H43),"")</f>
        <v/>
      </c>
      <c r="AE43" s="51">
        <f>IFERROR(IF(OR(A43="",AB43="",AC43=""),"",AB43*AC43),"")</f>
        <v/>
      </c>
      <c r="AF43" s="28">
        <f>IFERROR(IF(OR(A43="",AB43=""),"",AB43-R43),"")</f>
        <v/>
      </c>
      <c r="AG43" s="29">
        <f>IFERROR(IF(OR(A43="",AB43=""),"",IF(AD43-T43&lt;0,T43-AD43,AD43-T43)),"")</f>
        <v/>
      </c>
      <c r="AH43" s="51">
        <f>IFERROR(IF(OR(A43="",AE43=""),"",AE43-Z43),"")</f>
        <v/>
      </c>
      <c r="AI43" s="25">
        <f>IFERROR(IF(A43="","",IF(G43&gt;F43,"Check out-of-order rooms",IF(K43&gt;H43,"On the books exceeds sellable rooms",IF(R43&gt;H43,"Forecast exceeds sellable rooms",IF(AND(A43&lt;TODAY(),AB43=""),"Actual results missing","OK"))))),"")</f>
        <v/>
      </c>
    </row>
    <row r="44">
      <c r="A44" s="24" t="n"/>
      <c r="B44" s="25">
        <f>IFERROR(IF(A44="","",VLOOKUP(MOD(A44,7),'Assumptions'!$E$16:$F$22,2,0)),"")</f>
        <v/>
      </c>
      <c r="C44" s="25">
        <f>IFERROR(IF(A44="","",IF(A44&lt;TODAY(),"Past",IF(A44=TODAY(),"Today","Future"))),"")</f>
        <v/>
      </c>
      <c r="D44" s="26" t="n"/>
      <c r="E44" s="26" t="n"/>
      <c r="F44" s="27" t="n"/>
      <c r="G44" s="27" t="n"/>
      <c r="H44" s="28">
        <f>IFERROR(IF(A44="","",MAX(0,F44-G44)),"")</f>
        <v/>
      </c>
      <c r="I44" s="27" t="n"/>
      <c r="J44" s="27" t="n"/>
      <c r="K44" s="28">
        <f>IFERROR(IF(A44="","",I44+J44),"")</f>
        <v/>
      </c>
      <c r="L44" s="29">
        <f>IFERROR(IF(A44="","",K44/H44),"")</f>
        <v/>
      </c>
      <c r="M44" s="29">
        <f>IFERROR(IF(A44="","",VLOOKUP(B44,'Assumptions'!$A$16:$B$22,2,0)),"")</f>
        <v/>
      </c>
      <c r="N44" s="27" t="n"/>
      <c r="O44" s="27" t="n"/>
      <c r="P44" s="27" t="n"/>
      <c r="Q44" s="28">
        <f>IFERROR(IF(A44="","",MIN(H44,MAX(0,K44,ROUND(H44*M44,0)+N44+O44))),"")</f>
        <v/>
      </c>
      <c r="R44" s="28">
        <f>IFERROR(IF(A44="","",MIN(H44,MAX(0,IF(P44="",Q44,P44)))),"")</f>
        <v/>
      </c>
      <c r="S44" s="28">
        <f>IFERROR(IF(A44="","",MAX(0,R44-K44)),"")</f>
        <v/>
      </c>
      <c r="T44" s="29">
        <f>IFERROR(IF(A44="","",R44/H44),"")</f>
        <v/>
      </c>
      <c r="U44" s="29">
        <f>IFERROR(IF(A44="","",'Assumptions'!$B$5),"")</f>
        <v/>
      </c>
      <c r="V44" s="29">
        <f>IFERROR(IF(A44="","",T44-U44),"")</f>
        <v/>
      </c>
      <c r="W44" s="50" t="n"/>
      <c r="X44" s="50" t="n"/>
      <c r="Y44" s="51">
        <f>IFERROR(IF(A44="","",IF(X44&lt;&gt;"",X44,IF(W44&lt;&gt;"",W44,'Assumptions'!$B$8))),"")</f>
        <v/>
      </c>
      <c r="Z44" s="51">
        <f>IFERROR(IF(A44="","",R44*Y44),"")</f>
        <v/>
      </c>
      <c r="AA44" s="51">
        <f>IFERROR(IF(A44="","",Z44/H44),"")</f>
        <v/>
      </c>
      <c r="AB44" s="32" t="n"/>
      <c r="AC44" s="52" t="n"/>
      <c r="AD44" s="29">
        <f>IFERROR(IF(OR(A44="",AB44=""),"",AB44/H44),"")</f>
        <v/>
      </c>
      <c r="AE44" s="51">
        <f>IFERROR(IF(OR(A44="",AB44="",AC44=""),"",AB44*AC44),"")</f>
        <v/>
      </c>
      <c r="AF44" s="28">
        <f>IFERROR(IF(OR(A44="",AB44=""),"",AB44-R44),"")</f>
        <v/>
      </c>
      <c r="AG44" s="29">
        <f>IFERROR(IF(OR(A44="",AB44=""),"",IF(AD44-T44&lt;0,T44-AD44,AD44-T44)),"")</f>
        <v/>
      </c>
      <c r="AH44" s="51">
        <f>IFERROR(IF(OR(A44="",AE44=""),"",AE44-Z44),"")</f>
        <v/>
      </c>
      <c r="AI44" s="25">
        <f>IFERROR(IF(A44="","",IF(G44&gt;F44,"Check out-of-order rooms",IF(K44&gt;H44,"On the books exceeds sellable rooms",IF(R44&gt;H44,"Forecast exceeds sellable rooms",IF(AND(A44&lt;TODAY(),AB44=""),"Actual results missing","OK"))))),"")</f>
        <v/>
      </c>
    </row>
    <row r="45">
      <c r="A45" s="24" t="n"/>
      <c r="B45" s="25">
        <f>IFERROR(IF(A45="","",VLOOKUP(MOD(A45,7),'Assumptions'!$E$16:$F$22,2,0)),"")</f>
        <v/>
      </c>
      <c r="C45" s="25">
        <f>IFERROR(IF(A45="","",IF(A45&lt;TODAY(),"Past",IF(A45=TODAY(),"Today","Future"))),"")</f>
        <v/>
      </c>
      <c r="D45" s="26" t="n"/>
      <c r="E45" s="26" t="n"/>
      <c r="F45" s="27" t="n"/>
      <c r="G45" s="27" t="n"/>
      <c r="H45" s="28">
        <f>IFERROR(IF(A45="","",MAX(0,F45-G45)),"")</f>
        <v/>
      </c>
      <c r="I45" s="27" t="n"/>
      <c r="J45" s="27" t="n"/>
      <c r="K45" s="28">
        <f>IFERROR(IF(A45="","",I45+J45),"")</f>
        <v/>
      </c>
      <c r="L45" s="29">
        <f>IFERROR(IF(A45="","",K45/H45),"")</f>
        <v/>
      </c>
      <c r="M45" s="29">
        <f>IFERROR(IF(A45="","",VLOOKUP(B45,'Assumptions'!$A$16:$B$22,2,0)),"")</f>
        <v/>
      </c>
      <c r="N45" s="27" t="n"/>
      <c r="O45" s="27" t="n"/>
      <c r="P45" s="27" t="n"/>
      <c r="Q45" s="28">
        <f>IFERROR(IF(A45="","",MIN(H45,MAX(0,K45,ROUND(H45*M45,0)+N45+O45))),"")</f>
        <v/>
      </c>
      <c r="R45" s="28">
        <f>IFERROR(IF(A45="","",MIN(H45,MAX(0,IF(P45="",Q45,P45)))),"")</f>
        <v/>
      </c>
      <c r="S45" s="28">
        <f>IFERROR(IF(A45="","",MAX(0,R45-K45)),"")</f>
        <v/>
      </c>
      <c r="T45" s="29">
        <f>IFERROR(IF(A45="","",R45/H45),"")</f>
        <v/>
      </c>
      <c r="U45" s="29">
        <f>IFERROR(IF(A45="","",'Assumptions'!$B$5),"")</f>
        <v/>
      </c>
      <c r="V45" s="29">
        <f>IFERROR(IF(A45="","",T45-U45),"")</f>
        <v/>
      </c>
      <c r="W45" s="50" t="n"/>
      <c r="X45" s="50" t="n"/>
      <c r="Y45" s="51">
        <f>IFERROR(IF(A45="","",IF(X45&lt;&gt;"",X45,IF(W45&lt;&gt;"",W45,'Assumptions'!$B$8))),"")</f>
        <v/>
      </c>
      <c r="Z45" s="51">
        <f>IFERROR(IF(A45="","",R45*Y45),"")</f>
        <v/>
      </c>
      <c r="AA45" s="51">
        <f>IFERROR(IF(A45="","",Z45/H45),"")</f>
        <v/>
      </c>
      <c r="AB45" s="32" t="n"/>
      <c r="AC45" s="52" t="n"/>
      <c r="AD45" s="29">
        <f>IFERROR(IF(OR(A45="",AB45=""),"",AB45/H45),"")</f>
        <v/>
      </c>
      <c r="AE45" s="51">
        <f>IFERROR(IF(OR(A45="",AB45="",AC45=""),"",AB45*AC45),"")</f>
        <v/>
      </c>
      <c r="AF45" s="28">
        <f>IFERROR(IF(OR(A45="",AB45=""),"",AB45-R45),"")</f>
        <v/>
      </c>
      <c r="AG45" s="29">
        <f>IFERROR(IF(OR(A45="",AB45=""),"",IF(AD45-T45&lt;0,T45-AD45,AD45-T45)),"")</f>
        <v/>
      </c>
      <c r="AH45" s="51">
        <f>IFERROR(IF(OR(A45="",AE45=""),"",AE45-Z45),"")</f>
        <v/>
      </c>
      <c r="AI45" s="25">
        <f>IFERROR(IF(A45="","",IF(G45&gt;F45,"Check out-of-order rooms",IF(K45&gt;H45,"On the books exceeds sellable rooms",IF(R45&gt;H45,"Forecast exceeds sellable rooms",IF(AND(A45&lt;TODAY(),AB45=""),"Actual results missing","OK"))))),"")</f>
        <v/>
      </c>
    </row>
    <row r="46">
      <c r="A46" s="24" t="n"/>
      <c r="B46" s="25">
        <f>IFERROR(IF(A46="","",VLOOKUP(MOD(A46,7),'Assumptions'!$E$16:$F$22,2,0)),"")</f>
        <v/>
      </c>
      <c r="C46" s="25">
        <f>IFERROR(IF(A46="","",IF(A46&lt;TODAY(),"Past",IF(A46=TODAY(),"Today","Future"))),"")</f>
        <v/>
      </c>
      <c r="D46" s="26" t="n"/>
      <c r="E46" s="26" t="n"/>
      <c r="F46" s="27" t="n"/>
      <c r="G46" s="27" t="n"/>
      <c r="H46" s="28">
        <f>IFERROR(IF(A46="","",MAX(0,F46-G46)),"")</f>
        <v/>
      </c>
      <c r="I46" s="27" t="n"/>
      <c r="J46" s="27" t="n"/>
      <c r="K46" s="28">
        <f>IFERROR(IF(A46="","",I46+J46),"")</f>
        <v/>
      </c>
      <c r="L46" s="29">
        <f>IFERROR(IF(A46="","",K46/H46),"")</f>
        <v/>
      </c>
      <c r="M46" s="29">
        <f>IFERROR(IF(A46="","",VLOOKUP(B46,'Assumptions'!$A$16:$B$22,2,0)),"")</f>
        <v/>
      </c>
      <c r="N46" s="27" t="n"/>
      <c r="O46" s="27" t="n"/>
      <c r="P46" s="27" t="n"/>
      <c r="Q46" s="28">
        <f>IFERROR(IF(A46="","",MIN(H46,MAX(0,K46,ROUND(H46*M46,0)+N46+O46))),"")</f>
        <v/>
      </c>
      <c r="R46" s="28">
        <f>IFERROR(IF(A46="","",MIN(H46,MAX(0,IF(P46="",Q46,P46)))),"")</f>
        <v/>
      </c>
      <c r="S46" s="28">
        <f>IFERROR(IF(A46="","",MAX(0,R46-K46)),"")</f>
        <v/>
      </c>
      <c r="T46" s="29">
        <f>IFERROR(IF(A46="","",R46/H46),"")</f>
        <v/>
      </c>
      <c r="U46" s="29">
        <f>IFERROR(IF(A46="","",'Assumptions'!$B$5),"")</f>
        <v/>
      </c>
      <c r="V46" s="29">
        <f>IFERROR(IF(A46="","",T46-U46),"")</f>
        <v/>
      </c>
      <c r="W46" s="50" t="n"/>
      <c r="X46" s="50" t="n"/>
      <c r="Y46" s="51">
        <f>IFERROR(IF(A46="","",IF(X46&lt;&gt;"",X46,IF(W46&lt;&gt;"",W46,'Assumptions'!$B$8))),"")</f>
        <v/>
      </c>
      <c r="Z46" s="51">
        <f>IFERROR(IF(A46="","",R46*Y46),"")</f>
        <v/>
      </c>
      <c r="AA46" s="51">
        <f>IFERROR(IF(A46="","",Z46/H46),"")</f>
        <v/>
      </c>
      <c r="AB46" s="32" t="n"/>
      <c r="AC46" s="52" t="n"/>
      <c r="AD46" s="29">
        <f>IFERROR(IF(OR(A46="",AB46=""),"",AB46/H46),"")</f>
        <v/>
      </c>
      <c r="AE46" s="51">
        <f>IFERROR(IF(OR(A46="",AB46="",AC46=""),"",AB46*AC46),"")</f>
        <v/>
      </c>
      <c r="AF46" s="28">
        <f>IFERROR(IF(OR(A46="",AB46=""),"",AB46-R46),"")</f>
        <v/>
      </c>
      <c r="AG46" s="29">
        <f>IFERROR(IF(OR(A46="",AB46=""),"",IF(AD46-T46&lt;0,T46-AD46,AD46-T46)),"")</f>
        <v/>
      </c>
      <c r="AH46" s="51">
        <f>IFERROR(IF(OR(A46="",AE46=""),"",AE46-Z46),"")</f>
        <v/>
      </c>
      <c r="AI46" s="25">
        <f>IFERROR(IF(A46="","",IF(G46&gt;F46,"Check out-of-order rooms",IF(K46&gt;H46,"On the books exceeds sellable rooms",IF(R46&gt;H46,"Forecast exceeds sellable rooms",IF(AND(A46&lt;TODAY(),AB46=""),"Actual results missing","OK"))))),"")</f>
        <v/>
      </c>
    </row>
    <row r="47">
      <c r="A47" s="24" t="n"/>
      <c r="B47" s="25">
        <f>IFERROR(IF(A47="","",VLOOKUP(MOD(A47,7),'Assumptions'!$E$16:$F$22,2,0)),"")</f>
        <v/>
      </c>
      <c r="C47" s="25">
        <f>IFERROR(IF(A47="","",IF(A47&lt;TODAY(),"Past",IF(A47=TODAY(),"Today","Future"))),"")</f>
        <v/>
      </c>
      <c r="D47" s="26" t="n"/>
      <c r="E47" s="26" t="n"/>
      <c r="F47" s="27" t="n"/>
      <c r="G47" s="27" t="n"/>
      <c r="H47" s="28">
        <f>IFERROR(IF(A47="","",MAX(0,F47-G47)),"")</f>
        <v/>
      </c>
      <c r="I47" s="27" t="n"/>
      <c r="J47" s="27" t="n"/>
      <c r="K47" s="28">
        <f>IFERROR(IF(A47="","",I47+J47),"")</f>
        <v/>
      </c>
      <c r="L47" s="29">
        <f>IFERROR(IF(A47="","",K47/H47),"")</f>
        <v/>
      </c>
      <c r="M47" s="29">
        <f>IFERROR(IF(A47="","",VLOOKUP(B47,'Assumptions'!$A$16:$B$22,2,0)),"")</f>
        <v/>
      </c>
      <c r="N47" s="27" t="n"/>
      <c r="O47" s="27" t="n"/>
      <c r="P47" s="27" t="n"/>
      <c r="Q47" s="28">
        <f>IFERROR(IF(A47="","",MIN(H47,MAX(0,K47,ROUND(H47*M47,0)+N47+O47))),"")</f>
        <v/>
      </c>
      <c r="R47" s="28">
        <f>IFERROR(IF(A47="","",MIN(H47,MAX(0,IF(P47="",Q47,P47)))),"")</f>
        <v/>
      </c>
      <c r="S47" s="28">
        <f>IFERROR(IF(A47="","",MAX(0,R47-K47)),"")</f>
        <v/>
      </c>
      <c r="T47" s="29">
        <f>IFERROR(IF(A47="","",R47/H47),"")</f>
        <v/>
      </c>
      <c r="U47" s="29">
        <f>IFERROR(IF(A47="","",'Assumptions'!$B$5),"")</f>
        <v/>
      </c>
      <c r="V47" s="29">
        <f>IFERROR(IF(A47="","",T47-U47),"")</f>
        <v/>
      </c>
      <c r="W47" s="50" t="n"/>
      <c r="X47" s="50" t="n"/>
      <c r="Y47" s="51">
        <f>IFERROR(IF(A47="","",IF(X47&lt;&gt;"",X47,IF(W47&lt;&gt;"",W47,'Assumptions'!$B$8))),"")</f>
        <v/>
      </c>
      <c r="Z47" s="51">
        <f>IFERROR(IF(A47="","",R47*Y47),"")</f>
        <v/>
      </c>
      <c r="AA47" s="51">
        <f>IFERROR(IF(A47="","",Z47/H47),"")</f>
        <v/>
      </c>
      <c r="AB47" s="32" t="n"/>
      <c r="AC47" s="52" t="n"/>
      <c r="AD47" s="29">
        <f>IFERROR(IF(OR(A47="",AB47=""),"",AB47/H47),"")</f>
        <v/>
      </c>
      <c r="AE47" s="51">
        <f>IFERROR(IF(OR(A47="",AB47="",AC47=""),"",AB47*AC47),"")</f>
        <v/>
      </c>
      <c r="AF47" s="28">
        <f>IFERROR(IF(OR(A47="",AB47=""),"",AB47-R47),"")</f>
        <v/>
      </c>
      <c r="AG47" s="29">
        <f>IFERROR(IF(OR(A47="",AB47=""),"",IF(AD47-T47&lt;0,T47-AD47,AD47-T47)),"")</f>
        <v/>
      </c>
      <c r="AH47" s="51">
        <f>IFERROR(IF(OR(A47="",AE47=""),"",AE47-Z47),"")</f>
        <v/>
      </c>
      <c r="AI47" s="25">
        <f>IFERROR(IF(A47="","",IF(G47&gt;F47,"Check out-of-order rooms",IF(K47&gt;H47,"On the books exceeds sellable rooms",IF(R47&gt;H47,"Forecast exceeds sellable rooms",IF(AND(A47&lt;TODAY(),AB47=""),"Actual results missing","OK"))))),"")</f>
        <v/>
      </c>
    </row>
    <row r="48">
      <c r="A48" s="24" t="n"/>
      <c r="B48" s="25">
        <f>IFERROR(IF(A48="","",VLOOKUP(MOD(A48,7),'Assumptions'!$E$16:$F$22,2,0)),"")</f>
        <v/>
      </c>
      <c r="C48" s="25">
        <f>IFERROR(IF(A48="","",IF(A48&lt;TODAY(),"Past",IF(A48=TODAY(),"Today","Future"))),"")</f>
        <v/>
      </c>
      <c r="D48" s="26" t="n"/>
      <c r="E48" s="26" t="n"/>
      <c r="F48" s="27" t="n"/>
      <c r="G48" s="27" t="n"/>
      <c r="H48" s="28">
        <f>IFERROR(IF(A48="","",MAX(0,F48-G48)),"")</f>
        <v/>
      </c>
      <c r="I48" s="27" t="n"/>
      <c r="J48" s="27" t="n"/>
      <c r="K48" s="28">
        <f>IFERROR(IF(A48="","",I48+J48),"")</f>
        <v/>
      </c>
      <c r="L48" s="29">
        <f>IFERROR(IF(A48="","",K48/H48),"")</f>
        <v/>
      </c>
      <c r="M48" s="29">
        <f>IFERROR(IF(A48="","",VLOOKUP(B48,'Assumptions'!$A$16:$B$22,2,0)),"")</f>
        <v/>
      </c>
      <c r="N48" s="27" t="n"/>
      <c r="O48" s="27" t="n"/>
      <c r="P48" s="27" t="n"/>
      <c r="Q48" s="28">
        <f>IFERROR(IF(A48="","",MIN(H48,MAX(0,K48,ROUND(H48*M48,0)+N48+O48))),"")</f>
        <v/>
      </c>
      <c r="R48" s="28">
        <f>IFERROR(IF(A48="","",MIN(H48,MAX(0,IF(P48="",Q48,P48)))),"")</f>
        <v/>
      </c>
      <c r="S48" s="28">
        <f>IFERROR(IF(A48="","",MAX(0,R48-K48)),"")</f>
        <v/>
      </c>
      <c r="T48" s="29">
        <f>IFERROR(IF(A48="","",R48/H48),"")</f>
        <v/>
      </c>
      <c r="U48" s="29">
        <f>IFERROR(IF(A48="","",'Assumptions'!$B$5),"")</f>
        <v/>
      </c>
      <c r="V48" s="29">
        <f>IFERROR(IF(A48="","",T48-U48),"")</f>
        <v/>
      </c>
      <c r="W48" s="50" t="n"/>
      <c r="X48" s="50" t="n"/>
      <c r="Y48" s="51">
        <f>IFERROR(IF(A48="","",IF(X48&lt;&gt;"",X48,IF(W48&lt;&gt;"",W48,'Assumptions'!$B$8))),"")</f>
        <v/>
      </c>
      <c r="Z48" s="51">
        <f>IFERROR(IF(A48="","",R48*Y48),"")</f>
        <v/>
      </c>
      <c r="AA48" s="51">
        <f>IFERROR(IF(A48="","",Z48/H48),"")</f>
        <v/>
      </c>
      <c r="AB48" s="32" t="n"/>
      <c r="AC48" s="52" t="n"/>
      <c r="AD48" s="29">
        <f>IFERROR(IF(OR(A48="",AB48=""),"",AB48/H48),"")</f>
        <v/>
      </c>
      <c r="AE48" s="51">
        <f>IFERROR(IF(OR(A48="",AB48="",AC48=""),"",AB48*AC48),"")</f>
        <v/>
      </c>
      <c r="AF48" s="28">
        <f>IFERROR(IF(OR(A48="",AB48=""),"",AB48-R48),"")</f>
        <v/>
      </c>
      <c r="AG48" s="29">
        <f>IFERROR(IF(OR(A48="",AB48=""),"",IF(AD48-T48&lt;0,T48-AD48,AD48-T48)),"")</f>
        <v/>
      </c>
      <c r="AH48" s="51">
        <f>IFERROR(IF(OR(A48="",AE48=""),"",AE48-Z48),"")</f>
        <v/>
      </c>
      <c r="AI48" s="25">
        <f>IFERROR(IF(A48="","",IF(G48&gt;F48,"Check out-of-order rooms",IF(K48&gt;H48,"On the books exceeds sellable rooms",IF(R48&gt;H48,"Forecast exceeds sellable rooms",IF(AND(A48&lt;TODAY(),AB48=""),"Actual results missing","OK"))))),"")</f>
        <v/>
      </c>
    </row>
    <row r="49">
      <c r="A49" s="24" t="n"/>
      <c r="B49" s="25">
        <f>IFERROR(IF(A49="","",VLOOKUP(MOD(A49,7),'Assumptions'!$E$16:$F$22,2,0)),"")</f>
        <v/>
      </c>
      <c r="C49" s="25">
        <f>IFERROR(IF(A49="","",IF(A49&lt;TODAY(),"Past",IF(A49=TODAY(),"Today","Future"))),"")</f>
        <v/>
      </c>
      <c r="D49" s="26" t="n"/>
      <c r="E49" s="26" t="n"/>
      <c r="F49" s="27" t="n"/>
      <c r="G49" s="27" t="n"/>
      <c r="H49" s="28">
        <f>IFERROR(IF(A49="","",MAX(0,F49-G49)),"")</f>
        <v/>
      </c>
      <c r="I49" s="27" t="n"/>
      <c r="J49" s="27" t="n"/>
      <c r="K49" s="28">
        <f>IFERROR(IF(A49="","",I49+J49),"")</f>
        <v/>
      </c>
      <c r="L49" s="29">
        <f>IFERROR(IF(A49="","",K49/H49),"")</f>
        <v/>
      </c>
      <c r="M49" s="29">
        <f>IFERROR(IF(A49="","",VLOOKUP(B49,'Assumptions'!$A$16:$B$22,2,0)),"")</f>
        <v/>
      </c>
      <c r="N49" s="27" t="n"/>
      <c r="O49" s="27" t="n"/>
      <c r="P49" s="27" t="n"/>
      <c r="Q49" s="28">
        <f>IFERROR(IF(A49="","",MIN(H49,MAX(0,K49,ROUND(H49*M49,0)+N49+O49))),"")</f>
        <v/>
      </c>
      <c r="R49" s="28">
        <f>IFERROR(IF(A49="","",MIN(H49,MAX(0,IF(P49="",Q49,P49)))),"")</f>
        <v/>
      </c>
      <c r="S49" s="28">
        <f>IFERROR(IF(A49="","",MAX(0,R49-K49)),"")</f>
        <v/>
      </c>
      <c r="T49" s="29">
        <f>IFERROR(IF(A49="","",R49/H49),"")</f>
        <v/>
      </c>
      <c r="U49" s="29">
        <f>IFERROR(IF(A49="","",'Assumptions'!$B$5),"")</f>
        <v/>
      </c>
      <c r="V49" s="29">
        <f>IFERROR(IF(A49="","",T49-U49),"")</f>
        <v/>
      </c>
      <c r="W49" s="50" t="n"/>
      <c r="X49" s="50" t="n"/>
      <c r="Y49" s="51">
        <f>IFERROR(IF(A49="","",IF(X49&lt;&gt;"",X49,IF(W49&lt;&gt;"",W49,'Assumptions'!$B$8))),"")</f>
        <v/>
      </c>
      <c r="Z49" s="51">
        <f>IFERROR(IF(A49="","",R49*Y49),"")</f>
        <v/>
      </c>
      <c r="AA49" s="51">
        <f>IFERROR(IF(A49="","",Z49/H49),"")</f>
        <v/>
      </c>
      <c r="AB49" s="32" t="n"/>
      <c r="AC49" s="52" t="n"/>
      <c r="AD49" s="29">
        <f>IFERROR(IF(OR(A49="",AB49=""),"",AB49/H49),"")</f>
        <v/>
      </c>
      <c r="AE49" s="51">
        <f>IFERROR(IF(OR(A49="",AB49="",AC49=""),"",AB49*AC49),"")</f>
        <v/>
      </c>
      <c r="AF49" s="28">
        <f>IFERROR(IF(OR(A49="",AB49=""),"",AB49-R49),"")</f>
        <v/>
      </c>
      <c r="AG49" s="29">
        <f>IFERROR(IF(OR(A49="",AB49=""),"",IF(AD49-T49&lt;0,T49-AD49,AD49-T49)),"")</f>
        <v/>
      </c>
      <c r="AH49" s="51">
        <f>IFERROR(IF(OR(A49="",AE49=""),"",AE49-Z49),"")</f>
        <v/>
      </c>
      <c r="AI49" s="25">
        <f>IFERROR(IF(A49="","",IF(G49&gt;F49,"Check out-of-order rooms",IF(K49&gt;H49,"On the books exceeds sellable rooms",IF(R49&gt;H49,"Forecast exceeds sellable rooms",IF(AND(A49&lt;TODAY(),AB49=""),"Actual results missing","OK"))))),"")</f>
        <v/>
      </c>
    </row>
    <row r="50">
      <c r="A50" s="24" t="n"/>
      <c r="B50" s="25">
        <f>IFERROR(IF(A50="","",VLOOKUP(MOD(A50,7),'Assumptions'!$E$16:$F$22,2,0)),"")</f>
        <v/>
      </c>
      <c r="C50" s="25">
        <f>IFERROR(IF(A50="","",IF(A50&lt;TODAY(),"Past",IF(A50=TODAY(),"Today","Future"))),"")</f>
        <v/>
      </c>
      <c r="D50" s="26" t="n"/>
      <c r="E50" s="26" t="n"/>
      <c r="F50" s="27" t="n"/>
      <c r="G50" s="27" t="n"/>
      <c r="H50" s="28">
        <f>IFERROR(IF(A50="","",MAX(0,F50-G50)),"")</f>
        <v/>
      </c>
      <c r="I50" s="27" t="n"/>
      <c r="J50" s="27" t="n"/>
      <c r="K50" s="28">
        <f>IFERROR(IF(A50="","",I50+J50),"")</f>
        <v/>
      </c>
      <c r="L50" s="29">
        <f>IFERROR(IF(A50="","",K50/H50),"")</f>
        <v/>
      </c>
      <c r="M50" s="29">
        <f>IFERROR(IF(A50="","",VLOOKUP(B50,'Assumptions'!$A$16:$B$22,2,0)),"")</f>
        <v/>
      </c>
      <c r="N50" s="27" t="n"/>
      <c r="O50" s="27" t="n"/>
      <c r="P50" s="27" t="n"/>
      <c r="Q50" s="28">
        <f>IFERROR(IF(A50="","",MIN(H50,MAX(0,K50,ROUND(H50*M50,0)+N50+O50))),"")</f>
        <v/>
      </c>
      <c r="R50" s="28">
        <f>IFERROR(IF(A50="","",MIN(H50,MAX(0,IF(P50="",Q50,P50)))),"")</f>
        <v/>
      </c>
      <c r="S50" s="28">
        <f>IFERROR(IF(A50="","",MAX(0,R50-K50)),"")</f>
        <v/>
      </c>
      <c r="T50" s="29">
        <f>IFERROR(IF(A50="","",R50/H50),"")</f>
        <v/>
      </c>
      <c r="U50" s="29">
        <f>IFERROR(IF(A50="","",'Assumptions'!$B$5),"")</f>
        <v/>
      </c>
      <c r="V50" s="29">
        <f>IFERROR(IF(A50="","",T50-U50),"")</f>
        <v/>
      </c>
      <c r="W50" s="50" t="n"/>
      <c r="X50" s="50" t="n"/>
      <c r="Y50" s="51">
        <f>IFERROR(IF(A50="","",IF(X50&lt;&gt;"",X50,IF(W50&lt;&gt;"",W50,'Assumptions'!$B$8))),"")</f>
        <v/>
      </c>
      <c r="Z50" s="51">
        <f>IFERROR(IF(A50="","",R50*Y50),"")</f>
        <v/>
      </c>
      <c r="AA50" s="51">
        <f>IFERROR(IF(A50="","",Z50/H50),"")</f>
        <v/>
      </c>
      <c r="AB50" s="32" t="n"/>
      <c r="AC50" s="52" t="n"/>
      <c r="AD50" s="29">
        <f>IFERROR(IF(OR(A50="",AB50=""),"",AB50/H50),"")</f>
        <v/>
      </c>
      <c r="AE50" s="51">
        <f>IFERROR(IF(OR(A50="",AB50="",AC50=""),"",AB50*AC50),"")</f>
        <v/>
      </c>
      <c r="AF50" s="28">
        <f>IFERROR(IF(OR(A50="",AB50=""),"",AB50-R50),"")</f>
        <v/>
      </c>
      <c r="AG50" s="29">
        <f>IFERROR(IF(OR(A50="",AB50=""),"",IF(AD50-T50&lt;0,T50-AD50,AD50-T50)),"")</f>
        <v/>
      </c>
      <c r="AH50" s="51">
        <f>IFERROR(IF(OR(A50="",AE50=""),"",AE50-Z50),"")</f>
        <v/>
      </c>
      <c r="AI50" s="25">
        <f>IFERROR(IF(A50="","",IF(G50&gt;F50,"Check out-of-order rooms",IF(K50&gt;H50,"On the books exceeds sellable rooms",IF(R50&gt;H50,"Forecast exceeds sellable rooms",IF(AND(A50&lt;TODAY(),AB50=""),"Actual results missing","OK"))))),"")</f>
        <v/>
      </c>
    </row>
    <row r="51">
      <c r="A51" s="24" t="n"/>
      <c r="B51" s="25">
        <f>IFERROR(IF(A51="","",VLOOKUP(MOD(A51,7),'Assumptions'!$E$16:$F$22,2,0)),"")</f>
        <v/>
      </c>
      <c r="C51" s="25">
        <f>IFERROR(IF(A51="","",IF(A51&lt;TODAY(),"Past",IF(A51=TODAY(),"Today","Future"))),"")</f>
        <v/>
      </c>
      <c r="D51" s="26" t="n"/>
      <c r="E51" s="26" t="n"/>
      <c r="F51" s="27" t="n"/>
      <c r="G51" s="27" t="n"/>
      <c r="H51" s="28">
        <f>IFERROR(IF(A51="","",MAX(0,F51-G51)),"")</f>
        <v/>
      </c>
      <c r="I51" s="27" t="n"/>
      <c r="J51" s="27" t="n"/>
      <c r="K51" s="28">
        <f>IFERROR(IF(A51="","",I51+J51),"")</f>
        <v/>
      </c>
      <c r="L51" s="29">
        <f>IFERROR(IF(A51="","",K51/H51),"")</f>
        <v/>
      </c>
      <c r="M51" s="29">
        <f>IFERROR(IF(A51="","",VLOOKUP(B51,'Assumptions'!$A$16:$B$22,2,0)),"")</f>
        <v/>
      </c>
      <c r="N51" s="27" t="n"/>
      <c r="O51" s="27" t="n"/>
      <c r="P51" s="27" t="n"/>
      <c r="Q51" s="28">
        <f>IFERROR(IF(A51="","",MIN(H51,MAX(0,K51,ROUND(H51*M51,0)+N51+O51))),"")</f>
        <v/>
      </c>
      <c r="R51" s="28">
        <f>IFERROR(IF(A51="","",MIN(H51,MAX(0,IF(P51="",Q51,P51)))),"")</f>
        <v/>
      </c>
      <c r="S51" s="28">
        <f>IFERROR(IF(A51="","",MAX(0,R51-K51)),"")</f>
        <v/>
      </c>
      <c r="T51" s="29">
        <f>IFERROR(IF(A51="","",R51/H51),"")</f>
        <v/>
      </c>
      <c r="U51" s="29">
        <f>IFERROR(IF(A51="","",'Assumptions'!$B$5),"")</f>
        <v/>
      </c>
      <c r="V51" s="29">
        <f>IFERROR(IF(A51="","",T51-U51),"")</f>
        <v/>
      </c>
      <c r="W51" s="50" t="n"/>
      <c r="X51" s="50" t="n"/>
      <c r="Y51" s="51">
        <f>IFERROR(IF(A51="","",IF(X51&lt;&gt;"",X51,IF(W51&lt;&gt;"",W51,'Assumptions'!$B$8))),"")</f>
        <v/>
      </c>
      <c r="Z51" s="51">
        <f>IFERROR(IF(A51="","",R51*Y51),"")</f>
        <v/>
      </c>
      <c r="AA51" s="51">
        <f>IFERROR(IF(A51="","",Z51/H51),"")</f>
        <v/>
      </c>
      <c r="AB51" s="32" t="n"/>
      <c r="AC51" s="52" t="n"/>
      <c r="AD51" s="29">
        <f>IFERROR(IF(OR(A51="",AB51=""),"",AB51/H51),"")</f>
        <v/>
      </c>
      <c r="AE51" s="51">
        <f>IFERROR(IF(OR(A51="",AB51="",AC51=""),"",AB51*AC51),"")</f>
        <v/>
      </c>
      <c r="AF51" s="28">
        <f>IFERROR(IF(OR(A51="",AB51=""),"",AB51-R51),"")</f>
        <v/>
      </c>
      <c r="AG51" s="29">
        <f>IFERROR(IF(OR(A51="",AB51=""),"",IF(AD51-T51&lt;0,T51-AD51,AD51-T51)),"")</f>
        <v/>
      </c>
      <c r="AH51" s="51">
        <f>IFERROR(IF(OR(A51="",AE51=""),"",AE51-Z51),"")</f>
        <v/>
      </c>
      <c r="AI51" s="25">
        <f>IFERROR(IF(A51="","",IF(G51&gt;F51,"Check out-of-order rooms",IF(K51&gt;H51,"On the books exceeds sellable rooms",IF(R51&gt;H51,"Forecast exceeds sellable rooms",IF(AND(A51&lt;TODAY(),AB51=""),"Actual results missing","OK"))))),"")</f>
        <v/>
      </c>
    </row>
    <row r="52">
      <c r="A52" s="24" t="n"/>
      <c r="B52" s="25">
        <f>IFERROR(IF(A52="","",VLOOKUP(MOD(A52,7),'Assumptions'!$E$16:$F$22,2,0)),"")</f>
        <v/>
      </c>
      <c r="C52" s="25">
        <f>IFERROR(IF(A52="","",IF(A52&lt;TODAY(),"Past",IF(A52=TODAY(),"Today","Future"))),"")</f>
        <v/>
      </c>
      <c r="D52" s="26" t="n"/>
      <c r="E52" s="26" t="n"/>
      <c r="F52" s="27" t="n"/>
      <c r="G52" s="27" t="n"/>
      <c r="H52" s="28">
        <f>IFERROR(IF(A52="","",MAX(0,F52-G52)),"")</f>
        <v/>
      </c>
      <c r="I52" s="27" t="n"/>
      <c r="J52" s="27" t="n"/>
      <c r="K52" s="28">
        <f>IFERROR(IF(A52="","",I52+J52),"")</f>
        <v/>
      </c>
      <c r="L52" s="29">
        <f>IFERROR(IF(A52="","",K52/H52),"")</f>
        <v/>
      </c>
      <c r="M52" s="29">
        <f>IFERROR(IF(A52="","",VLOOKUP(B52,'Assumptions'!$A$16:$B$22,2,0)),"")</f>
        <v/>
      </c>
      <c r="N52" s="27" t="n"/>
      <c r="O52" s="27" t="n"/>
      <c r="P52" s="27" t="n"/>
      <c r="Q52" s="28">
        <f>IFERROR(IF(A52="","",MIN(H52,MAX(0,K52,ROUND(H52*M52,0)+N52+O52))),"")</f>
        <v/>
      </c>
      <c r="R52" s="28">
        <f>IFERROR(IF(A52="","",MIN(H52,MAX(0,IF(P52="",Q52,P52)))),"")</f>
        <v/>
      </c>
      <c r="S52" s="28">
        <f>IFERROR(IF(A52="","",MAX(0,R52-K52)),"")</f>
        <v/>
      </c>
      <c r="T52" s="29">
        <f>IFERROR(IF(A52="","",R52/H52),"")</f>
        <v/>
      </c>
      <c r="U52" s="29">
        <f>IFERROR(IF(A52="","",'Assumptions'!$B$5),"")</f>
        <v/>
      </c>
      <c r="V52" s="29">
        <f>IFERROR(IF(A52="","",T52-U52),"")</f>
        <v/>
      </c>
      <c r="W52" s="50" t="n"/>
      <c r="X52" s="50" t="n"/>
      <c r="Y52" s="51">
        <f>IFERROR(IF(A52="","",IF(X52&lt;&gt;"",X52,IF(W52&lt;&gt;"",W52,'Assumptions'!$B$8))),"")</f>
        <v/>
      </c>
      <c r="Z52" s="51">
        <f>IFERROR(IF(A52="","",R52*Y52),"")</f>
        <v/>
      </c>
      <c r="AA52" s="51">
        <f>IFERROR(IF(A52="","",Z52/H52),"")</f>
        <v/>
      </c>
      <c r="AB52" s="32" t="n"/>
      <c r="AC52" s="52" t="n"/>
      <c r="AD52" s="29">
        <f>IFERROR(IF(OR(A52="",AB52=""),"",AB52/H52),"")</f>
        <v/>
      </c>
      <c r="AE52" s="51">
        <f>IFERROR(IF(OR(A52="",AB52="",AC52=""),"",AB52*AC52),"")</f>
        <v/>
      </c>
      <c r="AF52" s="28">
        <f>IFERROR(IF(OR(A52="",AB52=""),"",AB52-R52),"")</f>
        <v/>
      </c>
      <c r="AG52" s="29">
        <f>IFERROR(IF(OR(A52="",AB52=""),"",IF(AD52-T52&lt;0,T52-AD52,AD52-T52)),"")</f>
        <v/>
      </c>
      <c r="AH52" s="51">
        <f>IFERROR(IF(OR(A52="",AE52=""),"",AE52-Z52),"")</f>
        <v/>
      </c>
      <c r="AI52" s="25">
        <f>IFERROR(IF(A52="","",IF(G52&gt;F52,"Check out-of-order rooms",IF(K52&gt;H52,"On the books exceeds sellable rooms",IF(R52&gt;H52,"Forecast exceeds sellable rooms",IF(AND(A52&lt;TODAY(),AB52=""),"Actual results missing","OK"))))),"")</f>
        <v/>
      </c>
    </row>
    <row r="53">
      <c r="A53" s="24" t="n"/>
      <c r="B53" s="25">
        <f>IFERROR(IF(A53="","",VLOOKUP(MOD(A53,7),'Assumptions'!$E$16:$F$22,2,0)),"")</f>
        <v/>
      </c>
      <c r="C53" s="25">
        <f>IFERROR(IF(A53="","",IF(A53&lt;TODAY(),"Past",IF(A53=TODAY(),"Today","Future"))),"")</f>
        <v/>
      </c>
      <c r="D53" s="26" t="n"/>
      <c r="E53" s="26" t="n"/>
      <c r="F53" s="27" t="n"/>
      <c r="G53" s="27" t="n"/>
      <c r="H53" s="28">
        <f>IFERROR(IF(A53="","",MAX(0,F53-G53)),"")</f>
        <v/>
      </c>
      <c r="I53" s="27" t="n"/>
      <c r="J53" s="27" t="n"/>
      <c r="K53" s="28">
        <f>IFERROR(IF(A53="","",I53+J53),"")</f>
        <v/>
      </c>
      <c r="L53" s="29">
        <f>IFERROR(IF(A53="","",K53/H53),"")</f>
        <v/>
      </c>
      <c r="M53" s="29">
        <f>IFERROR(IF(A53="","",VLOOKUP(B53,'Assumptions'!$A$16:$B$22,2,0)),"")</f>
        <v/>
      </c>
      <c r="N53" s="27" t="n"/>
      <c r="O53" s="27" t="n"/>
      <c r="P53" s="27" t="n"/>
      <c r="Q53" s="28">
        <f>IFERROR(IF(A53="","",MIN(H53,MAX(0,K53,ROUND(H53*M53,0)+N53+O53))),"")</f>
        <v/>
      </c>
      <c r="R53" s="28">
        <f>IFERROR(IF(A53="","",MIN(H53,MAX(0,IF(P53="",Q53,P53)))),"")</f>
        <v/>
      </c>
      <c r="S53" s="28">
        <f>IFERROR(IF(A53="","",MAX(0,R53-K53)),"")</f>
        <v/>
      </c>
      <c r="T53" s="29">
        <f>IFERROR(IF(A53="","",R53/H53),"")</f>
        <v/>
      </c>
      <c r="U53" s="29">
        <f>IFERROR(IF(A53="","",'Assumptions'!$B$5),"")</f>
        <v/>
      </c>
      <c r="V53" s="29">
        <f>IFERROR(IF(A53="","",T53-U53),"")</f>
        <v/>
      </c>
      <c r="W53" s="50" t="n"/>
      <c r="X53" s="50" t="n"/>
      <c r="Y53" s="51">
        <f>IFERROR(IF(A53="","",IF(X53&lt;&gt;"",X53,IF(W53&lt;&gt;"",W53,'Assumptions'!$B$8))),"")</f>
        <v/>
      </c>
      <c r="Z53" s="51">
        <f>IFERROR(IF(A53="","",R53*Y53),"")</f>
        <v/>
      </c>
      <c r="AA53" s="51">
        <f>IFERROR(IF(A53="","",Z53/H53),"")</f>
        <v/>
      </c>
      <c r="AB53" s="32" t="n"/>
      <c r="AC53" s="52" t="n"/>
      <c r="AD53" s="29">
        <f>IFERROR(IF(OR(A53="",AB53=""),"",AB53/H53),"")</f>
        <v/>
      </c>
      <c r="AE53" s="51">
        <f>IFERROR(IF(OR(A53="",AB53="",AC53=""),"",AB53*AC53),"")</f>
        <v/>
      </c>
      <c r="AF53" s="28">
        <f>IFERROR(IF(OR(A53="",AB53=""),"",AB53-R53),"")</f>
        <v/>
      </c>
      <c r="AG53" s="29">
        <f>IFERROR(IF(OR(A53="",AB53=""),"",IF(AD53-T53&lt;0,T53-AD53,AD53-T53)),"")</f>
        <v/>
      </c>
      <c r="AH53" s="51">
        <f>IFERROR(IF(OR(A53="",AE53=""),"",AE53-Z53),"")</f>
        <v/>
      </c>
      <c r="AI53" s="25">
        <f>IFERROR(IF(A53="","",IF(G53&gt;F53,"Check out-of-order rooms",IF(K53&gt;H53,"On the books exceeds sellable rooms",IF(R53&gt;H53,"Forecast exceeds sellable rooms",IF(AND(A53&lt;TODAY(),AB53=""),"Actual results missing","OK"))))),"")</f>
        <v/>
      </c>
    </row>
    <row r="54">
      <c r="A54" s="24" t="n"/>
      <c r="B54" s="25">
        <f>IFERROR(IF(A54="","",VLOOKUP(MOD(A54,7),'Assumptions'!$E$16:$F$22,2,0)),"")</f>
        <v/>
      </c>
      <c r="C54" s="25">
        <f>IFERROR(IF(A54="","",IF(A54&lt;TODAY(),"Past",IF(A54=TODAY(),"Today","Future"))),"")</f>
        <v/>
      </c>
      <c r="D54" s="26" t="n"/>
      <c r="E54" s="26" t="n"/>
      <c r="F54" s="27" t="n"/>
      <c r="G54" s="27" t="n"/>
      <c r="H54" s="28">
        <f>IFERROR(IF(A54="","",MAX(0,F54-G54)),"")</f>
        <v/>
      </c>
      <c r="I54" s="27" t="n"/>
      <c r="J54" s="27" t="n"/>
      <c r="K54" s="28">
        <f>IFERROR(IF(A54="","",I54+J54),"")</f>
        <v/>
      </c>
      <c r="L54" s="29">
        <f>IFERROR(IF(A54="","",K54/H54),"")</f>
        <v/>
      </c>
      <c r="M54" s="29">
        <f>IFERROR(IF(A54="","",VLOOKUP(B54,'Assumptions'!$A$16:$B$22,2,0)),"")</f>
        <v/>
      </c>
      <c r="N54" s="27" t="n"/>
      <c r="O54" s="27" t="n"/>
      <c r="P54" s="27" t="n"/>
      <c r="Q54" s="28">
        <f>IFERROR(IF(A54="","",MIN(H54,MAX(0,K54,ROUND(H54*M54,0)+N54+O54))),"")</f>
        <v/>
      </c>
      <c r="R54" s="28">
        <f>IFERROR(IF(A54="","",MIN(H54,MAX(0,IF(P54="",Q54,P54)))),"")</f>
        <v/>
      </c>
      <c r="S54" s="28">
        <f>IFERROR(IF(A54="","",MAX(0,R54-K54)),"")</f>
        <v/>
      </c>
      <c r="T54" s="29">
        <f>IFERROR(IF(A54="","",R54/H54),"")</f>
        <v/>
      </c>
      <c r="U54" s="29">
        <f>IFERROR(IF(A54="","",'Assumptions'!$B$5),"")</f>
        <v/>
      </c>
      <c r="V54" s="29">
        <f>IFERROR(IF(A54="","",T54-U54),"")</f>
        <v/>
      </c>
      <c r="W54" s="50" t="n"/>
      <c r="X54" s="50" t="n"/>
      <c r="Y54" s="51">
        <f>IFERROR(IF(A54="","",IF(X54&lt;&gt;"",X54,IF(W54&lt;&gt;"",W54,'Assumptions'!$B$8))),"")</f>
        <v/>
      </c>
      <c r="Z54" s="51">
        <f>IFERROR(IF(A54="","",R54*Y54),"")</f>
        <v/>
      </c>
      <c r="AA54" s="51">
        <f>IFERROR(IF(A54="","",Z54/H54),"")</f>
        <v/>
      </c>
      <c r="AB54" s="32" t="n"/>
      <c r="AC54" s="52" t="n"/>
      <c r="AD54" s="29">
        <f>IFERROR(IF(OR(A54="",AB54=""),"",AB54/H54),"")</f>
        <v/>
      </c>
      <c r="AE54" s="51">
        <f>IFERROR(IF(OR(A54="",AB54="",AC54=""),"",AB54*AC54),"")</f>
        <v/>
      </c>
      <c r="AF54" s="28">
        <f>IFERROR(IF(OR(A54="",AB54=""),"",AB54-R54),"")</f>
        <v/>
      </c>
      <c r="AG54" s="29">
        <f>IFERROR(IF(OR(A54="",AB54=""),"",IF(AD54-T54&lt;0,T54-AD54,AD54-T54)),"")</f>
        <v/>
      </c>
      <c r="AH54" s="51">
        <f>IFERROR(IF(OR(A54="",AE54=""),"",AE54-Z54),"")</f>
        <v/>
      </c>
      <c r="AI54" s="25">
        <f>IFERROR(IF(A54="","",IF(G54&gt;F54,"Check out-of-order rooms",IF(K54&gt;H54,"On the books exceeds sellable rooms",IF(R54&gt;H54,"Forecast exceeds sellable rooms",IF(AND(A54&lt;TODAY(),AB54=""),"Actual results missing","OK"))))),"")</f>
        <v/>
      </c>
    </row>
    <row r="55">
      <c r="A55" s="24" t="n"/>
      <c r="B55" s="25">
        <f>IFERROR(IF(A55="","",VLOOKUP(MOD(A55,7),'Assumptions'!$E$16:$F$22,2,0)),"")</f>
        <v/>
      </c>
      <c r="C55" s="25">
        <f>IFERROR(IF(A55="","",IF(A55&lt;TODAY(),"Past",IF(A55=TODAY(),"Today","Future"))),"")</f>
        <v/>
      </c>
      <c r="D55" s="26" t="n"/>
      <c r="E55" s="26" t="n"/>
      <c r="F55" s="27" t="n"/>
      <c r="G55" s="27" t="n"/>
      <c r="H55" s="28">
        <f>IFERROR(IF(A55="","",MAX(0,F55-G55)),"")</f>
        <v/>
      </c>
      <c r="I55" s="27" t="n"/>
      <c r="J55" s="27" t="n"/>
      <c r="K55" s="28">
        <f>IFERROR(IF(A55="","",I55+J55),"")</f>
        <v/>
      </c>
      <c r="L55" s="29">
        <f>IFERROR(IF(A55="","",K55/H55),"")</f>
        <v/>
      </c>
      <c r="M55" s="29">
        <f>IFERROR(IF(A55="","",VLOOKUP(B55,'Assumptions'!$A$16:$B$22,2,0)),"")</f>
        <v/>
      </c>
      <c r="N55" s="27" t="n"/>
      <c r="O55" s="27" t="n"/>
      <c r="P55" s="27" t="n"/>
      <c r="Q55" s="28">
        <f>IFERROR(IF(A55="","",MIN(H55,MAX(0,K55,ROUND(H55*M55,0)+N55+O55))),"")</f>
        <v/>
      </c>
      <c r="R55" s="28">
        <f>IFERROR(IF(A55="","",MIN(H55,MAX(0,IF(P55="",Q55,P55)))),"")</f>
        <v/>
      </c>
      <c r="S55" s="28">
        <f>IFERROR(IF(A55="","",MAX(0,R55-K55)),"")</f>
        <v/>
      </c>
      <c r="T55" s="29">
        <f>IFERROR(IF(A55="","",R55/H55),"")</f>
        <v/>
      </c>
      <c r="U55" s="29">
        <f>IFERROR(IF(A55="","",'Assumptions'!$B$5),"")</f>
        <v/>
      </c>
      <c r="V55" s="29">
        <f>IFERROR(IF(A55="","",T55-U55),"")</f>
        <v/>
      </c>
      <c r="W55" s="50" t="n"/>
      <c r="X55" s="50" t="n"/>
      <c r="Y55" s="51">
        <f>IFERROR(IF(A55="","",IF(X55&lt;&gt;"",X55,IF(W55&lt;&gt;"",W55,'Assumptions'!$B$8))),"")</f>
        <v/>
      </c>
      <c r="Z55" s="51">
        <f>IFERROR(IF(A55="","",R55*Y55),"")</f>
        <v/>
      </c>
      <c r="AA55" s="51">
        <f>IFERROR(IF(A55="","",Z55/H55),"")</f>
        <v/>
      </c>
      <c r="AB55" s="32" t="n"/>
      <c r="AC55" s="52" t="n"/>
      <c r="AD55" s="29">
        <f>IFERROR(IF(OR(A55="",AB55=""),"",AB55/H55),"")</f>
        <v/>
      </c>
      <c r="AE55" s="51">
        <f>IFERROR(IF(OR(A55="",AB55="",AC55=""),"",AB55*AC55),"")</f>
        <v/>
      </c>
      <c r="AF55" s="28">
        <f>IFERROR(IF(OR(A55="",AB55=""),"",AB55-R55),"")</f>
        <v/>
      </c>
      <c r="AG55" s="29">
        <f>IFERROR(IF(OR(A55="",AB55=""),"",IF(AD55-T55&lt;0,T55-AD55,AD55-T55)),"")</f>
        <v/>
      </c>
      <c r="AH55" s="51">
        <f>IFERROR(IF(OR(A55="",AE55=""),"",AE55-Z55),"")</f>
        <v/>
      </c>
      <c r="AI55" s="25">
        <f>IFERROR(IF(A55="","",IF(G55&gt;F55,"Check out-of-order rooms",IF(K55&gt;H55,"On the books exceeds sellable rooms",IF(R55&gt;H55,"Forecast exceeds sellable rooms",IF(AND(A55&lt;TODAY(),AB55=""),"Actual results missing","OK"))))),"")</f>
        <v/>
      </c>
    </row>
    <row r="56">
      <c r="A56" s="24" t="n"/>
      <c r="B56" s="25">
        <f>IFERROR(IF(A56="","",VLOOKUP(MOD(A56,7),'Assumptions'!$E$16:$F$22,2,0)),"")</f>
        <v/>
      </c>
      <c r="C56" s="25">
        <f>IFERROR(IF(A56="","",IF(A56&lt;TODAY(),"Past",IF(A56=TODAY(),"Today","Future"))),"")</f>
        <v/>
      </c>
      <c r="D56" s="26" t="n"/>
      <c r="E56" s="26" t="n"/>
      <c r="F56" s="27" t="n"/>
      <c r="G56" s="27" t="n"/>
      <c r="H56" s="28">
        <f>IFERROR(IF(A56="","",MAX(0,F56-G56)),"")</f>
        <v/>
      </c>
      <c r="I56" s="27" t="n"/>
      <c r="J56" s="27" t="n"/>
      <c r="K56" s="28">
        <f>IFERROR(IF(A56="","",I56+J56),"")</f>
        <v/>
      </c>
      <c r="L56" s="29">
        <f>IFERROR(IF(A56="","",K56/H56),"")</f>
        <v/>
      </c>
      <c r="M56" s="29">
        <f>IFERROR(IF(A56="","",VLOOKUP(B56,'Assumptions'!$A$16:$B$22,2,0)),"")</f>
        <v/>
      </c>
      <c r="N56" s="27" t="n"/>
      <c r="O56" s="27" t="n"/>
      <c r="P56" s="27" t="n"/>
      <c r="Q56" s="28">
        <f>IFERROR(IF(A56="","",MIN(H56,MAX(0,K56,ROUND(H56*M56,0)+N56+O56))),"")</f>
        <v/>
      </c>
      <c r="R56" s="28">
        <f>IFERROR(IF(A56="","",MIN(H56,MAX(0,IF(P56="",Q56,P56)))),"")</f>
        <v/>
      </c>
      <c r="S56" s="28">
        <f>IFERROR(IF(A56="","",MAX(0,R56-K56)),"")</f>
        <v/>
      </c>
      <c r="T56" s="29">
        <f>IFERROR(IF(A56="","",R56/H56),"")</f>
        <v/>
      </c>
      <c r="U56" s="29">
        <f>IFERROR(IF(A56="","",'Assumptions'!$B$5),"")</f>
        <v/>
      </c>
      <c r="V56" s="29">
        <f>IFERROR(IF(A56="","",T56-U56),"")</f>
        <v/>
      </c>
      <c r="W56" s="50" t="n"/>
      <c r="X56" s="50" t="n"/>
      <c r="Y56" s="51">
        <f>IFERROR(IF(A56="","",IF(X56&lt;&gt;"",X56,IF(W56&lt;&gt;"",W56,'Assumptions'!$B$8))),"")</f>
        <v/>
      </c>
      <c r="Z56" s="51">
        <f>IFERROR(IF(A56="","",R56*Y56),"")</f>
        <v/>
      </c>
      <c r="AA56" s="51">
        <f>IFERROR(IF(A56="","",Z56/H56),"")</f>
        <v/>
      </c>
      <c r="AB56" s="32" t="n"/>
      <c r="AC56" s="52" t="n"/>
      <c r="AD56" s="29">
        <f>IFERROR(IF(OR(A56="",AB56=""),"",AB56/H56),"")</f>
        <v/>
      </c>
      <c r="AE56" s="51">
        <f>IFERROR(IF(OR(A56="",AB56="",AC56=""),"",AB56*AC56),"")</f>
        <v/>
      </c>
      <c r="AF56" s="28">
        <f>IFERROR(IF(OR(A56="",AB56=""),"",AB56-R56),"")</f>
        <v/>
      </c>
      <c r="AG56" s="29">
        <f>IFERROR(IF(OR(A56="",AB56=""),"",IF(AD56-T56&lt;0,T56-AD56,AD56-T56)),"")</f>
        <v/>
      </c>
      <c r="AH56" s="51">
        <f>IFERROR(IF(OR(A56="",AE56=""),"",AE56-Z56),"")</f>
        <v/>
      </c>
      <c r="AI56" s="25">
        <f>IFERROR(IF(A56="","",IF(G56&gt;F56,"Check out-of-order rooms",IF(K56&gt;H56,"On the books exceeds sellable rooms",IF(R56&gt;H56,"Forecast exceeds sellable rooms",IF(AND(A56&lt;TODAY(),AB56=""),"Actual results missing","OK"))))),"")</f>
        <v/>
      </c>
    </row>
    <row r="57">
      <c r="A57" s="24" t="n"/>
      <c r="B57" s="25">
        <f>IFERROR(IF(A57="","",VLOOKUP(MOD(A57,7),'Assumptions'!$E$16:$F$22,2,0)),"")</f>
        <v/>
      </c>
      <c r="C57" s="25">
        <f>IFERROR(IF(A57="","",IF(A57&lt;TODAY(),"Past",IF(A57=TODAY(),"Today","Future"))),"")</f>
        <v/>
      </c>
      <c r="D57" s="26" t="n"/>
      <c r="E57" s="26" t="n"/>
      <c r="F57" s="27" t="n"/>
      <c r="G57" s="27" t="n"/>
      <c r="H57" s="28">
        <f>IFERROR(IF(A57="","",MAX(0,F57-G57)),"")</f>
        <v/>
      </c>
      <c r="I57" s="27" t="n"/>
      <c r="J57" s="27" t="n"/>
      <c r="K57" s="28">
        <f>IFERROR(IF(A57="","",I57+J57),"")</f>
        <v/>
      </c>
      <c r="L57" s="29">
        <f>IFERROR(IF(A57="","",K57/H57),"")</f>
        <v/>
      </c>
      <c r="M57" s="29">
        <f>IFERROR(IF(A57="","",VLOOKUP(B57,'Assumptions'!$A$16:$B$22,2,0)),"")</f>
        <v/>
      </c>
      <c r="N57" s="27" t="n"/>
      <c r="O57" s="27" t="n"/>
      <c r="P57" s="27" t="n"/>
      <c r="Q57" s="28">
        <f>IFERROR(IF(A57="","",MIN(H57,MAX(0,K57,ROUND(H57*M57,0)+N57+O57))),"")</f>
        <v/>
      </c>
      <c r="R57" s="28">
        <f>IFERROR(IF(A57="","",MIN(H57,MAX(0,IF(P57="",Q57,P57)))),"")</f>
        <v/>
      </c>
      <c r="S57" s="28">
        <f>IFERROR(IF(A57="","",MAX(0,R57-K57)),"")</f>
        <v/>
      </c>
      <c r="T57" s="29">
        <f>IFERROR(IF(A57="","",R57/H57),"")</f>
        <v/>
      </c>
      <c r="U57" s="29">
        <f>IFERROR(IF(A57="","",'Assumptions'!$B$5),"")</f>
        <v/>
      </c>
      <c r="V57" s="29">
        <f>IFERROR(IF(A57="","",T57-U57),"")</f>
        <v/>
      </c>
      <c r="W57" s="50" t="n"/>
      <c r="X57" s="50" t="n"/>
      <c r="Y57" s="51">
        <f>IFERROR(IF(A57="","",IF(X57&lt;&gt;"",X57,IF(W57&lt;&gt;"",W57,'Assumptions'!$B$8))),"")</f>
        <v/>
      </c>
      <c r="Z57" s="51">
        <f>IFERROR(IF(A57="","",R57*Y57),"")</f>
        <v/>
      </c>
      <c r="AA57" s="51">
        <f>IFERROR(IF(A57="","",Z57/H57),"")</f>
        <v/>
      </c>
      <c r="AB57" s="32" t="n"/>
      <c r="AC57" s="52" t="n"/>
      <c r="AD57" s="29">
        <f>IFERROR(IF(OR(A57="",AB57=""),"",AB57/H57),"")</f>
        <v/>
      </c>
      <c r="AE57" s="51">
        <f>IFERROR(IF(OR(A57="",AB57="",AC57=""),"",AB57*AC57),"")</f>
        <v/>
      </c>
      <c r="AF57" s="28">
        <f>IFERROR(IF(OR(A57="",AB57=""),"",AB57-R57),"")</f>
        <v/>
      </c>
      <c r="AG57" s="29">
        <f>IFERROR(IF(OR(A57="",AB57=""),"",IF(AD57-T57&lt;0,T57-AD57,AD57-T57)),"")</f>
        <v/>
      </c>
      <c r="AH57" s="51">
        <f>IFERROR(IF(OR(A57="",AE57=""),"",AE57-Z57),"")</f>
        <v/>
      </c>
      <c r="AI57" s="25">
        <f>IFERROR(IF(A57="","",IF(G57&gt;F57,"Check out-of-order rooms",IF(K57&gt;H57,"On the books exceeds sellable rooms",IF(R57&gt;H57,"Forecast exceeds sellable rooms",IF(AND(A57&lt;TODAY(),AB57=""),"Actual results missing","OK"))))),"")</f>
        <v/>
      </c>
    </row>
    <row r="58">
      <c r="A58" s="24" t="n"/>
      <c r="B58" s="25">
        <f>IFERROR(IF(A58="","",VLOOKUP(MOD(A58,7),'Assumptions'!$E$16:$F$22,2,0)),"")</f>
        <v/>
      </c>
      <c r="C58" s="25">
        <f>IFERROR(IF(A58="","",IF(A58&lt;TODAY(),"Past",IF(A58=TODAY(),"Today","Future"))),"")</f>
        <v/>
      </c>
      <c r="D58" s="26" t="n"/>
      <c r="E58" s="26" t="n"/>
      <c r="F58" s="27" t="n"/>
      <c r="G58" s="27" t="n"/>
      <c r="H58" s="28">
        <f>IFERROR(IF(A58="","",MAX(0,F58-G58)),"")</f>
        <v/>
      </c>
      <c r="I58" s="27" t="n"/>
      <c r="J58" s="27" t="n"/>
      <c r="K58" s="28">
        <f>IFERROR(IF(A58="","",I58+J58),"")</f>
        <v/>
      </c>
      <c r="L58" s="29">
        <f>IFERROR(IF(A58="","",K58/H58),"")</f>
        <v/>
      </c>
      <c r="M58" s="29">
        <f>IFERROR(IF(A58="","",VLOOKUP(B58,'Assumptions'!$A$16:$B$22,2,0)),"")</f>
        <v/>
      </c>
      <c r="N58" s="27" t="n"/>
      <c r="O58" s="27" t="n"/>
      <c r="P58" s="27" t="n"/>
      <c r="Q58" s="28">
        <f>IFERROR(IF(A58="","",MIN(H58,MAX(0,K58,ROUND(H58*M58,0)+N58+O58))),"")</f>
        <v/>
      </c>
      <c r="R58" s="28">
        <f>IFERROR(IF(A58="","",MIN(H58,MAX(0,IF(P58="",Q58,P58)))),"")</f>
        <v/>
      </c>
      <c r="S58" s="28">
        <f>IFERROR(IF(A58="","",MAX(0,R58-K58)),"")</f>
        <v/>
      </c>
      <c r="T58" s="29">
        <f>IFERROR(IF(A58="","",R58/H58),"")</f>
        <v/>
      </c>
      <c r="U58" s="29">
        <f>IFERROR(IF(A58="","",'Assumptions'!$B$5),"")</f>
        <v/>
      </c>
      <c r="V58" s="29">
        <f>IFERROR(IF(A58="","",T58-U58),"")</f>
        <v/>
      </c>
      <c r="W58" s="50" t="n"/>
      <c r="X58" s="50" t="n"/>
      <c r="Y58" s="51">
        <f>IFERROR(IF(A58="","",IF(X58&lt;&gt;"",X58,IF(W58&lt;&gt;"",W58,'Assumptions'!$B$8))),"")</f>
        <v/>
      </c>
      <c r="Z58" s="51">
        <f>IFERROR(IF(A58="","",R58*Y58),"")</f>
        <v/>
      </c>
      <c r="AA58" s="51">
        <f>IFERROR(IF(A58="","",Z58/H58),"")</f>
        <v/>
      </c>
      <c r="AB58" s="32" t="n"/>
      <c r="AC58" s="52" t="n"/>
      <c r="AD58" s="29">
        <f>IFERROR(IF(OR(A58="",AB58=""),"",AB58/H58),"")</f>
        <v/>
      </c>
      <c r="AE58" s="51">
        <f>IFERROR(IF(OR(A58="",AB58="",AC58=""),"",AB58*AC58),"")</f>
        <v/>
      </c>
      <c r="AF58" s="28">
        <f>IFERROR(IF(OR(A58="",AB58=""),"",AB58-R58),"")</f>
        <v/>
      </c>
      <c r="AG58" s="29">
        <f>IFERROR(IF(OR(A58="",AB58=""),"",IF(AD58-T58&lt;0,T58-AD58,AD58-T58)),"")</f>
        <v/>
      </c>
      <c r="AH58" s="51">
        <f>IFERROR(IF(OR(A58="",AE58=""),"",AE58-Z58),"")</f>
        <v/>
      </c>
      <c r="AI58" s="25">
        <f>IFERROR(IF(A58="","",IF(G58&gt;F58,"Check out-of-order rooms",IF(K58&gt;H58,"On the books exceeds sellable rooms",IF(R58&gt;H58,"Forecast exceeds sellable rooms",IF(AND(A58&lt;TODAY(),AB58=""),"Actual results missing","OK"))))),"")</f>
        <v/>
      </c>
    </row>
    <row r="59">
      <c r="A59" s="24" t="n"/>
      <c r="B59" s="25">
        <f>IFERROR(IF(A59="","",VLOOKUP(MOD(A59,7),'Assumptions'!$E$16:$F$22,2,0)),"")</f>
        <v/>
      </c>
      <c r="C59" s="25">
        <f>IFERROR(IF(A59="","",IF(A59&lt;TODAY(),"Past",IF(A59=TODAY(),"Today","Future"))),"")</f>
        <v/>
      </c>
      <c r="D59" s="26" t="n"/>
      <c r="E59" s="26" t="n"/>
      <c r="F59" s="27" t="n"/>
      <c r="G59" s="27" t="n"/>
      <c r="H59" s="28">
        <f>IFERROR(IF(A59="","",MAX(0,F59-G59)),"")</f>
        <v/>
      </c>
      <c r="I59" s="27" t="n"/>
      <c r="J59" s="27" t="n"/>
      <c r="K59" s="28">
        <f>IFERROR(IF(A59="","",I59+J59),"")</f>
        <v/>
      </c>
      <c r="L59" s="29">
        <f>IFERROR(IF(A59="","",K59/H59),"")</f>
        <v/>
      </c>
      <c r="M59" s="29">
        <f>IFERROR(IF(A59="","",VLOOKUP(B59,'Assumptions'!$A$16:$B$22,2,0)),"")</f>
        <v/>
      </c>
      <c r="N59" s="27" t="n"/>
      <c r="O59" s="27" t="n"/>
      <c r="P59" s="27" t="n"/>
      <c r="Q59" s="28">
        <f>IFERROR(IF(A59="","",MIN(H59,MAX(0,K59,ROUND(H59*M59,0)+N59+O59))),"")</f>
        <v/>
      </c>
      <c r="R59" s="28">
        <f>IFERROR(IF(A59="","",MIN(H59,MAX(0,IF(P59="",Q59,P59)))),"")</f>
        <v/>
      </c>
      <c r="S59" s="28">
        <f>IFERROR(IF(A59="","",MAX(0,R59-K59)),"")</f>
        <v/>
      </c>
      <c r="T59" s="29">
        <f>IFERROR(IF(A59="","",R59/H59),"")</f>
        <v/>
      </c>
      <c r="U59" s="29">
        <f>IFERROR(IF(A59="","",'Assumptions'!$B$5),"")</f>
        <v/>
      </c>
      <c r="V59" s="29">
        <f>IFERROR(IF(A59="","",T59-U59),"")</f>
        <v/>
      </c>
      <c r="W59" s="50" t="n"/>
      <c r="X59" s="50" t="n"/>
      <c r="Y59" s="51">
        <f>IFERROR(IF(A59="","",IF(X59&lt;&gt;"",X59,IF(W59&lt;&gt;"",W59,'Assumptions'!$B$8))),"")</f>
        <v/>
      </c>
      <c r="Z59" s="51">
        <f>IFERROR(IF(A59="","",R59*Y59),"")</f>
        <v/>
      </c>
      <c r="AA59" s="51">
        <f>IFERROR(IF(A59="","",Z59/H59),"")</f>
        <v/>
      </c>
      <c r="AB59" s="32" t="n"/>
      <c r="AC59" s="52" t="n"/>
      <c r="AD59" s="29">
        <f>IFERROR(IF(OR(A59="",AB59=""),"",AB59/H59),"")</f>
        <v/>
      </c>
      <c r="AE59" s="51">
        <f>IFERROR(IF(OR(A59="",AB59="",AC59=""),"",AB59*AC59),"")</f>
        <v/>
      </c>
      <c r="AF59" s="28">
        <f>IFERROR(IF(OR(A59="",AB59=""),"",AB59-R59),"")</f>
        <v/>
      </c>
      <c r="AG59" s="29">
        <f>IFERROR(IF(OR(A59="",AB59=""),"",IF(AD59-T59&lt;0,T59-AD59,AD59-T59)),"")</f>
        <v/>
      </c>
      <c r="AH59" s="51">
        <f>IFERROR(IF(OR(A59="",AE59=""),"",AE59-Z59),"")</f>
        <v/>
      </c>
      <c r="AI59" s="25">
        <f>IFERROR(IF(A59="","",IF(G59&gt;F59,"Check out-of-order rooms",IF(K59&gt;H59,"On the books exceeds sellable rooms",IF(R59&gt;H59,"Forecast exceeds sellable rooms",IF(AND(A59&lt;TODAY(),AB59=""),"Actual results missing","OK"))))),"")</f>
        <v/>
      </c>
    </row>
    <row r="60">
      <c r="A60" s="24" t="n"/>
      <c r="B60" s="25">
        <f>IFERROR(IF(A60="","",VLOOKUP(MOD(A60,7),'Assumptions'!$E$16:$F$22,2,0)),"")</f>
        <v/>
      </c>
      <c r="C60" s="25">
        <f>IFERROR(IF(A60="","",IF(A60&lt;TODAY(),"Past",IF(A60=TODAY(),"Today","Future"))),"")</f>
        <v/>
      </c>
      <c r="D60" s="26" t="n"/>
      <c r="E60" s="26" t="n"/>
      <c r="F60" s="27" t="n"/>
      <c r="G60" s="27" t="n"/>
      <c r="H60" s="28">
        <f>IFERROR(IF(A60="","",MAX(0,F60-G60)),"")</f>
        <v/>
      </c>
      <c r="I60" s="27" t="n"/>
      <c r="J60" s="27" t="n"/>
      <c r="K60" s="28">
        <f>IFERROR(IF(A60="","",I60+J60),"")</f>
        <v/>
      </c>
      <c r="L60" s="29">
        <f>IFERROR(IF(A60="","",K60/H60),"")</f>
        <v/>
      </c>
      <c r="M60" s="29">
        <f>IFERROR(IF(A60="","",VLOOKUP(B60,'Assumptions'!$A$16:$B$22,2,0)),"")</f>
        <v/>
      </c>
      <c r="N60" s="27" t="n"/>
      <c r="O60" s="27" t="n"/>
      <c r="P60" s="27" t="n"/>
      <c r="Q60" s="28">
        <f>IFERROR(IF(A60="","",MIN(H60,MAX(0,K60,ROUND(H60*M60,0)+N60+O60))),"")</f>
        <v/>
      </c>
      <c r="R60" s="28">
        <f>IFERROR(IF(A60="","",MIN(H60,MAX(0,IF(P60="",Q60,P60)))),"")</f>
        <v/>
      </c>
      <c r="S60" s="28">
        <f>IFERROR(IF(A60="","",MAX(0,R60-K60)),"")</f>
        <v/>
      </c>
      <c r="T60" s="29">
        <f>IFERROR(IF(A60="","",R60/H60),"")</f>
        <v/>
      </c>
      <c r="U60" s="29">
        <f>IFERROR(IF(A60="","",'Assumptions'!$B$5),"")</f>
        <v/>
      </c>
      <c r="V60" s="29">
        <f>IFERROR(IF(A60="","",T60-U60),"")</f>
        <v/>
      </c>
      <c r="W60" s="50" t="n"/>
      <c r="X60" s="50" t="n"/>
      <c r="Y60" s="51">
        <f>IFERROR(IF(A60="","",IF(X60&lt;&gt;"",X60,IF(W60&lt;&gt;"",W60,'Assumptions'!$B$8))),"")</f>
        <v/>
      </c>
      <c r="Z60" s="51">
        <f>IFERROR(IF(A60="","",R60*Y60),"")</f>
        <v/>
      </c>
      <c r="AA60" s="51">
        <f>IFERROR(IF(A60="","",Z60/H60),"")</f>
        <v/>
      </c>
      <c r="AB60" s="32" t="n"/>
      <c r="AC60" s="52" t="n"/>
      <c r="AD60" s="29">
        <f>IFERROR(IF(OR(A60="",AB60=""),"",AB60/H60),"")</f>
        <v/>
      </c>
      <c r="AE60" s="51">
        <f>IFERROR(IF(OR(A60="",AB60="",AC60=""),"",AB60*AC60),"")</f>
        <v/>
      </c>
      <c r="AF60" s="28">
        <f>IFERROR(IF(OR(A60="",AB60=""),"",AB60-R60),"")</f>
        <v/>
      </c>
      <c r="AG60" s="29">
        <f>IFERROR(IF(OR(A60="",AB60=""),"",IF(AD60-T60&lt;0,T60-AD60,AD60-T60)),"")</f>
        <v/>
      </c>
      <c r="AH60" s="51">
        <f>IFERROR(IF(OR(A60="",AE60=""),"",AE60-Z60),"")</f>
        <v/>
      </c>
      <c r="AI60" s="25">
        <f>IFERROR(IF(A60="","",IF(G60&gt;F60,"Check out-of-order rooms",IF(K60&gt;H60,"On the books exceeds sellable rooms",IF(R60&gt;H60,"Forecast exceeds sellable rooms",IF(AND(A60&lt;TODAY(),AB60=""),"Actual results missing","OK"))))),"")</f>
        <v/>
      </c>
    </row>
    <row r="61">
      <c r="A61" s="24" t="n"/>
      <c r="B61" s="25">
        <f>IFERROR(IF(A61="","",VLOOKUP(MOD(A61,7),'Assumptions'!$E$16:$F$22,2,0)),"")</f>
        <v/>
      </c>
      <c r="C61" s="25">
        <f>IFERROR(IF(A61="","",IF(A61&lt;TODAY(),"Past",IF(A61=TODAY(),"Today","Future"))),"")</f>
        <v/>
      </c>
      <c r="D61" s="26" t="n"/>
      <c r="E61" s="26" t="n"/>
      <c r="F61" s="27" t="n"/>
      <c r="G61" s="27" t="n"/>
      <c r="H61" s="28">
        <f>IFERROR(IF(A61="","",MAX(0,F61-G61)),"")</f>
        <v/>
      </c>
      <c r="I61" s="27" t="n"/>
      <c r="J61" s="27" t="n"/>
      <c r="K61" s="28">
        <f>IFERROR(IF(A61="","",I61+J61),"")</f>
        <v/>
      </c>
      <c r="L61" s="29">
        <f>IFERROR(IF(A61="","",K61/H61),"")</f>
        <v/>
      </c>
      <c r="M61" s="29">
        <f>IFERROR(IF(A61="","",VLOOKUP(B61,'Assumptions'!$A$16:$B$22,2,0)),"")</f>
        <v/>
      </c>
      <c r="N61" s="27" t="n"/>
      <c r="O61" s="27" t="n"/>
      <c r="P61" s="27" t="n"/>
      <c r="Q61" s="28">
        <f>IFERROR(IF(A61="","",MIN(H61,MAX(0,K61,ROUND(H61*M61,0)+N61+O61))),"")</f>
        <v/>
      </c>
      <c r="R61" s="28">
        <f>IFERROR(IF(A61="","",MIN(H61,MAX(0,IF(P61="",Q61,P61)))),"")</f>
        <v/>
      </c>
      <c r="S61" s="28">
        <f>IFERROR(IF(A61="","",MAX(0,R61-K61)),"")</f>
        <v/>
      </c>
      <c r="T61" s="29">
        <f>IFERROR(IF(A61="","",R61/H61),"")</f>
        <v/>
      </c>
      <c r="U61" s="29">
        <f>IFERROR(IF(A61="","",'Assumptions'!$B$5),"")</f>
        <v/>
      </c>
      <c r="V61" s="29">
        <f>IFERROR(IF(A61="","",T61-U61),"")</f>
        <v/>
      </c>
      <c r="W61" s="50" t="n"/>
      <c r="X61" s="50" t="n"/>
      <c r="Y61" s="51">
        <f>IFERROR(IF(A61="","",IF(X61&lt;&gt;"",X61,IF(W61&lt;&gt;"",W61,'Assumptions'!$B$8))),"")</f>
        <v/>
      </c>
      <c r="Z61" s="51">
        <f>IFERROR(IF(A61="","",R61*Y61),"")</f>
        <v/>
      </c>
      <c r="AA61" s="51">
        <f>IFERROR(IF(A61="","",Z61/H61),"")</f>
        <v/>
      </c>
      <c r="AB61" s="32" t="n"/>
      <c r="AC61" s="52" t="n"/>
      <c r="AD61" s="29">
        <f>IFERROR(IF(OR(A61="",AB61=""),"",AB61/H61),"")</f>
        <v/>
      </c>
      <c r="AE61" s="51">
        <f>IFERROR(IF(OR(A61="",AB61="",AC61=""),"",AB61*AC61),"")</f>
        <v/>
      </c>
      <c r="AF61" s="28">
        <f>IFERROR(IF(OR(A61="",AB61=""),"",AB61-R61),"")</f>
        <v/>
      </c>
      <c r="AG61" s="29">
        <f>IFERROR(IF(OR(A61="",AB61=""),"",IF(AD61-T61&lt;0,T61-AD61,AD61-T61)),"")</f>
        <v/>
      </c>
      <c r="AH61" s="51">
        <f>IFERROR(IF(OR(A61="",AE61=""),"",AE61-Z61),"")</f>
        <v/>
      </c>
      <c r="AI61" s="25">
        <f>IFERROR(IF(A61="","",IF(G61&gt;F61,"Check out-of-order rooms",IF(K61&gt;H61,"On the books exceeds sellable rooms",IF(R61&gt;H61,"Forecast exceeds sellable rooms",IF(AND(A61&lt;TODAY(),AB61=""),"Actual results missing","OK"))))),"")</f>
        <v/>
      </c>
    </row>
    <row r="62">
      <c r="A62" s="24" t="n"/>
      <c r="B62" s="25">
        <f>IFERROR(IF(A62="","",VLOOKUP(MOD(A62,7),'Assumptions'!$E$16:$F$22,2,0)),"")</f>
        <v/>
      </c>
      <c r="C62" s="25">
        <f>IFERROR(IF(A62="","",IF(A62&lt;TODAY(),"Past",IF(A62=TODAY(),"Today","Future"))),"")</f>
        <v/>
      </c>
      <c r="D62" s="26" t="n"/>
      <c r="E62" s="26" t="n"/>
      <c r="F62" s="27" t="n"/>
      <c r="G62" s="27" t="n"/>
      <c r="H62" s="28">
        <f>IFERROR(IF(A62="","",MAX(0,F62-G62)),"")</f>
        <v/>
      </c>
      <c r="I62" s="27" t="n"/>
      <c r="J62" s="27" t="n"/>
      <c r="K62" s="28">
        <f>IFERROR(IF(A62="","",I62+J62),"")</f>
        <v/>
      </c>
      <c r="L62" s="29">
        <f>IFERROR(IF(A62="","",K62/H62),"")</f>
        <v/>
      </c>
      <c r="M62" s="29">
        <f>IFERROR(IF(A62="","",VLOOKUP(B62,'Assumptions'!$A$16:$B$22,2,0)),"")</f>
        <v/>
      </c>
      <c r="N62" s="27" t="n"/>
      <c r="O62" s="27" t="n"/>
      <c r="P62" s="27" t="n"/>
      <c r="Q62" s="28">
        <f>IFERROR(IF(A62="","",MIN(H62,MAX(0,K62,ROUND(H62*M62,0)+N62+O62))),"")</f>
        <v/>
      </c>
      <c r="R62" s="28">
        <f>IFERROR(IF(A62="","",MIN(H62,MAX(0,IF(P62="",Q62,P62)))),"")</f>
        <v/>
      </c>
      <c r="S62" s="28">
        <f>IFERROR(IF(A62="","",MAX(0,R62-K62)),"")</f>
        <v/>
      </c>
      <c r="T62" s="29">
        <f>IFERROR(IF(A62="","",R62/H62),"")</f>
        <v/>
      </c>
      <c r="U62" s="29">
        <f>IFERROR(IF(A62="","",'Assumptions'!$B$5),"")</f>
        <v/>
      </c>
      <c r="V62" s="29">
        <f>IFERROR(IF(A62="","",T62-U62),"")</f>
        <v/>
      </c>
      <c r="W62" s="50" t="n"/>
      <c r="X62" s="50" t="n"/>
      <c r="Y62" s="51">
        <f>IFERROR(IF(A62="","",IF(X62&lt;&gt;"",X62,IF(W62&lt;&gt;"",W62,'Assumptions'!$B$8))),"")</f>
        <v/>
      </c>
      <c r="Z62" s="51">
        <f>IFERROR(IF(A62="","",R62*Y62),"")</f>
        <v/>
      </c>
      <c r="AA62" s="51">
        <f>IFERROR(IF(A62="","",Z62/H62),"")</f>
        <v/>
      </c>
      <c r="AB62" s="32" t="n"/>
      <c r="AC62" s="52" t="n"/>
      <c r="AD62" s="29">
        <f>IFERROR(IF(OR(A62="",AB62=""),"",AB62/H62),"")</f>
        <v/>
      </c>
      <c r="AE62" s="51">
        <f>IFERROR(IF(OR(A62="",AB62="",AC62=""),"",AB62*AC62),"")</f>
        <v/>
      </c>
      <c r="AF62" s="28">
        <f>IFERROR(IF(OR(A62="",AB62=""),"",AB62-R62),"")</f>
        <v/>
      </c>
      <c r="AG62" s="29">
        <f>IFERROR(IF(OR(A62="",AB62=""),"",IF(AD62-T62&lt;0,T62-AD62,AD62-T62)),"")</f>
        <v/>
      </c>
      <c r="AH62" s="51">
        <f>IFERROR(IF(OR(A62="",AE62=""),"",AE62-Z62),"")</f>
        <v/>
      </c>
      <c r="AI62" s="25">
        <f>IFERROR(IF(A62="","",IF(G62&gt;F62,"Check out-of-order rooms",IF(K62&gt;H62,"On the books exceeds sellable rooms",IF(R62&gt;H62,"Forecast exceeds sellable rooms",IF(AND(A62&lt;TODAY(),AB62=""),"Actual results missing","OK"))))),"")</f>
        <v/>
      </c>
    </row>
    <row r="63">
      <c r="A63" s="24" t="n"/>
      <c r="B63" s="25">
        <f>IFERROR(IF(A63="","",VLOOKUP(MOD(A63,7),'Assumptions'!$E$16:$F$22,2,0)),"")</f>
        <v/>
      </c>
      <c r="C63" s="25">
        <f>IFERROR(IF(A63="","",IF(A63&lt;TODAY(),"Past",IF(A63=TODAY(),"Today","Future"))),"")</f>
        <v/>
      </c>
      <c r="D63" s="26" t="n"/>
      <c r="E63" s="26" t="n"/>
      <c r="F63" s="27" t="n"/>
      <c r="G63" s="27" t="n"/>
      <c r="H63" s="28">
        <f>IFERROR(IF(A63="","",MAX(0,F63-G63)),"")</f>
        <v/>
      </c>
      <c r="I63" s="27" t="n"/>
      <c r="J63" s="27" t="n"/>
      <c r="K63" s="28">
        <f>IFERROR(IF(A63="","",I63+J63),"")</f>
        <v/>
      </c>
      <c r="L63" s="29">
        <f>IFERROR(IF(A63="","",K63/H63),"")</f>
        <v/>
      </c>
      <c r="M63" s="29">
        <f>IFERROR(IF(A63="","",VLOOKUP(B63,'Assumptions'!$A$16:$B$22,2,0)),"")</f>
        <v/>
      </c>
      <c r="N63" s="27" t="n"/>
      <c r="O63" s="27" t="n"/>
      <c r="P63" s="27" t="n"/>
      <c r="Q63" s="28">
        <f>IFERROR(IF(A63="","",MIN(H63,MAX(0,K63,ROUND(H63*M63,0)+N63+O63))),"")</f>
        <v/>
      </c>
      <c r="R63" s="28">
        <f>IFERROR(IF(A63="","",MIN(H63,MAX(0,IF(P63="",Q63,P63)))),"")</f>
        <v/>
      </c>
      <c r="S63" s="28">
        <f>IFERROR(IF(A63="","",MAX(0,R63-K63)),"")</f>
        <v/>
      </c>
      <c r="T63" s="29">
        <f>IFERROR(IF(A63="","",R63/H63),"")</f>
        <v/>
      </c>
      <c r="U63" s="29">
        <f>IFERROR(IF(A63="","",'Assumptions'!$B$5),"")</f>
        <v/>
      </c>
      <c r="V63" s="29">
        <f>IFERROR(IF(A63="","",T63-U63),"")</f>
        <v/>
      </c>
      <c r="W63" s="50" t="n"/>
      <c r="X63" s="50" t="n"/>
      <c r="Y63" s="51">
        <f>IFERROR(IF(A63="","",IF(X63&lt;&gt;"",X63,IF(W63&lt;&gt;"",W63,'Assumptions'!$B$8))),"")</f>
        <v/>
      </c>
      <c r="Z63" s="51">
        <f>IFERROR(IF(A63="","",R63*Y63),"")</f>
        <v/>
      </c>
      <c r="AA63" s="51">
        <f>IFERROR(IF(A63="","",Z63/H63),"")</f>
        <v/>
      </c>
      <c r="AB63" s="32" t="n"/>
      <c r="AC63" s="52" t="n"/>
      <c r="AD63" s="29">
        <f>IFERROR(IF(OR(A63="",AB63=""),"",AB63/H63),"")</f>
        <v/>
      </c>
      <c r="AE63" s="51">
        <f>IFERROR(IF(OR(A63="",AB63="",AC63=""),"",AB63*AC63),"")</f>
        <v/>
      </c>
      <c r="AF63" s="28">
        <f>IFERROR(IF(OR(A63="",AB63=""),"",AB63-R63),"")</f>
        <v/>
      </c>
      <c r="AG63" s="29">
        <f>IFERROR(IF(OR(A63="",AB63=""),"",IF(AD63-T63&lt;0,T63-AD63,AD63-T63)),"")</f>
        <v/>
      </c>
      <c r="AH63" s="51">
        <f>IFERROR(IF(OR(A63="",AE63=""),"",AE63-Z63),"")</f>
        <v/>
      </c>
      <c r="AI63" s="25">
        <f>IFERROR(IF(A63="","",IF(G63&gt;F63,"Check out-of-order rooms",IF(K63&gt;H63,"On the books exceeds sellable rooms",IF(R63&gt;H63,"Forecast exceeds sellable rooms",IF(AND(A63&lt;TODAY(),AB63=""),"Actual results missing","OK"))))),"")</f>
        <v/>
      </c>
    </row>
    <row r="64">
      <c r="A64" s="24" t="n"/>
      <c r="B64" s="25">
        <f>IFERROR(IF(A64="","",VLOOKUP(MOD(A64,7),'Assumptions'!$E$16:$F$22,2,0)),"")</f>
        <v/>
      </c>
      <c r="C64" s="25">
        <f>IFERROR(IF(A64="","",IF(A64&lt;TODAY(),"Past",IF(A64=TODAY(),"Today","Future"))),"")</f>
        <v/>
      </c>
      <c r="D64" s="26" t="n"/>
      <c r="E64" s="26" t="n"/>
      <c r="F64" s="27" t="n"/>
      <c r="G64" s="27" t="n"/>
      <c r="H64" s="28">
        <f>IFERROR(IF(A64="","",MAX(0,F64-G64)),"")</f>
        <v/>
      </c>
      <c r="I64" s="27" t="n"/>
      <c r="J64" s="27" t="n"/>
      <c r="K64" s="28">
        <f>IFERROR(IF(A64="","",I64+J64),"")</f>
        <v/>
      </c>
      <c r="L64" s="29">
        <f>IFERROR(IF(A64="","",K64/H64),"")</f>
        <v/>
      </c>
      <c r="M64" s="29">
        <f>IFERROR(IF(A64="","",VLOOKUP(B64,'Assumptions'!$A$16:$B$22,2,0)),"")</f>
        <v/>
      </c>
      <c r="N64" s="27" t="n"/>
      <c r="O64" s="27" t="n"/>
      <c r="P64" s="27" t="n"/>
      <c r="Q64" s="28">
        <f>IFERROR(IF(A64="","",MIN(H64,MAX(0,K64,ROUND(H64*M64,0)+N64+O64))),"")</f>
        <v/>
      </c>
      <c r="R64" s="28">
        <f>IFERROR(IF(A64="","",MIN(H64,MAX(0,IF(P64="",Q64,P64)))),"")</f>
        <v/>
      </c>
      <c r="S64" s="28">
        <f>IFERROR(IF(A64="","",MAX(0,R64-K64)),"")</f>
        <v/>
      </c>
      <c r="T64" s="29">
        <f>IFERROR(IF(A64="","",R64/H64),"")</f>
        <v/>
      </c>
      <c r="U64" s="29">
        <f>IFERROR(IF(A64="","",'Assumptions'!$B$5),"")</f>
        <v/>
      </c>
      <c r="V64" s="29">
        <f>IFERROR(IF(A64="","",T64-U64),"")</f>
        <v/>
      </c>
      <c r="W64" s="50" t="n"/>
      <c r="X64" s="50" t="n"/>
      <c r="Y64" s="51">
        <f>IFERROR(IF(A64="","",IF(X64&lt;&gt;"",X64,IF(W64&lt;&gt;"",W64,'Assumptions'!$B$8))),"")</f>
        <v/>
      </c>
      <c r="Z64" s="51">
        <f>IFERROR(IF(A64="","",R64*Y64),"")</f>
        <v/>
      </c>
      <c r="AA64" s="51">
        <f>IFERROR(IF(A64="","",Z64/H64),"")</f>
        <v/>
      </c>
      <c r="AB64" s="32" t="n"/>
      <c r="AC64" s="52" t="n"/>
      <c r="AD64" s="29">
        <f>IFERROR(IF(OR(A64="",AB64=""),"",AB64/H64),"")</f>
        <v/>
      </c>
      <c r="AE64" s="51">
        <f>IFERROR(IF(OR(A64="",AB64="",AC64=""),"",AB64*AC64),"")</f>
        <v/>
      </c>
      <c r="AF64" s="28">
        <f>IFERROR(IF(OR(A64="",AB64=""),"",AB64-R64),"")</f>
        <v/>
      </c>
      <c r="AG64" s="29">
        <f>IFERROR(IF(OR(A64="",AB64=""),"",IF(AD64-T64&lt;0,T64-AD64,AD64-T64)),"")</f>
        <v/>
      </c>
      <c r="AH64" s="51">
        <f>IFERROR(IF(OR(A64="",AE64=""),"",AE64-Z64),"")</f>
        <v/>
      </c>
      <c r="AI64" s="25">
        <f>IFERROR(IF(A64="","",IF(G64&gt;F64,"Check out-of-order rooms",IF(K64&gt;H64,"On the books exceeds sellable rooms",IF(R64&gt;H64,"Forecast exceeds sellable rooms",IF(AND(A64&lt;TODAY(),AB64=""),"Actual results missing","OK"))))),"")</f>
        <v/>
      </c>
    </row>
    <row r="65">
      <c r="A65" s="24" t="n"/>
      <c r="B65" s="25">
        <f>IFERROR(IF(A65="","",VLOOKUP(MOD(A65,7),'Assumptions'!$E$16:$F$22,2,0)),"")</f>
        <v/>
      </c>
      <c r="C65" s="25">
        <f>IFERROR(IF(A65="","",IF(A65&lt;TODAY(),"Past",IF(A65=TODAY(),"Today","Future"))),"")</f>
        <v/>
      </c>
      <c r="D65" s="26" t="n"/>
      <c r="E65" s="26" t="n"/>
      <c r="F65" s="27" t="n"/>
      <c r="G65" s="27" t="n"/>
      <c r="H65" s="28">
        <f>IFERROR(IF(A65="","",MAX(0,F65-G65)),"")</f>
        <v/>
      </c>
      <c r="I65" s="27" t="n"/>
      <c r="J65" s="27" t="n"/>
      <c r="K65" s="28">
        <f>IFERROR(IF(A65="","",I65+J65),"")</f>
        <v/>
      </c>
      <c r="L65" s="29">
        <f>IFERROR(IF(A65="","",K65/H65),"")</f>
        <v/>
      </c>
      <c r="M65" s="29">
        <f>IFERROR(IF(A65="","",VLOOKUP(B65,'Assumptions'!$A$16:$B$22,2,0)),"")</f>
        <v/>
      </c>
      <c r="N65" s="27" t="n"/>
      <c r="O65" s="27" t="n"/>
      <c r="P65" s="27" t="n"/>
      <c r="Q65" s="28">
        <f>IFERROR(IF(A65="","",MIN(H65,MAX(0,K65,ROUND(H65*M65,0)+N65+O65))),"")</f>
        <v/>
      </c>
      <c r="R65" s="28">
        <f>IFERROR(IF(A65="","",MIN(H65,MAX(0,IF(P65="",Q65,P65)))),"")</f>
        <v/>
      </c>
      <c r="S65" s="28">
        <f>IFERROR(IF(A65="","",MAX(0,R65-K65)),"")</f>
        <v/>
      </c>
      <c r="T65" s="29">
        <f>IFERROR(IF(A65="","",R65/H65),"")</f>
        <v/>
      </c>
      <c r="U65" s="29">
        <f>IFERROR(IF(A65="","",'Assumptions'!$B$5),"")</f>
        <v/>
      </c>
      <c r="V65" s="29">
        <f>IFERROR(IF(A65="","",T65-U65),"")</f>
        <v/>
      </c>
      <c r="W65" s="50" t="n"/>
      <c r="X65" s="50" t="n"/>
      <c r="Y65" s="51">
        <f>IFERROR(IF(A65="","",IF(X65&lt;&gt;"",X65,IF(W65&lt;&gt;"",W65,'Assumptions'!$B$8))),"")</f>
        <v/>
      </c>
      <c r="Z65" s="51">
        <f>IFERROR(IF(A65="","",R65*Y65),"")</f>
        <v/>
      </c>
      <c r="AA65" s="51">
        <f>IFERROR(IF(A65="","",Z65/H65),"")</f>
        <v/>
      </c>
      <c r="AB65" s="32" t="n"/>
      <c r="AC65" s="52" t="n"/>
      <c r="AD65" s="29">
        <f>IFERROR(IF(OR(A65="",AB65=""),"",AB65/H65),"")</f>
        <v/>
      </c>
      <c r="AE65" s="51">
        <f>IFERROR(IF(OR(A65="",AB65="",AC65=""),"",AB65*AC65),"")</f>
        <v/>
      </c>
      <c r="AF65" s="28">
        <f>IFERROR(IF(OR(A65="",AB65=""),"",AB65-R65),"")</f>
        <v/>
      </c>
      <c r="AG65" s="29">
        <f>IFERROR(IF(OR(A65="",AB65=""),"",IF(AD65-T65&lt;0,T65-AD65,AD65-T65)),"")</f>
        <v/>
      </c>
      <c r="AH65" s="51">
        <f>IFERROR(IF(OR(A65="",AE65=""),"",AE65-Z65),"")</f>
        <v/>
      </c>
      <c r="AI65" s="25">
        <f>IFERROR(IF(A65="","",IF(G65&gt;F65,"Check out-of-order rooms",IF(K65&gt;H65,"On the books exceeds sellable rooms",IF(R65&gt;H65,"Forecast exceeds sellable rooms",IF(AND(A65&lt;TODAY(),AB65=""),"Actual results missing","OK"))))),"")</f>
        <v/>
      </c>
    </row>
    <row r="66">
      <c r="A66" s="24" t="n"/>
      <c r="B66" s="25">
        <f>IFERROR(IF(A66="","",VLOOKUP(MOD(A66,7),'Assumptions'!$E$16:$F$22,2,0)),"")</f>
        <v/>
      </c>
      <c r="C66" s="25">
        <f>IFERROR(IF(A66="","",IF(A66&lt;TODAY(),"Past",IF(A66=TODAY(),"Today","Future"))),"")</f>
        <v/>
      </c>
      <c r="D66" s="26" t="n"/>
      <c r="E66" s="26" t="n"/>
      <c r="F66" s="27" t="n"/>
      <c r="G66" s="27" t="n"/>
      <c r="H66" s="28">
        <f>IFERROR(IF(A66="","",MAX(0,F66-G66)),"")</f>
        <v/>
      </c>
      <c r="I66" s="27" t="n"/>
      <c r="J66" s="27" t="n"/>
      <c r="K66" s="28">
        <f>IFERROR(IF(A66="","",I66+J66),"")</f>
        <v/>
      </c>
      <c r="L66" s="29">
        <f>IFERROR(IF(A66="","",K66/H66),"")</f>
        <v/>
      </c>
      <c r="M66" s="29">
        <f>IFERROR(IF(A66="","",VLOOKUP(B66,'Assumptions'!$A$16:$B$22,2,0)),"")</f>
        <v/>
      </c>
      <c r="N66" s="27" t="n"/>
      <c r="O66" s="27" t="n"/>
      <c r="P66" s="27" t="n"/>
      <c r="Q66" s="28">
        <f>IFERROR(IF(A66="","",MIN(H66,MAX(0,K66,ROUND(H66*M66,0)+N66+O66))),"")</f>
        <v/>
      </c>
      <c r="R66" s="28">
        <f>IFERROR(IF(A66="","",MIN(H66,MAX(0,IF(P66="",Q66,P66)))),"")</f>
        <v/>
      </c>
      <c r="S66" s="28">
        <f>IFERROR(IF(A66="","",MAX(0,R66-K66)),"")</f>
        <v/>
      </c>
      <c r="T66" s="29">
        <f>IFERROR(IF(A66="","",R66/H66),"")</f>
        <v/>
      </c>
      <c r="U66" s="29">
        <f>IFERROR(IF(A66="","",'Assumptions'!$B$5),"")</f>
        <v/>
      </c>
      <c r="V66" s="29">
        <f>IFERROR(IF(A66="","",T66-U66),"")</f>
        <v/>
      </c>
      <c r="W66" s="50" t="n"/>
      <c r="X66" s="50" t="n"/>
      <c r="Y66" s="51">
        <f>IFERROR(IF(A66="","",IF(X66&lt;&gt;"",X66,IF(W66&lt;&gt;"",W66,'Assumptions'!$B$8))),"")</f>
        <v/>
      </c>
      <c r="Z66" s="51">
        <f>IFERROR(IF(A66="","",R66*Y66),"")</f>
        <v/>
      </c>
      <c r="AA66" s="51">
        <f>IFERROR(IF(A66="","",Z66/H66),"")</f>
        <v/>
      </c>
      <c r="AB66" s="32" t="n"/>
      <c r="AC66" s="52" t="n"/>
      <c r="AD66" s="29">
        <f>IFERROR(IF(OR(A66="",AB66=""),"",AB66/H66),"")</f>
        <v/>
      </c>
      <c r="AE66" s="51">
        <f>IFERROR(IF(OR(A66="",AB66="",AC66=""),"",AB66*AC66),"")</f>
        <v/>
      </c>
      <c r="AF66" s="28">
        <f>IFERROR(IF(OR(A66="",AB66=""),"",AB66-R66),"")</f>
        <v/>
      </c>
      <c r="AG66" s="29">
        <f>IFERROR(IF(OR(A66="",AB66=""),"",IF(AD66-T66&lt;0,T66-AD66,AD66-T66)),"")</f>
        <v/>
      </c>
      <c r="AH66" s="51">
        <f>IFERROR(IF(OR(A66="",AE66=""),"",AE66-Z66),"")</f>
        <v/>
      </c>
      <c r="AI66" s="25">
        <f>IFERROR(IF(A66="","",IF(G66&gt;F66,"Check out-of-order rooms",IF(K66&gt;H66,"On the books exceeds sellable rooms",IF(R66&gt;H66,"Forecast exceeds sellable rooms",IF(AND(A66&lt;TODAY(),AB66=""),"Actual results missing","OK"))))),"")</f>
        <v/>
      </c>
    </row>
    <row r="67">
      <c r="A67" s="24" t="n"/>
      <c r="B67" s="25">
        <f>IFERROR(IF(A67="","",VLOOKUP(MOD(A67,7),'Assumptions'!$E$16:$F$22,2,0)),"")</f>
        <v/>
      </c>
      <c r="C67" s="25">
        <f>IFERROR(IF(A67="","",IF(A67&lt;TODAY(),"Past",IF(A67=TODAY(),"Today","Future"))),"")</f>
        <v/>
      </c>
      <c r="D67" s="26" t="n"/>
      <c r="E67" s="26" t="n"/>
      <c r="F67" s="27" t="n"/>
      <c r="G67" s="27" t="n"/>
      <c r="H67" s="28">
        <f>IFERROR(IF(A67="","",MAX(0,F67-G67)),"")</f>
        <v/>
      </c>
      <c r="I67" s="27" t="n"/>
      <c r="J67" s="27" t="n"/>
      <c r="K67" s="28">
        <f>IFERROR(IF(A67="","",I67+J67),"")</f>
        <v/>
      </c>
      <c r="L67" s="29">
        <f>IFERROR(IF(A67="","",K67/H67),"")</f>
        <v/>
      </c>
      <c r="M67" s="29">
        <f>IFERROR(IF(A67="","",VLOOKUP(B67,'Assumptions'!$A$16:$B$22,2,0)),"")</f>
        <v/>
      </c>
      <c r="N67" s="27" t="n"/>
      <c r="O67" s="27" t="n"/>
      <c r="P67" s="27" t="n"/>
      <c r="Q67" s="28">
        <f>IFERROR(IF(A67="","",MIN(H67,MAX(0,K67,ROUND(H67*M67,0)+N67+O67))),"")</f>
        <v/>
      </c>
      <c r="R67" s="28">
        <f>IFERROR(IF(A67="","",MIN(H67,MAX(0,IF(P67="",Q67,P67)))),"")</f>
        <v/>
      </c>
      <c r="S67" s="28">
        <f>IFERROR(IF(A67="","",MAX(0,R67-K67)),"")</f>
        <v/>
      </c>
      <c r="T67" s="29">
        <f>IFERROR(IF(A67="","",R67/H67),"")</f>
        <v/>
      </c>
      <c r="U67" s="29">
        <f>IFERROR(IF(A67="","",'Assumptions'!$B$5),"")</f>
        <v/>
      </c>
      <c r="V67" s="29">
        <f>IFERROR(IF(A67="","",T67-U67),"")</f>
        <v/>
      </c>
      <c r="W67" s="50" t="n"/>
      <c r="X67" s="50" t="n"/>
      <c r="Y67" s="51">
        <f>IFERROR(IF(A67="","",IF(X67&lt;&gt;"",X67,IF(W67&lt;&gt;"",W67,'Assumptions'!$B$8))),"")</f>
        <v/>
      </c>
      <c r="Z67" s="51">
        <f>IFERROR(IF(A67="","",R67*Y67),"")</f>
        <v/>
      </c>
      <c r="AA67" s="51">
        <f>IFERROR(IF(A67="","",Z67/H67),"")</f>
        <v/>
      </c>
      <c r="AB67" s="32" t="n"/>
      <c r="AC67" s="52" t="n"/>
      <c r="AD67" s="29">
        <f>IFERROR(IF(OR(A67="",AB67=""),"",AB67/H67),"")</f>
        <v/>
      </c>
      <c r="AE67" s="51">
        <f>IFERROR(IF(OR(A67="",AB67="",AC67=""),"",AB67*AC67),"")</f>
        <v/>
      </c>
      <c r="AF67" s="28">
        <f>IFERROR(IF(OR(A67="",AB67=""),"",AB67-R67),"")</f>
        <v/>
      </c>
      <c r="AG67" s="29">
        <f>IFERROR(IF(OR(A67="",AB67=""),"",IF(AD67-T67&lt;0,T67-AD67,AD67-T67)),"")</f>
        <v/>
      </c>
      <c r="AH67" s="51">
        <f>IFERROR(IF(OR(A67="",AE67=""),"",AE67-Z67),"")</f>
        <v/>
      </c>
      <c r="AI67" s="25">
        <f>IFERROR(IF(A67="","",IF(G67&gt;F67,"Check out-of-order rooms",IF(K67&gt;H67,"On the books exceeds sellable rooms",IF(R67&gt;H67,"Forecast exceeds sellable rooms",IF(AND(A67&lt;TODAY(),AB67=""),"Actual results missing","OK"))))),"")</f>
        <v/>
      </c>
    </row>
    <row r="68">
      <c r="A68" s="24" t="n"/>
      <c r="B68" s="25">
        <f>IFERROR(IF(A68="","",VLOOKUP(MOD(A68,7),'Assumptions'!$E$16:$F$22,2,0)),"")</f>
        <v/>
      </c>
      <c r="C68" s="25">
        <f>IFERROR(IF(A68="","",IF(A68&lt;TODAY(),"Past",IF(A68=TODAY(),"Today","Future"))),"")</f>
        <v/>
      </c>
      <c r="D68" s="26" t="n"/>
      <c r="E68" s="26" t="n"/>
      <c r="F68" s="27" t="n"/>
      <c r="G68" s="27" t="n"/>
      <c r="H68" s="28">
        <f>IFERROR(IF(A68="","",MAX(0,F68-G68)),"")</f>
        <v/>
      </c>
      <c r="I68" s="27" t="n"/>
      <c r="J68" s="27" t="n"/>
      <c r="K68" s="28">
        <f>IFERROR(IF(A68="","",I68+J68),"")</f>
        <v/>
      </c>
      <c r="L68" s="29">
        <f>IFERROR(IF(A68="","",K68/H68),"")</f>
        <v/>
      </c>
      <c r="M68" s="29">
        <f>IFERROR(IF(A68="","",VLOOKUP(B68,'Assumptions'!$A$16:$B$22,2,0)),"")</f>
        <v/>
      </c>
      <c r="N68" s="27" t="n"/>
      <c r="O68" s="27" t="n"/>
      <c r="P68" s="27" t="n"/>
      <c r="Q68" s="28">
        <f>IFERROR(IF(A68="","",MIN(H68,MAX(0,K68,ROUND(H68*M68,0)+N68+O68))),"")</f>
        <v/>
      </c>
      <c r="R68" s="28">
        <f>IFERROR(IF(A68="","",MIN(H68,MAX(0,IF(P68="",Q68,P68)))),"")</f>
        <v/>
      </c>
      <c r="S68" s="28">
        <f>IFERROR(IF(A68="","",MAX(0,R68-K68)),"")</f>
        <v/>
      </c>
      <c r="T68" s="29">
        <f>IFERROR(IF(A68="","",R68/H68),"")</f>
        <v/>
      </c>
      <c r="U68" s="29">
        <f>IFERROR(IF(A68="","",'Assumptions'!$B$5),"")</f>
        <v/>
      </c>
      <c r="V68" s="29">
        <f>IFERROR(IF(A68="","",T68-U68),"")</f>
        <v/>
      </c>
      <c r="W68" s="50" t="n"/>
      <c r="X68" s="50" t="n"/>
      <c r="Y68" s="51">
        <f>IFERROR(IF(A68="","",IF(X68&lt;&gt;"",X68,IF(W68&lt;&gt;"",W68,'Assumptions'!$B$8))),"")</f>
        <v/>
      </c>
      <c r="Z68" s="51">
        <f>IFERROR(IF(A68="","",R68*Y68),"")</f>
        <v/>
      </c>
      <c r="AA68" s="51">
        <f>IFERROR(IF(A68="","",Z68/H68),"")</f>
        <v/>
      </c>
      <c r="AB68" s="32" t="n"/>
      <c r="AC68" s="52" t="n"/>
      <c r="AD68" s="29">
        <f>IFERROR(IF(OR(A68="",AB68=""),"",AB68/H68),"")</f>
        <v/>
      </c>
      <c r="AE68" s="51">
        <f>IFERROR(IF(OR(A68="",AB68="",AC68=""),"",AB68*AC68),"")</f>
        <v/>
      </c>
      <c r="AF68" s="28">
        <f>IFERROR(IF(OR(A68="",AB68=""),"",AB68-R68),"")</f>
        <v/>
      </c>
      <c r="AG68" s="29">
        <f>IFERROR(IF(OR(A68="",AB68=""),"",IF(AD68-T68&lt;0,T68-AD68,AD68-T68)),"")</f>
        <v/>
      </c>
      <c r="AH68" s="51">
        <f>IFERROR(IF(OR(A68="",AE68=""),"",AE68-Z68),"")</f>
        <v/>
      </c>
      <c r="AI68" s="25">
        <f>IFERROR(IF(A68="","",IF(G68&gt;F68,"Check out-of-order rooms",IF(K68&gt;H68,"On the books exceeds sellable rooms",IF(R68&gt;H68,"Forecast exceeds sellable rooms",IF(AND(A68&lt;TODAY(),AB68=""),"Actual results missing","OK"))))),"")</f>
        <v/>
      </c>
    </row>
    <row r="69">
      <c r="A69" s="24" t="n"/>
      <c r="B69" s="25">
        <f>IFERROR(IF(A69="","",VLOOKUP(MOD(A69,7),'Assumptions'!$E$16:$F$22,2,0)),"")</f>
        <v/>
      </c>
      <c r="C69" s="25">
        <f>IFERROR(IF(A69="","",IF(A69&lt;TODAY(),"Past",IF(A69=TODAY(),"Today","Future"))),"")</f>
        <v/>
      </c>
      <c r="D69" s="26" t="n"/>
      <c r="E69" s="26" t="n"/>
      <c r="F69" s="27" t="n"/>
      <c r="G69" s="27" t="n"/>
      <c r="H69" s="28">
        <f>IFERROR(IF(A69="","",MAX(0,F69-G69)),"")</f>
        <v/>
      </c>
      <c r="I69" s="27" t="n"/>
      <c r="J69" s="27" t="n"/>
      <c r="K69" s="28">
        <f>IFERROR(IF(A69="","",I69+J69),"")</f>
        <v/>
      </c>
      <c r="L69" s="29">
        <f>IFERROR(IF(A69="","",K69/H69),"")</f>
        <v/>
      </c>
      <c r="M69" s="29">
        <f>IFERROR(IF(A69="","",VLOOKUP(B69,'Assumptions'!$A$16:$B$22,2,0)),"")</f>
        <v/>
      </c>
      <c r="N69" s="27" t="n"/>
      <c r="O69" s="27" t="n"/>
      <c r="P69" s="27" t="n"/>
      <c r="Q69" s="28">
        <f>IFERROR(IF(A69="","",MIN(H69,MAX(0,K69,ROUND(H69*M69,0)+N69+O69))),"")</f>
        <v/>
      </c>
      <c r="R69" s="28">
        <f>IFERROR(IF(A69="","",MIN(H69,MAX(0,IF(P69="",Q69,P69)))),"")</f>
        <v/>
      </c>
      <c r="S69" s="28">
        <f>IFERROR(IF(A69="","",MAX(0,R69-K69)),"")</f>
        <v/>
      </c>
      <c r="T69" s="29">
        <f>IFERROR(IF(A69="","",R69/H69),"")</f>
        <v/>
      </c>
      <c r="U69" s="29">
        <f>IFERROR(IF(A69="","",'Assumptions'!$B$5),"")</f>
        <v/>
      </c>
      <c r="V69" s="29">
        <f>IFERROR(IF(A69="","",T69-U69),"")</f>
        <v/>
      </c>
      <c r="W69" s="50" t="n"/>
      <c r="X69" s="50" t="n"/>
      <c r="Y69" s="51">
        <f>IFERROR(IF(A69="","",IF(X69&lt;&gt;"",X69,IF(W69&lt;&gt;"",W69,'Assumptions'!$B$8))),"")</f>
        <v/>
      </c>
      <c r="Z69" s="51">
        <f>IFERROR(IF(A69="","",R69*Y69),"")</f>
        <v/>
      </c>
      <c r="AA69" s="51">
        <f>IFERROR(IF(A69="","",Z69/H69),"")</f>
        <v/>
      </c>
      <c r="AB69" s="32" t="n"/>
      <c r="AC69" s="52" t="n"/>
      <c r="AD69" s="29">
        <f>IFERROR(IF(OR(A69="",AB69=""),"",AB69/H69),"")</f>
        <v/>
      </c>
      <c r="AE69" s="51">
        <f>IFERROR(IF(OR(A69="",AB69="",AC69=""),"",AB69*AC69),"")</f>
        <v/>
      </c>
      <c r="AF69" s="28">
        <f>IFERROR(IF(OR(A69="",AB69=""),"",AB69-R69),"")</f>
        <v/>
      </c>
      <c r="AG69" s="29">
        <f>IFERROR(IF(OR(A69="",AB69=""),"",IF(AD69-T69&lt;0,T69-AD69,AD69-T69)),"")</f>
        <v/>
      </c>
      <c r="AH69" s="51">
        <f>IFERROR(IF(OR(A69="",AE69=""),"",AE69-Z69),"")</f>
        <v/>
      </c>
      <c r="AI69" s="25">
        <f>IFERROR(IF(A69="","",IF(G69&gt;F69,"Check out-of-order rooms",IF(K69&gt;H69,"On the books exceeds sellable rooms",IF(R69&gt;H69,"Forecast exceeds sellable rooms",IF(AND(A69&lt;TODAY(),AB69=""),"Actual results missing","OK"))))),"")</f>
        <v/>
      </c>
    </row>
    <row r="70">
      <c r="A70" s="24" t="n"/>
      <c r="B70" s="25">
        <f>IFERROR(IF(A70="","",VLOOKUP(MOD(A70,7),'Assumptions'!$E$16:$F$22,2,0)),"")</f>
        <v/>
      </c>
      <c r="C70" s="25">
        <f>IFERROR(IF(A70="","",IF(A70&lt;TODAY(),"Past",IF(A70=TODAY(),"Today","Future"))),"")</f>
        <v/>
      </c>
      <c r="D70" s="26" t="n"/>
      <c r="E70" s="26" t="n"/>
      <c r="F70" s="27" t="n"/>
      <c r="G70" s="27" t="n"/>
      <c r="H70" s="28">
        <f>IFERROR(IF(A70="","",MAX(0,F70-G70)),"")</f>
        <v/>
      </c>
      <c r="I70" s="27" t="n"/>
      <c r="J70" s="27" t="n"/>
      <c r="K70" s="28">
        <f>IFERROR(IF(A70="","",I70+J70),"")</f>
        <v/>
      </c>
      <c r="L70" s="29">
        <f>IFERROR(IF(A70="","",K70/H70),"")</f>
        <v/>
      </c>
      <c r="M70" s="29">
        <f>IFERROR(IF(A70="","",VLOOKUP(B70,'Assumptions'!$A$16:$B$22,2,0)),"")</f>
        <v/>
      </c>
      <c r="N70" s="27" t="n"/>
      <c r="O70" s="27" t="n"/>
      <c r="P70" s="27" t="n"/>
      <c r="Q70" s="28">
        <f>IFERROR(IF(A70="","",MIN(H70,MAX(0,K70,ROUND(H70*M70,0)+N70+O70))),"")</f>
        <v/>
      </c>
      <c r="R70" s="28">
        <f>IFERROR(IF(A70="","",MIN(H70,MAX(0,IF(P70="",Q70,P70)))),"")</f>
        <v/>
      </c>
      <c r="S70" s="28">
        <f>IFERROR(IF(A70="","",MAX(0,R70-K70)),"")</f>
        <v/>
      </c>
      <c r="T70" s="29">
        <f>IFERROR(IF(A70="","",R70/H70),"")</f>
        <v/>
      </c>
      <c r="U70" s="29">
        <f>IFERROR(IF(A70="","",'Assumptions'!$B$5),"")</f>
        <v/>
      </c>
      <c r="V70" s="29">
        <f>IFERROR(IF(A70="","",T70-U70),"")</f>
        <v/>
      </c>
      <c r="W70" s="50" t="n"/>
      <c r="X70" s="50" t="n"/>
      <c r="Y70" s="51">
        <f>IFERROR(IF(A70="","",IF(X70&lt;&gt;"",X70,IF(W70&lt;&gt;"",W70,'Assumptions'!$B$8))),"")</f>
        <v/>
      </c>
      <c r="Z70" s="51">
        <f>IFERROR(IF(A70="","",R70*Y70),"")</f>
        <v/>
      </c>
      <c r="AA70" s="51">
        <f>IFERROR(IF(A70="","",Z70/H70),"")</f>
        <v/>
      </c>
      <c r="AB70" s="32" t="n"/>
      <c r="AC70" s="52" t="n"/>
      <c r="AD70" s="29">
        <f>IFERROR(IF(OR(A70="",AB70=""),"",AB70/H70),"")</f>
        <v/>
      </c>
      <c r="AE70" s="51">
        <f>IFERROR(IF(OR(A70="",AB70="",AC70=""),"",AB70*AC70),"")</f>
        <v/>
      </c>
      <c r="AF70" s="28">
        <f>IFERROR(IF(OR(A70="",AB70=""),"",AB70-R70),"")</f>
        <v/>
      </c>
      <c r="AG70" s="29">
        <f>IFERROR(IF(OR(A70="",AB70=""),"",IF(AD70-T70&lt;0,T70-AD70,AD70-T70)),"")</f>
        <v/>
      </c>
      <c r="AH70" s="51">
        <f>IFERROR(IF(OR(A70="",AE70=""),"",AE70-Z70),"")</f>
        <v/>
      </c>
      <c r="AI70" s="25">
        <f>IFERROR(IF(A70="","",IF(G70&gt;F70,"Check out-of-order rooms",IF(K70&gt;H70,"On the books exceeds sellable rooms",IF(R70&gt;H70,"Forecast exceeds sellable rooms",IF(AND(A70&lt;TODAY(),AB70=""),"Actual results missing","OK"))))),"")</f>
        <v/>
      </c>
    </row>
    <row r="71">
      <c r="A71" s="24" t="n"/>
      <c r="B71" s="25">
        <f>IFERROR(IF(A71="","",VLOOKUP(MOD(A71,7),'Assumptions'!$E$16:$F$22,2,0)),"")</f>
        <v/>
      </c>
      <c r="C71" s="25">
        <f>IFERROR(IF(A71="","",IF(A71&lt;TODAY(),"Past",IF(A71=TODAY(),"Today","Future"))),"")</f>
        <v/>
      </c>
      <c r="D71" s="26" t="n"/>
      <c r="E71" s="26" t="n"/>
      <c r="F71" s="27" t="n"/>
      <c r="G71" s="27" t="n"/>
      <c r="H71" s="28">
        <f>IFERROR(IF(A71="","",MAX(0,F71-G71)),"")</f>
        <v/>
      </c>
      <c r="I71" s="27" t="n"/>
      <c r="J71" s="27" t="n"/>
      <c r="K71" s="28">
        <f>IFERROR(IF(A71="","",I71+J71),"")</f>
        <v/>
      </c>
      <c r="L71" s="29">
        <f>IFERROR(IF(A71="","",K71/H71),"")</f>
        <v/>
      </c>
      <c r="M71" s="29">
        <f>IFERROR(IF(A71="","",VLOOKUP(B71,'Assumptions'!$A$16:$B$22,2,0)),"")</f>
        <v/>
      </c>
      <c r="N71" s="27" t="n"/>
      <c r="O71" s="27" t="n"/>
      <c r="P71" s="27" t="n"/>
      <c r="Q71" s="28">
        <f>IFERROR(IF(A71="","",MIN(H71,MAX(0,K71,ROUND(H71*M71,0)+N71+O71))),"")</f>
        <v/>
      </c>
      <c r="R71" s="28">
        <f>IFERROR(IF(A71="","",MIN(H71,MAX(0,IF(P71="",Q71,P71)))),"")</f>
        <v/>
      </c>
      <c r="S71" s="28">
        <f>IFERROR(IF(A71="","",MAX(0,R71-K71)),"")</f>
        <v/>
      </c>
      <c r="T71" s="29">
        <f>IFERROR(IF(A71="","",R71/H71),"")</f>
        <v/>
      </c>
      <c r="U71" s="29">
        <f>IFERROR(IF(A71="","",'Assumptions'!$B$5),"")</f>
        <v/>
      </c>
      <c r="V71" s="29">
        <f>IFERROR(IF(A71="","",T71-U71),"")</f>
        <v/>
      </c>
      <c r="W71" s="50" t="n"/>
      <c r="X71" s="50" t="n"/>
      <c r="Y71" s="51">
        <f>IFERROR(IF(A71="","",IF(X71&lt;&gt;"",X71,IF(W71&lt;&gt;"",W71,'Assumptions'!$B$8))),"")</f>
        <v/>
      </c>
      <c r="Z71" s="51">
        <f>IFERROR(IF(A71="","",R71*Y71),"")</f>
        <v/>
      </c>
      <c r="AA71" s="51">
        <f>IFERROR(IF(A71="","",Z71/H71),"")</f>
        <v/>
      </c>
      <c r="AB71" s="32" t="n"/>
      <c r="AC71" s="52" t="n"/>
      <c r="AD71" s="29">
        <f>IFERROR(IF(OR(A71="",AB71=""),"",AB71/H71),"")</f>
        <v/>
      </c>
      <c r="AE71" s="51">
        <f>IFERROR(IF(OR(A71="",AB71="",AC71=""),"",AB71*AC71),"")</f>
        <v/>
      </c>
      <c r="AF71" s="28">
        <f>IFERROR(IF(OR(A71="",AB71=""),"",AB71-R71),"")</f>
        <v/>
      </c>
      <c r="AG71" s="29">
        <f>IFERROR(IF(OR(A71="",AB71=""),"",IF(AD71-T71&lt;0,T71-AD71,AD71-T71)),"")</f>
        <v/>
      </c>
      <c r="AH71" s="51">
        <f>IFERROR(IF(OR(A71="",AE71=""),"",AE71-Z71),"")</f>
        <v/>
      </c>
      <c r="AI71" s="25">
        <f>IFERROR(IF(A71="","",IF(G71&gt;F71,"Check out-of-order rooms",IF(K71&gt;H71,"On the books exceeds sellable rooms",IF(R71&gt;H71,"Forecast exceeds sellable rooms",IF(AND(A71&lt;TODAY(),AB71=""),"Actual results missing","OK"))))),"")</f>
        <v/>
      </c>
    </row>
    <row r="72">
      <c r="A72" s="24" t="n"/>
      <c r="B72" s="25">
        <f>IFERROR(IF(A72="","",VLOOKUP(MOD(A72,7),'Assumptions'!$E$16:$F$22,2,0)),"")</f>
        <v/>
      </c>
      <c r="C72" s="25">
        <f>IFERROR(IF(A72="","",IF(A72&lt;TODAY(),"Past",IF(A72=TODAY(),"Today","Future"))),"")</f>
        <v/>
      </c>
      <c r="D72" s="26" t="n"/>
      <c r="E72" s="26" t="n"/>
      <c r="F72" s="27" t="n"/>
      <c r="G72" s="27" t="n"/>
      <c r="H72" s="28">
        <f>IFERROR(IF(A72="","",MAX(0,F72-G72)),"")</f>
        <v/>
      </c>
      <c r="I72" s="27" t="n"/>
      <c r="J72" s="27" t="n"/>
      <c r="K72" s="28">
        <f>IFERROR(IF(A72="","",I72+J72),"")</f>
        <v/>
      </c>
      <c r="L72" s="29">
        <f>IFERROR(IF(A72="","",K72/H72),"")</f>
        <v/>
      </c>
      <c r="M72" s="29">
        <f>IFERROR(IF(A72="","",VLOOKUP(B72,'Assumptions'!$A$16:$B$22,2,0)),"")</f>
        <v/>
      </c>
      <c r="N72" s="27" t="n"/>
      <c r="O72" s="27" t="n"/>
      <c r="P72" s="27" t="n"/>
      <c r="Q72" s="28">
        <f>IFERROR(IF(A72="","",MIN(H72,MAX(0,K72,ROUND(H72*M72,0)+N72+O72))),"")</f>
        <v/>
      </c>
      <c r="R72" s="28">
        <f>IFERROR(IF(A72="","",MIN(H72,MAX(0,IF(P72="",Q72,P72)))),"")</f>
        <v/>
      </c>
      <c r="S72" s="28">
        <f>IFERROR(IF(A72="","",MAX(0,R72-K72)),"")</f>
        <v/>
      </c>
      <c r="T72" s="29">
        <f>IFERROR(IF(A72="","",R72/H72),"")</f>
        <v/>
      </c>
      <c r="U72" s="29">
        <f>IFERROR(IF(A72="","",'Assumptions'!$B$5),"")</f>
        <v/>
      </c>
      <c r="V72" s="29">
        <f>IFERROR(IF(A72="","",T72-U72),"")</f>
        <v/>
      </c>
      <c r="W72" s="50" t="n"/>
      <c r="X72" s="50" t="n"/>
      <c r="Y72" s="51">
        <f>IFERROR(IF(A72="","",IF(X72&lt;&gt;"",X72,IF(W72&lt;&gt;"",W72,'Assumptions'!$B$8))),"")</f>
        <v/>
      </c>
      <c r="Z72" s="51">
        <f>IFERROR(IF(A72="","",R72*Y72),"")</f>
        <v/>
      </c>
      <c r="AA72" s="51">
        <f>IFERROR(IF(A72="","",Z72/H72),"")</f>
        <v/>
      </c>
      <c r="AB72" s="32" t="n"/>
      <c r="AC72" s="52" t="n"/>
      <c r="AD72" s="29">
        <f>IFERROR(IF(OR(A72="",AB72=""),"",AB72/H72),"")</f>
        <v/>
      </c>
      <c r="AE72" s="51">
        <f>IFERROR(IF(OR(A72="",AB72="",AC72=""),"",AB72*AC72),"")</f>
        <v/>
      </c>
      <c r="AF72" s="28">
        <f>IFERROR(IF(OR(A72="",AB72=""),"",AB72-R72),"")</f>
        <v/>
      </c>
      <c r="AG72" s="29">
        <f>IFERROR(IF(OR(A72="",AB72=""),"",IF(AD72-T72&lt;0,T72-AD72,AD72-T72)),"")</f>
        <v/>
      </c>
      <c r="AH72" s="51">
        <f>IFERROR(IF(OR(A72="",AE72=""),"",AE72-Z72),"")</f>
        <v/>
      </c>
      <c r="AI72" s="25">
        <f>IFERROR(IF(A72="","",IF(G72&gt;F72,"Check out-of-order rooms",IF(K72&gt;H72,"On the books exceeds sellable rooms",IF(R72&gt;H72,"Forecast exceeds sellable rooms",IF(AND(A72&lt;TODAY(),AB72=""),"Actual results missing","OK"))))),"")</f>
        <v/>
      </c>
    </row>
    <row r="73">
      <c r="A73" s="24" t="n"/>
      <c r="B73" s="25">
        <f>IFERROR(IF(A73="","",VLOOKUP(MOD(A73,7),'Assumptions'!$E$16:$F$22,2,0)),"")</f>
        <v/>
      </c>
      <c r="C73" s="25">
        <f>IFERROR(IF(A73="","",IF(A73&lt;TODAY(),"Past",IF(A73=TODAY(),"Today","Future"))),"")</f>
        <v/>
      </c>
      <c r="D73" s="26" t="n"/>
      <c r="E73" s="26" t="n"/>
      <c r="F73" s="27" t="n"/>
      <c r="G73" s="27" t="n"/>
      <c r="H73" s="28">
        <f>IFERROR(IF(A73="","",MAX(0,F73-G73)),"")</f>
        <v/>
      </c>
      <c r="I73" s="27" t="n"/>
      <c r="J73" s="27" t="n"/>
      <c r="K73" s="28">
        <f>IFERROR(IF(A73="","",I73+J73),"")</f>
        <v/>
      </c>
      <c r="L73" s="29">
        <f>IFERROR(IF(A73="","",K73/H73),"")</f>
        <v/>
      </c>
      <c r="M73" s="29">
        <f>IFERROR(IF(A73="","",VLOOKUP(B73,'Assumptions'!$A$16:$B$22,2,0)),"")</f>
        <v/>
      </c>
      <c r="N73" s="27" t="n"/>
      <c r="O73" s="27" t="n"/>
      <c r="P73" s="27" t="n"/>
      <c r="Q73" s="28">
        <f>IFERROR(IF(A73="","",MIN(H73,MAX(0,K73,ROUND(H73*M73,0)+N73+O73))),"")</f>
        <v/>
      </c>
      <c r="R73" s="28">
        <f>IFERROR(IF(A73="","",MIN(H73,MAX(0,IF(P73="",Q73,P73)))),"")</f>
        <v/>
      </c>
      <c r="S73" s="28">
        <f>IFERROR(IF(A73="","",MAX(0,R73-K73)),"")</f>
        <v/>
      </c>
      <c r="T73" s="29">
        <f>IFERROR(IF(A73="","",R73/H73),"")</f>
        <v/>
      </c>
      <c r="U73" s="29">
        <f>IFERROR(IF(A73="","",'Assumptions'!$B$5),"")</f>
        <v/>
      </c>
      <c r="V73" s="29">
        <f>IFERROR(IF(A73="","",T73-U73),"")</f>
        <v/>
      </c>
      <c r="W73" s="50" t="n"/>
      <c r="X73" s="50" t="n"/>
      <c r="Y73" s="51">
        <f>IFERROR(IF(A73="","",IF(X73&lt;&gt;"",X73,IF(W73&lt;&gt;"",W73,'Assumptions'!$B$8))),"")</f>
        <v/>
      </c>
      <c r="Z73" s="51">
        <f>IFERROR(IF(A73="","",R73*Y73),"")</f>
        <v/>
      </c>
      <c r="AA73" s="51">
        <f>IFERROR(IF(A73="","",Z73/H73),"")</f>
        <v/>
      </c>
      <c r="AB73" s="32" t="n"/>
      <c r="AC73" s="52" t="n"/>
      <c r="AD73" s="29">
        <f>IFERROR(IF(OR(A73="",AB73=""),"",AB73/H73),"")</f>
        <v/>
      </c>
      <c r="AE73" s="51">
        <f>IFERROR(IF(OR(A73="",AB73="",AC73=""),"",AB73*AC73),"")</f>
        <v/>
      </c>
      <c r="AF73" s="28">
        <f>IFERROR(IF(OR(A73="",AB73=""),"",AB73-R73),"")</f>
        <v/>
      </c>
      <c r="AG73" s="29">
        <f>IFERROR(IF(OR(A73="",AB73=""),"",IF(AD73-T73&lt;0,T73-AD73,AD73-T73)),"")</f>
        <v/>
      </c>
      <c r="AH73" s="51">
        <f>IFERROR(IF(OR(A73="",AE73=""),"",AE73-Z73),"")</f>
        <v/>
      </c>
      <c r="AI73" s="25">
        <f>IFERROR(IF(A73="","",IF(G73&gt;F73,"Check out-of-order rooms",IF(K73&gt;H73,"On the books exceeds sellable rooms",IF(R73&gt;H73,"Forecast exceeds sellable rooms",IF(AND(A73&lt;TODAY(),AB73=""),"Actual results missing","OK"))))),"")</f>
        <v/>
      </c>
    </row>
    <row r="74">
      <c r="A74" s="24" t="n"/>
      <c r="B74" s="25">
        <f>IFERROR(IF(A74="","",VLOOKUP(MOD(A74,7),'Assumptions'!$E$16:$F$22,2,0)),"")</f>
        <v/>
      </c>
      <c r="C74" s="25">
        <f>IFERROR(IF(A74="","",IF(A74&lt;TODAY(),"Past",IF(A74=TODAY(),"Today","Future"))),"")</f>
        <v/>
      </c>
      <c r="D74" s="26" t="n"/>
      <c r="E74" s="26" t="n"/>
      <c r="F74" s="27" t="n"/>
      <c r="G74" s="27" t="n"/>
      <c r="H74" s="28">
        <f>IFERROR(IF(A74="","",MAX(0,F74-G74)),"")</f>
        <v/>
      </c>
      <c r="I74" s="27" t="n"/>
      <c r="J74" s="27" t="n"/>
      <c r="K74" s="28">
        <f>IFERROR(IF(A74="","",I74+J74),"")</f>
        <v/>
      </c>
      <c r="L74" s="29">
        <f>IFERROR(IF(A74="","",K74/H74),"")</f>
        <v/>
      </c>
      <c r="M74" s="29">
        <f>IFERROR(IF(A74="","",VLOOKUP(B74,'Assumptions'!$A$16:$B$22,2,0)),"")</f>
        <v/>
      </c>
      <c r="N74" s="27" t="n"/>
      <c r="O74" s="27" t="n"/>
      <c r="P74" s="27" t="n"/>
      <c r="Q74" s="28">
        <f>IFERROR(IF(A74="","",MIN(H74,MAX(0,K74,ROUND(H74*M74,0)+N74+O74))),"")</f>
        <v/>
      </c>
      <c r="R74" s="28">
        <f>IFERROR(IF(A74="","",MIN(H74,MAX(0,IF(P74="",Q74,P74)))),"")</f>
        <v/>
      </c>
      <c r="S74" s="28">
        <f>IFERROR(IF(A74="","",MAX(0,R74-K74)),"")</f>
        <v/>
      </c>
      <c r="T74" s="29">
        <f>IFERROR(IF(A74="","",R74/H74),"")</f>
        <v/>
      </c>
      <c r="U74" s="29">
        <f>IFERROR(IF(A74="","",'Assumptions'!$B$5),"")</f>
        <v/>
      </c>
      <c r="V74" s="29">
        <f>IFERROR(IF(A74="","",T74-U74),"")</f>
        <v/>
      </c>
      <c r="W74" s="50" t="n"/>
      <c r="X74" s="50" t="n"/>
      <c r="Y74" s="51">
        <f>IFERROR(IF(A74="","",IF(X74&lt;&gt;"",X74,IF(W74&lt;&gt;"",W74,'Assumptions'!$B$8))),"")</f>
        <v/>
      </c>
      <c r="Z74" s="51">
        <f>IFERROR(IF(A74="","",R74*Y74),"")</f>
        <v/>
      </c>
      <c r="AA74" s="51">
        <f>IFERROR(IF(A74="","",Z74/H74),"")</f>
        <v/>
      </c>
      <c r="AB74" s="32" t="n"/>
      <c r="AC74" s="52" t="n"/>
      <c r="AD74" s="29">
        <f>IFERROR(IF(OR(A74="",AB74=""),"",AB74/H74),"")</f>
        <v/>
      </c>
      <c r="AE74" s="51">
        <f>IFERROR(IF(OR(A74="",AB74="",AC74=""),"",AB74*AC74),"")</f>
        <v/>
      </c>
      <c r="AF74" s="28">
        <f>IFERROR(IF(OR(A74="",AB74=""),"",AB74-R74),"")</f>
        <v/>
      </c>
      <c r="AG74" s="29">
        <f>IFERROR(IF(OR(A74="",AB74=""),"",IF(AD74-T74&lt;0,T74-AD74,AD74-T74)),"")</f>
        <v/>
      </c>
      <c r="AH74" s="51">
        <f>IFERROR(IF(OR(A74="",AE74=""),"",AE74-Z74),"")</f>
        <v/>
      </c>
      <c r="AI74" s="25">
        <f>IFERROR(IF(A74="","",IF(G74&gt;F74,"Check out-of-order rooms",IF(K74&gt;H74,"On the books exceeds sellable rooms",IF(R74&gt;H74,"Forecast exceeds sellable rooms",IF(AND(A74&lt;TODAY(),AB74=""),"Actual results missing","OK"))))),"")</f>
        <v/>
      </c>
    </row>
    <row r="75">
      <c r="A75" s="24" t="n"/>
      <c r="B75" s="25">
        <f>IFERROR(IF(A75="","",VLOOKUP(MOD(A75,7),'Assumptions'!$E$16:$F$22,2,0)),"")</f>
        <v/>
      </c>
      <c r="C75" s="25">
        <f>IFERROR(IF(A75="","",IF(A75&lt;TODAY(),"Past",IF(A75=TODAY(),"Today","Future"))),"")</f>
        <v/>
      </c>
      <c r="D75" s="26" t="n"/>
      <c r="E75" s="26" t="n"/>
      <c r="F75" s="27" t="n"/>
      <c r="G75" s="27" t="n"/>
      <c r="H75" s="28">
        <f>IFERROR(IF(A75="","",MAX(0,F75-G75)),"")</f>
        <v/>
      </c>
      <c r="I75" s="27" t="n"/>
      <c r="J75" s="27" t="n"/>
      <c r="K75" s="28">
        <f>IFERROR(IF(A75="","",I75+J75),"")</f>
        <v/>
      </c>
      <c r="L75" s="29">
        <f>IFERROR(IF(A75="","",K75/H75),"")</f>
        <v/>
      </c>
      <c r="M75" s="29">
        <f>IFERROR(IF(A75="","",VLOOKUP(B75,'Assumptions'!$A$16:$B$22,2,0)),"")</f>
        <v/>
      </c>
      <c r="N75" s="27" t="n"/>
      <c r="O75" s="27" t="n"/>
      <c r="P75" s="27" t="n"/>
      <c r="Q75" s="28">
        <f>IFERROR(IF(A75="","",MIN(H75,MAX(0,K75,ROUND(H75*M75,0)+N75+O75))),"")</f>
        <v/>
      </c>
      <c r="R75" s="28">
        <f>IFERROR(IF(A75="","",MIN(H75,MAX(0,IF(P75="",Q75,P75)))),"")</f>
        <v/>
      </c>
      <c r="S75" s="28">
        <f>IFERROR(IF(A75="","",MAX(0,R75-K75)),"")</f>
        <v/>
      </c>
      <c r="T75" s="29">
        <f>IFERROR(IF(A75="","",R75/H75),"")</f>
        <v/>
      </c>
      <c r="U75" s="29">
        <f>IFERROR(IF(A75="","",'Assumptions'!$B$5),"")</f>
        <v/>
      </c>
      <c r="V75" s="29">
        <f>IFERROR(IF(A75="","",T75-U75),"")</f>
        <v/>
      </c>
      <c r="W75" s="50" t="n"/>
      <c r="X75" s="50" t="n"/>
      <c r="Y75" s="51">
        <f>IFERROR(IF(A75="","",IF(X75&lt;&gt;"",X75,IF(W75&lt;&gt;"",W75,'Assumptions'!$B$8))),"")</f>
        <v/>
      </c>
      <c r="Z75" s="51">
        <f>IFERROR(IF(A75="","",R75*Y75),"")</f>
        <v/>
      </c>
      <c r="AA75" s="51">
        <f>IFERROR(IF(A75="","",Z75/H75),"")</f>
        <v/>
      </c>
      <c r="AB75" s="32" t="n"/>
      <c r="AC75" s="52" t="n"/>
      <c r="AD75" s="29">
        <f>IFERROR(IF(OR(A75="",AB75=""),"",AB75/H75),"")</f>
        <v/>
      </c>
      <c r="AE75" s="51">
        <f>IFERROR(IF(OR(A75="",AB75="",AC75=""),"",AB75*AC75),"")</f>
        <v/>
      </c>
      <c r="AF75" s="28">
        <f>IFERROR(IF(OR(A75="",AB75=""),"",AB75-R75),"")</f>
        <v/>
      </c>
      <c r="AG75" s="29">
        <f>IFERROR(IF(OR(A75="",AB75=""),"",IF(AD75-T75&lt;0,T75-AD75,AD75-T75)),"")</f>
        <v/>
      </c>
      <c r="AH75" s="51">
        <f>IFERROR(IF(OR(A75="",AE75=""),"",AE75-Z75),"")</f>
        <v/>
      </c>
      <c r="AI75" s="25">
        <f>IFERROR(IF(A75="","",IF(G75&gt;F75,"Check out-of-order rooms",IF(K75&gt;H75,"On the books exceeds sellable rooms",IF(R75&gt;H75,"Forecast exceeds sellable rooms",IF(AND(A75&lt;TODAY(),AB75=""),"Actual results missing","OK"))))),"")</f>
        <v/>
      </c>
    </row>
    <row r="76">
      <c r="A76" s="24" t="n"/>
      <c r="B76" s="25">
        <f>IFERROR(IF(A76="","",VLOOKUP(MOD(A76,7),'Assumptions'!$E$16:$F$22,2,0)),"")</f>
        <v/>
      </c>
      <c r="C76" s="25">
        <f>IFERROR(IF(A76="","",IF(A76&lt;TODAY(),"Past",IF(A76=TODAY(),"Today","Future"))),"")</f>
        <v/>
      </c>
      <c r="D76" s="26" t="n"/>
      <c r="E76" s="26" t="n"/>
      <c r="F76" s="27" t="n"/>
      <c r="G76" s="27" t="n"/>
      <c r="H76" s="28">
        <f>IFERROR(IF(A76="","",MAX(0,F76-G76)),"")</f>
        <v/>
      </c>
      <c r="I76" s="27" t="n"/>
      <c r="J76" s="27" t="n"/>
      <c r="K76" s="28">
        <f>IFERROR(IF(A76="","",I76+J76),"")</f>
        <v/>
      </c>
      <c r="L76" s="29">
        <f>IFERROR(IF(A76="","",K76/H76),"")</f>
        <v/>
      </c>
      <c r="M76" s="29">
        <f>IFERROR(IF(A76="","",VLOOKUP(B76,'Assumptions'!$A$16:$B$22,2,0)),"")</f>
        <v/>
      </c>
      <c r="N76" s="27" t="n"/>
      <c r="O76" s="27" t="n"/>
      <c r="P76" s="27" t="n"/>
      <c r="Q76" s="28">
        <f>IFERROR(IF(A76="","",MIN(H76,MAX(0,K76,ROUND(H76*M76,0)+N76+O76))),"")</f>
        <v/>
      </c>
      <c r="R76" s="28">
        <f>IFERROR(IF(A76="","",MIN(H76,MAX(0,IF(P76="",Q76,P76)))),"")</f>
        <v/>
      </c>
      <c r="S76" s="28">
        <f>IFERROR(IF(A76="","",MAX(0,R76-K76)),"")</f>
        <v/>
      </c>
      <c r="T76" s="29">
        <f>IFERROR(IF(A76="","",R76/H76),"")</f>
        <v/>
      </c>
      <c r="U76" s="29">
        <f>IFERROR(IF(A76="","",'Assumptions'!$B$5),"")</f>
        <v/>
      </c>
      <c r="V76" s="29">
        <f>IFERROR(IF(A76="","",T76-U76),"")</f>
        <v/>
      </c>
      <c r="W76" s="50" t="n"/>
      <c r="X76" s="50" t="n"/>
      <c r="Y76" s="51">
        <f>IFERROR(IF(A76="","",IF(X76&lt;&gt;"",X76,IF(W76&lt;&gt;"",W76,'Assumptions'!$B$8))),"")</f>
        <v/>
      </c>
      <c r="Z76" s="51">
        <f>IFERROR(IF(A76="","",R76*Y76),"")</f>
        <v/>
      </c>
      <c r="AA76" s="51">
        <f>IFERROR(IF(A76="","",Z76/H76),"")</f>
        <v/>
      </c>
      <c r="AB76" s="32" t="n"/>
      <c r="AC76" s="52" t="n"/>
      <c r="AD76" s="29">
        <f>IFERROR(IF(OR(A76="",AB76=""),"",AB76/H76),"")</f>
        <v/>
      </c>
      <c r="AE76" s="51">
        <f>IFERROR(IF(OR(A76="",AB76="",AC76=""),"",AB76*AC76),"")</f>
        <v/>
      </c>
      <c r="AF76" s="28">
        <f>IFERROR(IF(OR(A76="",AB76=""),"",AB76-R76),"")</f>
        <v/>
      </c>
      <c r="AG76" s="29">
        <f>IFERROR(IF(OR(A76="",AB76=""),"",IF(AD76-T76&lt;0,T76-AD76,AD76-T76)),"")</f>
        <v/>
      </c>
      <c r="AH76" s="51">
        <f>IFERROR(IF(OR(A76="",AE76=""),"",AE76-Z76),"")</f>
        <v/>
      </c>
      <c r="AI76" s="25">
        <f>IFERROR(IF(A76="","",IF(G76&gt;F76,"Check out-of-order rooms",IF(K76&gt;H76,"On the books exceeds sellable rooms",IF(R76&gt;H76,"Forecast exceeds sellable rooms",IF(AND(A76&lt;TODAY(),AB76=""),"Actual results missing","OK"))))),"")</f>
        <v/>
      </c>
    </row>
    <row r="77">
      <c r="A77" s="24" t="n"/>
      <c r="B77" s="25">
        <f>IFERROR(IF(A77="","",VLOOKUP(MOD(A77,7),'Assumptions'!$E$16:$F$22,2,0)),"")</f>
        <v/>
      </c>
      <c r="C77" s="25">
        <f>IFERROR(IF(A77="","",IF(A77&lt;TODAY(),"Past",IF(A77=TODAY(),"Today","Future"))),"")</f>
        <v/>
      </c>
      <c r="D77" s="26" t="n"/>
      <c r="E77" s="26" t="n"/>
      <c r="F77" s="27" t="n"/>
      <c r="G77" s="27" t="n"/>
      <c r="H77" s="28">
        <f>IFERROR(IF(A77="","",MAX(0,F77-G77)),"")</f>
        <v/>
      </c>
      <c r="I77" s="27" t="n"/>
      <c r="J77" s="27" t="n"/>
      <c r="K77" s="28">
        <f>IFERROR(IF(A77="","",I77+J77),"")</f>
        <v/>
      </c>
      <c r="L77" s="29">
        <f>IFERROR(IF(A77="","",K77/H77),"")</f>
        <v/>
      </c>
      <c r="M77" s="29">
        <f>IFERROR(IF(A77="","",VLOOKUP(B77,'Assumptions'!$A$16:$B$22,2,0)),"")</f>
        <v/>
      </c>
      <c r="N77" s="27" t="n"/>
      <c r="O77" s="27" t="n"/>
      <c r="P77" s="27" t="n"/>
      <c r="Q77" s="28">
        <f>IFERROR(IF(A77="","",MIN(H77,MAX(0,K77,ROUND(H77*M77,0)+N77+O77))),"")</f>
        <v/>
      </c>
      <c r="R77" s="28">
        <f>IFERROR(IF(A77="","",MIN(H77,MAX(0,IF(P77="",Q77,P77)))),"")</f>
        <v/>
      </c>
      <c r="S77" s="28">
        <f>IFERROR(IF(A77="","",MAX(0,R77-K77)),"")</f>
        <v/>
      </c>
      <c r="T77" s="29">
        <f>IFERROR(IF(A77="","",R77/H77),"")</f>
        <v/>
      </c>
      <c r="U77" s="29">
        <f>IFERROR(IF(A77="","",'Assumptions'!$B$5),"")</f>
        <v/>
      </c>
      <c r="V77" s="29">
        <f>IFERROR(IF(A77="","",T77-U77),"")</f>
        <v/>
      </c>
      <c r="W77" s="50" t="n"/>
      <c r="X77" s="50" t="n"/>
      <c r="Y77" s="51">
        <f>IFERROR(IF(A77="","",IF(X77&lt;&gt;"",X77,IF(W77&lt;&gt;"",W77,'Assumptions'!$B$8))),"")</f>
        <v/>
      </c>
      <c r="Z77" s="51">
        <f>IFERROR(IF(A77="","",R77*Y77),"")</f>
        <v/>
      </c>
      <c r="AA77" s="51">
        <f>IFERROR(IF(A77="","",Z77/H77),"")</f>
        <v/>
      </c>
      <c r="AB77" s="32" t="n"/>
      <c r="AC77" s="52" t="n"/>
      <c r="AD77" s="29">
        <f>IFERROR(IF(OR(A77="",AB77=""),"",AB77/H77),"")</f>
        <v/>
      </c>
      <c r="AE77" s="51">
        <f>IFERROR(IF(OR(A77="",AB77="",AC77=""),"",AB77*AC77),"")</f>
        <v/>
      </c>
      <c r="AF77" s="28">
        <f>IFERROR(IF(OR(A77="",AB77=""),"",AB77-R77),"")</f>
        <v/>
      </c>
      <c r="AG77" s="29">
        <f>IFERROR(IF(OR(A77="",AB77=""),"",IF(AD77-T77&lt;0,T77-AD77,AD77-T77)),"")</f>
        <v/>
      </c>
      <c r="AH77" s="51">
        <f>IFERROR(IF(OR(A77="",AE77=""),"",AE77-Z77),"")</f>
        <v/>
      </c>
      <c r="AI77" s="25">
        <f>IFERROR(IF(A77="","",IF(G77&gt;F77,"Check out-of-order rooms",IF(K77&gt;H77,"On the books exceeds sellable rooms",IF(R77&gt;H77,"Forecast exceeds sellable rooms",IF(AND(A77&lt;TODAY(),AB77=""),"Actual results missing","OK"))))),"")</f>
        <v/>
      </c>
    </row>
    <row r="78">
      <c r="A78" s="24" t="n"/>
      <c r="B78" s="25">
        <f>IFERROR(IF(A78="","",VLOOKUP(MOD(A78,7),'Assumptions'!$E$16:$F$22,2,0)),"")</f>
        <v/>
      </c>
      <c r="C78" s="25">
        <f>IFERROR(IF(A78="","",IF(A78&lt;TODAY(),"Past",IF(A78=TODAY(),"Today","Future"))),"")</f>
        <v/>
      </c>
      <c r="D78" s="26" t="n"/>
      <c r="E78" s="26" t="n"/>
      <c r="F78" s="27" t="n"/>
      <c r="G78" s="27" t="n"/>
      <c r="H78" s="28">
        <f>IFERROR(IF(A78="","",MAX(0,F78-G78)),"")</f>
        <v/>
      </c>
      <c r="I78" s="27" t="n"/>
      <c r="J78" s="27" t="n"/>
      <c r="K78" s="28">
        <f>IFERROR(IF(A78="","",I78+J78),"")</f>
        <v/>
      </c>
      <c r="L78" s="29">
        <f>IFERROR(IF(A78="","",K78/H78),"")</f>
        <v/>
      </c>
      <c r="M78" s="29">
        <f>IFERROR(IF(A78="","",VLOOKUP(B78,'Assumptions'!$A$16:$B$22,2,0)),"")</f>
        <v/>
      </c>
      <c r="N78" s="27" t="n"/>
      <c r="O78" s="27" t="n"/>
      <c r="P78" s="27" t="n"/>
      <c r="Q78" s="28">
        <f>IFERROR(IF(A78="","",MIN(H78,MAX(0,K78,ROUND(H78*M78,0)+N78+O78))),"")</f>
        <v/>
      </c>
      <c r="R78" s="28">
        <f>IFERROR(IF(A78="","",MIN(H78,MAX(0,IF(P78="",Q78,P78)))),"")</f>
        <v/>
      </c>
      <c r="S78" s="28">
        <f>IFERROR(IF(A78="","",MAX(0,R78-K78)),"")</f>
        <v/>
      </c>
      <c r="T78" s="29">
        <f>IFERROR(IF(A78="","",R78/H78),"")</f>
        <v/>
      </c>
      <c r="U78" s="29">
        <f>IFERROR(IF(A78="","",'Assumptions'!$B$5),"")</f>
        <v/>
      </c>
      <c r="V78" s="29">
        <f>IFERROR(IF(A78="","",T78-U78),"")</f>
        <v/>
      </c>
      <c r="W78" s="50" t="n"/>
      <c r="X78" s="50" t="n"/>
      <c r="Y78" s="51">
        <f>IFERROR(IF(A78="","",IF(X78&lt;&gt;"",X78,IF(W78&lt;&gt;"",W78,'Assumptions'!$B$8))),"")</f>
        <v/>
      </c>
      <c r="Z78" s="51">
        <f>IFERROR(IF(A78="","",R78*Y78),"")</f>
        <v/>
      </c>
      <c r="AA78" s="51">
        <f>IFERROR(IF(A78="","",Z78/H78),"")</f>
        <v/>
      </c>
      <c r="AB78" s="32" t="n"/>
      <c r="AC78" s="52" t="n"/>
      <c r="AD78" s="29">
        <f>IFERROR(IF(OR(A78="",AB78=""),"",AB78/H78),"")</f>
        <v/>
      </c>
      <c r="AE78" s="51">
        <f>IFERROR(IF(OR(A78="",AB78="",AC78=""),"",AB78*AC78),"")</f>
        <v/>
      </c>
      <c r="AF78" s="28">
        <f>IFERROR(IF(OR(A78="",AB78=""),"",AB78-R78),"")</f>
        <v/>
      </c>
      <c r="AG78" s="29">
        <f>IFERROR(IF(OR(A78="",AB78=""),"",IF(AD78-T78&lt;0,T78-AD78,AD78-T78)),"")</f>
        <v/>
      </c>
      <c r="AH78" s="51">
        <f>IFERROR(IF(OR(A78="",AE78=""),"",AE78-Z78),"")</f>
        <v/>
      </c>
      <c r="AI78" s="25">
        <f>IFERROR(IF(A78="","",IF(G78&gt;F78,"Check out-of-order rooms",IF(K78&gt;H78,"On the books exceeds sellable rooms",IF(R78&gt;H78,"Forecast exceeds sellable rooms",IF(AND(A78&lt;TODAY(),AB78=""),"Actual results missing","OK"))))),"")</f>
        <v/>
      </c>
    </row>
    <row r="79">
      <c r="A79" s="24" t="n"/>
      <c r="B79" s="25">
        <f>IFERROR(IF(A79="","",VLOOKUP(MOD(A79,7),'Assumptions'!$E$16:$F$22,2,0)),"")</f>
        <v/>
      </c>
      <c r="C79" s="25">
        <f>IFERROR(IF(A79="","",IF(A79&lt;TODAY(),"Past",IF(A79=TODAY(),"Today","Future"))),"")</f>
        <v/>
      </c>
      <c r="D79" s="26" t="n"/>
      <c r="E79" s="26" t="n"/>
      <c r="F79" s="27" t="n"/>
      <c r="G79" s="27" t="n"/>
      <c r="H79" s="28">
        <f>IFERROR(IF(A79="","",MAX(0,F79-G79)),"")</f>
        <v/>
      </c>
      <c r="I79" s="27" t="n"/>
      <c r="J79" s="27" t="n"/>
      <c r="K79" s="28">
        <f>IFERROR(IF(A79="","",I79+J79),"")</f>
        <v/>
      </c>
      <c r="L79" s="29">
        <f>IFERROR(IF(A79="","",K79/H79),"")</f>
        <v/>
      </c>
      <c r="M79" s="29">
        <f>IFERROR(IF(A79="","",VLOOKUP(B79,'Assumptions'!$A$16:$B$22,2,0)),"")</f>
        <v/>
      </c>
      <c r="N79" s="27" t="n"/>
      <c r="O79" s="27" t="n"/>
      <c r="P79" s="27" t="n"/>
      <c r="Q79" s="28">
        <f>IFERROR(IF(A79="","",MIN(H79,MAX(0,K79,ROUND(H79*M79,0)+N79+O79))),"")</f>
        <v/>
      </c>
      <c r="R79" s="28">
        <f>IFERROR(IF(A79="","",MIN(H79,MAX(0,IF(P79="",Q79,P79)))),"")</f>
        <v/>
      </c>
      <c r="S79" s="28">
        <f>IFERROR(IF(A79="","",MAX(0,R79-K79)),"")</f>
        <v/>
      </c>
      <c r="T79" s="29">
        <f>IFERROR(IF(A79="","",R79/H79),"")</f>
        <v/>
      </c>
      <c r="U79" s="29">
        <f>IFERROR(IF(A79="","",'Assumptions'!$B$5),"")</f>
        <v/>
      </c>
      <c r="V79" s="29">
        <f>IFERROR(IF(A79="","",T79-U79),"")</f>
        <v/>
      </c>
      <c r="W79" s="50" t="n"/>
      <c r="X79" s="50" t="n"/>
      <c r="Y79" s="51">
        <f>IFERROR(IF(A79="","",IF(X79&lt;&gt;"",X79,IF(W79&lt;&gt;"",W79,'Assumptions'!$B$8))),"")</f>
        <v/>
      </c>
      <c r="Z79" s="51">
        <f>IFERROR(IF(A79="","",R79*Y79),"")</f>
        <v/>
      </c>
      <c r="AA79" s="51">
        <f>IFERROR(IF(A79="","",Z79/H79),"")</f>
        <v/>
      </c>
      <c r="AB79" s="32" t="n"/>
      <c r="AC79" s="52" t="n"/>
      <c r="AD79" s="29">
        <f>IFERROR(IF(OR(A79="",AB79=""),"",AB79/H79),"")</f>
        <v/>
      </c>
      <c r="AE79" s="51">
        <f>IFERROR(IF(OR(A79="",AB79="",AC79=""),"",AB79*AC79),"")</f>
        <v/>
      </c>
      <c r="AF79" s="28">
        <f>IFERROR(IF(OR(A79="",AB79=""),"",AB79-R79),"")</f>
        <v/>
      </c>
      <c r="AG79" s="29">
        <f>IFERROR(IF(OR(A79="",AB79=""),"",IF(AD79-T79&lt;0,T79-AD79,AD79-T79)),"")</f>
        <v/>
      </c>
      <c r="AH79" s="51">
        <f>IFERROR(IF(OR(A79="",AE79=""),"",AE79-Z79),"")</f>
        <v/>
      </c>
      <c r="AI79" s="25">
        <f>IFERROR(IF(A79="","",IF(G79&gt;F79,"Check out-of-order rooms",IF(K79&gt;H79,"On the books exceeds sellable rooms",IF(R79&gt;H79,"Forecast exceeds sellable rooms",IF(AND(A79&lt;TODAY(),AB79=""),"Actual results missing","OK"))))),"")</f>
        <v/>
      </c>
    </row>
    <row r="80">
      <c r="A80" s="24" t="n"/>
      <c r="B80" s="25">
        <f>IFERROR(IF(A80="","",VLOOKUP(MOD(A80,7),'Assumptions'!$E$16:$F$22,2,0)),"")</f>
        <v/>
      </c>
      <c r="C80" s="25">
        <f>IFERROR(IF(A80="","",IF(A80&lt;TODAY(),"Past",IF(A80=TODAY(),"Today","Future"))),"")</f>
        <v/>
      </c>
      <c r="D80" s="26" t="n"/>
      <c r="E80" s="26" t="n"/>
      <c r="F80" s="27" t="n"/>
      <c r="G80" s="27" t="n"/>
      <c r="H80" s="28">
        <f>IFERROR(IF(A80="","",MAX(0,F80-G80)),"")</f>
        <v/>
      </c>
      <c r="I80" s="27" t="n"/>
      <c r="J80" s="27" t="n"/>
      <c r="K80" s="28">
        <f>IFERROR(IF(A80="","",I80+J80),"")</f>
        <v/>
      </c>
      <c r="L80" s="29">
        <f>IFERROR(IF(A80="","",K80/H80),"")</f>
        <v/>
      </c>
      <c r="M80" s="29">
        <f>IFERROR(IF(A80="","",VLOOKUP(B80,'Assumptions'!$A$16:$B$22,2,0)),"")</f>
        <v/>
      </c>
      <c r="N80" s="27" t="n"/>
      <c r="O80" s="27" t="n"/>
      <c r="P80" s="27" t="n"/>
      <c r="Q80" s="28">
        <f>IFERROR(IF(A80="","",MIN(H80,MAX(0,K80,ROUND(H80*M80,0)+N80+O80))),"")</f>
        <v/>
      </c>
      <c r="R80" s="28">
        <f>IFERROR(IF(A80="","",MIN(H80,MAX(0,IF(P80="",Q80,P80)))),"")</f>
        <v/>
      </c>
      <c r="S80" s="28">
        <f>IFERROR(IF(A80="","",MAX(0,R80-K80)),"")</f>
        <v/>
      </c>
      <c r="T80" s="29">
        <f>IFERROR(IF(A80="","",R80/H80),"")</f>
        <v/>
      </c>
      <c r="U80" s="29">
        <f>IFERROR(IF(A80="","",'Assumptions'!$B$5),"")</f>
        <v/>
      </c>
      <c r="V80" s="29">
        <f>IFERROR(IF(A80="","",T80-U80),"")</f>
        <v/>
      </c>
      <c r="W80" s="50" t="n"/>
      <c r="X80" s="50" t="n"/>
      <c r="Y80" s="51">
        <f>IFERROR(IF(A80="","",IF(X80&lt;&gt;"",X80,IF(W80&lt;&gt;"",W80,'Assumptions'!$B$8))),"")</f>
        <v/>
      </c>
      <c r="Z80" s="51">
        <f>IFERROR(IF(A80="","",R80*Y80),"")</f>
        <v/>
      </c>
      <c r="AA80" s="51">
        <f>IFERROR(IF(A80="","",Z80/H80),"")</f>
        <v/>
      </c>
      <c r="AB80" s="32" t="n"/>
      <c r="AC80" s="52" t="n"/>
      <c r="AD80" s="29">
        <f>IFERROR(IF(OR(A80="",AB80=""),"",AB80/H80),"")</f>
        <v/>
      </c>
      <c r="AE80" s="51">
        <f>IFERROR(IF(OR(A80="",AB80="",AC80=""),"",AB80*AC80),"")</f>
        <v/>
      </c>
      <c r="AF80" s="28">
        <f>IFERROR(IF(OR(A80="",AB80=""),"",AB80-R80),"")</f>
        <v/>
      </c>
      <c r="AG80" s="29">
        <f>IFERROR(IF(OR(A80="",AB80=""),"",IF(AD80-T80&lt;0,T80-AD80,AD80-T80)),"")</f>
        <v/>
      </c>
      <c r="AH80" s="51">
        <f>IFERROR(IF(OR(A80="",AE80=""),"",AE80-Z80),"")</f>
        <v/>
      </c>
      <c r="AI80" s="25">
        <f>IFERROR(IF(A80="","",IF(G80&gt;F80,"Check out-of-order rooms",IF(K80&gt;H80,"On the books exceeds sellable rooms",IF(R80&gt;H80,"Forecast exceeds sellable rooms",IF(AND(A80&lt;TODAY(),AB80=""),"Actual results missing","OK"))))),"")</f>
        <v/>
      </c>
    </row>
    <row r="81">
      <c r="A81" s="24" t="n"/>
      <c r="B81" s="25">
        <f>IFERROR(IF(A81="","",VLOOKUP(MOD(A81,7),'Assumptions'!$E$16:$F$22,2,0)),"")</f>
        <v/>
      </c>
      <c r="C81" s="25">
        <f>IFERROR(IF(A81="","",IF(A81&lt;TODAY(),"Past",IF(A81=TODAY(),"Today","Future"))),"")</f>
        <v/>
      </c>
      <c r="D81" s="26" t="n"/>
      <c r="E81" s="26" t="n"/>
      <c r="F81" s="27" t="n"/>
      <c r="G81" s="27" t="n"/>
      <c r="H81" s="28">
        <f>IFERROR(IF(A81="","",MAX(0,F81-G81)),"")</f>
        <v/>
      </c>
      <c r="I81" s="27" t="n"/>
      <c r="J81" s="27" t="n"/>
      <c r="K81" s="28">
        <f>IFERROR(IF(A81="","",I81+J81),"")</f>
        <v/>
      </c>
      <c r="L81" s="29">
        <f>IFERROR(IF(A81="","",K81/H81),"")</f>
        <v/>
      </c>
      <c r="M81" s="29">
        <f>IFERROR(IF(A81="","",VLOOKUP(B81,'Assumptions'!$A$16:$B$22,2,0)),"")</f>
        <v/>
      </c>
      <c r="N81" s="27" t="n"/>
      <c r="O81" s="27" t="n"/>
      <c r="P81" s="27" t="n"/>
      <c r="Q81" s="28">
        <f>IFERROR(IF(A81="","",MIN(H81,MAX(0,K81,ROUND(H81*M81,0)+N81+O81))),"")</f>
        <v/>
      </c>
      <c r="R81" s="28">
        <f>IFERROR(IF(A81="","",MIN(H81,MAX(0,IF(P81="",Q81,P81)))),"")</f>
        <v/>
      </c>
      <c r="S81" s="28">
        <f>IFERROR(IF(A81="","",MAX(0,R81-K81)),"")</f>
        <v/>
      </c>
      <c r="T81" s="29">
        <f>IFERROR(IF(A81="","",R81/H81),"")</f>
        <v/>
      </c>
      <c r="U81" s="29">
        <f>IFERROR(IF(A81="","",'Assumptions'!$B$5),"")</f>
        <v/>
      </c>
      <c r="V81" s="29">
        <f>IFERROR(IF(A81="","",T81-U81),"")</f>
        <v/>
      </c>
      <c r="W81" s="50" t="n"/>
      <c r="X81" s="50" t="n"/>
      <c r="Y81" s="51">
        <f>IFERROR(IF(A81="","",IF(X81&lt;&gt;"",X81,IF(W81&lt;&gt;"",W81,'Assumptions'!$B$8))),"")</f>
        <v/>
      </c>
      <c r="Z81" s="51">
        <f>IFERROR(IF(A81="","",R81*Y81),"")</f>
        <v/>
      </c>
      <c r="AA81" s="51">
        <f>IFERROR(IF(A81="","",Z81/H81),"")</f>
        <v/>
      </c>
      <c r="AB81" s="32" t="n"/>
      <c r="AC81" s="52" t="n"/>
      <c r="AD81" s="29">
        <f>IFERROR(IF(OR(A81="",AB81=""),"",AB81/H81),"")</f>
        <v/>
      </c>
      <c r="AE81" s="51">
        <f>IFERROR(IF(OR(A81="",AB81="",AC81=""),"",AB81*AC81),"")</f>
        <v/>
      </c>
      <c r="AF81" s="28">
        <f>IFERROR(IF(OR(A81="",AB81=""),"",AB81-R81),"")</f>
        <v/>
      </c>
      <c r="AG81" s="29">
        <f>IFERROR(IF(OR(A81="",AB81=""),"",IF(AD81-T81&lt;0,T81-AD81,AD81-T81)),"")</f>
        <v/>
      </c>
      <c r="AH81" s="51">
        <f>IFERROR(IF(OR(A81="",AE81=""),"",AE81-Z81),"")</f>
        <v/>
      </c>
      <c r="AI81" s="25">
        <f>IFERROR(IF(A81="","",IF(G81&gt;F81,"Check out-of-order rooms",IF(K81&gt;H81,"On the books exceeds sellable rooms",IF(R81&gt;H81,"Forecast exceeds sellable rooms",IF(AND(A81&lt;TODAY(),AB81=""),"Actual results missing","OK"))))),"")</f>
        <v/>
      </c>
    </row>
    <row r="82">
      <c r="A82" s="24" t="n"/>
      <c r="B82" s="25">
        <f>IFERROR(IF(A82="","",VLOOKUP(MOD(A82,7),'Assumptions'!$E$16:$F$22,2,0)),"")</f>
        <v/>
      </c>
      <c r="C82" s="25">
        <f>IFERROR(IF(A82="","",IF(A82&lt;TODAY(),"Past",IF(A82=TODAY(),"Today","Future"))),"")</f>
        <v/>
      </c>
      <c r="D82" s="26" t="n"/>
      <c r="E82" s="26" t="n"/>
      <c r="F82" s="27" t="n"/>
      <c r="G82" s="27" t="n"/>
      <c r="H82" s="28">
        <f>IFERROR(IF(A82="","",MAX(0,F82-G82)),"")</f>
        <v/>
      </c>
      <c r="I82" s="27" t="n"/>
      <c r="J82" s="27" t="n"/>
      <c r="K82" s="28">
        <f>IFERROR(IF(A82="","",I82+J82),"")</f>
        <v/>
      </c>
      <c r="L82" s="29">
        <f>IFERROR(IF(A82="","",K82/H82),"")</f>
        <v/>
      </c>
      <c r="M82" s="29">
        <f>IFERROR(IF(A82="","",VLOOKUP(B82,'Assumptions'!$A$16:$B$22,2,0)),"")</f>
        <v/>
      </c>
      <c r="N82" s="27" t="n"/>
      <c r="O82" s="27" t="n"/>
      <c r="P82" s="27" t="n"/>
      <c r="Q82" s="28">
        <f>IFERROR(IF(A82="","",MIN(H82,MAX(0,K82,ROUND(H82*M82,0)+N82+O82))),"")</f>
        <v/>
      </c>
      <c r="R82" s="28">
        <f>IFERROR(IF(A82="","",MIN(H82,MAX(0,IF(P82="",Q82,P82)))),"")</f>
        <v/>
      </c>
      <c r="S82" s="28">
        <f>IFERROR(IF(A82="","",MAX(0,R82-K82)),"")</f>
        <v/>
      </c>
      <c r="T82" s="29">
        <f>IFERROR(IF(A82="","",R82/H82),"")</f>
        <v/>
      </c>
      <c r="U82" s="29">
        <f>IFERROR(IF(A82="","",'Assumptions'!$B$5),"")</f>
        <v/>
      </c>
      <c r="V82" s="29">
        <f>IFERROR(IF(A82="","",T82-U82),"")</f>
        <v/>
      </c>
      <c r="W82" s="50" t="n"/>
      <c r="X82" s="50" t="n"/>
      <c r="Y82" s="51">
        <f>IFERROR(IF(A82="","",IF(X82&lt;&gt;"",X82,IF(W82&lt;&gt;"",W82,'Assumptions'!$B$8))),"")</f>
        <v/>
      </c>
      <c r="Z82" s="51">
        <f>IFERROR(IF(A82="","",R82*Y82),"")</f>
        <v/>
      </c>
      <c r="AA82" s="51">
        <f>IFERROR(IF(A82="","",Z82/H82),"")</f>
        <v/>
      </c>
      <c r="AB82" s="32" t="n"/>
      <c r="AC82" s="52" t="n"/>
      <c r="AD82" s="29">
        <f>IFERROR(IF(OR(A82="",AB82=""),"",AB82/H82),"")</f>
        <v/>
      </c>
      <c r="AE82" s="51">
        <f>IFERROR(IF(OR(A82="",AB82="",AC82=""),"",AB82*AC82),"")</f>
        <v/>
      </c>
      <c r="AF82" s="28">
        <f>IFERROR(IF(OR(A82="",AB82=""),"",AB82-R82),"")</f>
        <v/>
      </c>
      <c r="AG82" s="29">
        <f>IFERROR(IF(OR(A82="",AB82=""),"",IF(AD82-T82&lt;0,T82-AD82,AD82-T82)),"")</f>
        <v/>
      </c>
      <c r="AH82" s="51">
        <f>IFERROR(IF(OR(A82="",AE82=""),"",AE82-Z82),"")</f>
        <v/>
      </c>
      <c r="AI82" s="25">
        <f>IFERROR(IF(A82="","",IF(G82&gt;F82,"Check out-of-order rooms",IF(K82&gt;H82,"On the books exceeds sellable rooms",IF(R82&gt;H82,"Forecast exceeds sellable rooms",IF(AND(A82&lt;TODAY(),AB82=""),"Actual results missing","OK"))))),"")</f>
        <v/>
      </c>
    </row>
    <row r="83">
      <c r="A83" s="24" t="n"/>
      <c r="B83" s="25">
        <f>IFERROR(IF(A83="","",VLOOKUP(MOD(A83,7),'Assumptions'!$E$16:$F$22,2,0)),"")</f>
        <v/>
      </c>
      <c r="C83" s="25">
        <f>IFERROR(IF(A83="","",IF(A83&lt;TODAY(),"Past",IF(A83=TODAY(),"Today","Future"))),"")</f>
        <v/>
      </c>
      <c r="D83" s="26" t="n"/>
      <c r="E83" s="26" t="n"/>
      <c r="F83" s="27" t="n"/>
      <c r="G83" s="27" t="n"/>
      <c r="H83" s="28">
        <f>IFERROR(IF(A83="","",MAX(0,F83-G83)),"")</f>
        <v/>
      </c>
      <c r="I83" s="27" t="n"/>
      <c r="J83" s="27" t="n"/>
      <c r="K83" s="28">
        <f>IFERROR(IF(A83="","",I83+J83),"")</f>
        <v/>
      </c>
      <c r="L83" s="29">
        <f>IFERROR(IF(A83="","",K83/H83),"")</f>
        <v/>
      </c>
      <c r="M83" s="29">
        <f>IFERROR(IF(A83="","",VLOOKUP(B83,'Assumptions'!$A$16:$B$22,2,0)),"")</f>
        <v/>
      </c>
      <c r="N83" s="27" t="n"/>
      <c r="O83" s="27" t="n"/>
      <c r="P83" s="27" t="n"/>
      <c r="Q83" s="28">
        <f>IFERROR(IF(A83="","",MIN(H83,MAX(0,K83,ROUND(H83*M83,0)+N83+O83))),"")</f>
        <v/>
      </c>
      <c r="R83" s="28">
        <f>IFERROR(IF(A83="","",MIN(H83,MAX(0,IF(P83="",Q83,P83)))),"")</f>
        <v/>
      </c>
      <c r="S83" s="28">
        <f>IFERROR(IF(A83="","",MAX(0,R83-K83)),"")</f>
        <v/>
      </c>
      <c r="T83" s="29">
        <f>IFERROR(IF(A83="","",R83/H83),"")</f>
        <v/>
      </c>
      <c r="U83" s="29">
        <f>IFERROR(IF(A83="","",'Assumptions'!$B$5),"")</f>
        <v/>
      </c>
      <c r="V83" s="29">
        <f>IFERROR(IF(A83="","",T83-U83),"")</f>
        <v/>
      </c>
      <c r="W83" s="50" t="n"/>
      <c r="X83" s="50" t="n"/>
      <c r="Y83" s="51">
        <f>IFERROR(IF(A83="","",IF(X83&lt;&gt;"",X83,IF(W83&lt;&gt;"",W83,'Assumptions'!$B$8))),"")</f>
        <v/>
      </c>
      <c r="Z83" s="51">
        <f>IFERROR(IF(A83="","",R83*Y83),"")</f>
        <v/>
      </c>
      <c r="AA83" s="51">
        <f>IFERROR(IF(A83="","",Z83/H83),"")</f>
        <v/>
      </c>
      <c r="AB83" s="32" t="n"/>
      <c r="AC83" s="52" t="n"/>
      <c r="AD83" s="29">
        <f>IFERROR(IF(OR(A83="",AB83=""),"",AB83/H83),"")</f>
        <v/>
      </c>
      <c r="AE83" s="51">
        <f>IFERROR(IF(OR(A83="",AB83="",AC83=""),"",AB83*AC83),"")</f>
        <v/>
      </c>
      <c r="AF83" s="28">
        <f>IFERROR(IF(OR(A83="",AB83=""),"",AB83-R83),"")</f>
        <v/>
      </c>
      <c r="AG83" s="29">
        <f>IFERROR(IF(OR(A83="",AB83=""),"",IF(AD83-T83&lt;0,T83-AD83,AD83-T83)),"")</f>
        <v/>
      </c>
      <c r="AH83" s="51">
        <f>IFERROR(IF(OR(A83="",AE83=""),"",AE83-Z83),"")</f>
        <v/>
      </c>
      <c r="AI83" s="25">
        <f>IFERROR(IF(A83="","",IF(G83&gt;F83,"Check out-of-order rooms",IF(K83&gt;H83,"On the books exceeds sellable rooms",IF(R83&gt;H83,"Forecast exceeds sellable rooms",IF(AND(A83&lt;TODAY(),AB83=""),"Actual results missing","OK"))))),"")</f>
        <v/>
      </c>
    </row>
    <row r="84">
      <c r="A84" s="24" t="n"/>
      <c r="B84" s="25">
        <f>IFERROR(IF(A84="","",VLOOKUP(MOD(A84,7),'Assumptions'!$E$16:$F$22,2,0)),"")</f>
        <v/>
      </c>
      <c r="C84" s="25">
        <f>IFERROR(IF(A84="","",IF(A84&lt;TODAY(),"Past",IF(A84=TODAY(),"Today","Future"))),"")</f>
        <v/>
      </c>
      <c r="D84" s="26" t="n"/>
      <c r="E84" s="26" t="n"/>
      <c r="F84" s="27" t="n"/>
      <c r="G84" s="27" t="n"/>
      <c r="H84" s="28">
        <f>IFERROR(IF(A84="","",MAX(0,F84-G84)),"")</f>
        <v/>
      </c>
      <c r="I84" s="27" t="n"/>
      <c r="J84" s="27" t="n"/>
      <c r="K84" s="28">
        <f>IFERROR(IF(A84="","",I84+J84),"")</f>
        <v/>
      </c>
      <c r="L84" s="29">
        <f>IFERROR(IF(A84="","",K84/H84),"")</f>
        <v/>
      </c>
      <c r="M84" s="29">
        <f>IFERROR(IF(A84="","",VLOOKUP(B84,'Assumptions'!$A$16:$B$22,2,0)),"")</f>
        <v/>
      </c>
      <c r="N84" s="27" t="n"/>
      <c r="O84" s="27" t="n"/>
      <c r="P84" s="27" t="n"/>
      <c r="Q84" s="28">
        <f>IFERROR(IF(A84="","",MIN(H84,MAX(0,K84,ROUND(H84*M84,0)+N84+O84))),"")</f>
        <v/>
      </c>
      <c r="R84" s="28">
        <f>IFERROR(IF(A84="","",MIN(H84,MAX(0,IF(P84="",Q84,P84)))),"")</f>
        <v/>
      </c>
      <c r="S84" s="28">
        <f>IFERROR(IF(A84="","",MAX(0,R84-K84)),"")</f>
        <v/>
      </c>
      <c r="T84" s="29">
        <f>IFERROR(IF(A84="","",R84/H84),"")</f>
        <v/>
      </c>
      <c r="U84" s="29">
        <f>IFERROR(IF(A84="","",'Assumptions'!$B$5),"")</f>
        <v/>
      </c>
      <c r="V84" s="29">
        <f>IFERROR(IF(A84="","",T84-U84),"")</f>
        <v/>
      </c>
      <c r="W84" s="50" t="n"/>
      <c r="X84" s="50" t="n"/>
      <c r="Y84" s="51">
        <f>IFERROR(IF(A84="","",IF(X84&lt;&gt;"",X84,IF(W84&lt;&gt;"",W84,'Assumptions'!$B$8))),"")</f>
        <v/>
      </c>
      <c r="Z84" s="51">
        <f>IFERROR(IF(A84="","",R84*Y84),"")</f>
        <v/>
      </c>
      <c r="AA84" s="51">
        <f>IFERROR(IF(A84="","",Z84/H84),"")</f>
        <v/>
      </c>
      <c r="AB84" s="32" t="n"/>
      <c r="AC84" s="52" t="n"/>
      <c r="AD84" s="29">
        <f>IFERROR(IF(OR(A84="",AB84=""),"",AB84/H84),"")</f>
        <v/>
      </c>
      <c r="AE84" s="51">
        <f>IFERROR(IF(OR(A84="",AB84="",AC84=""),"",AB84*AC84),"")</f>
        <v/>
      </c>
      <c r="AF84" s="28">
        <f>IFERROR(IF(OR(A84="",AB84=""),"",AB84-R84),"")</f>
        <v/>
      </c>
      <c r="AG84" s="29">
        <f>IFERROR(IF(OR(A84="",AB84=""),"",IF(AD84-T84&lt;0,T84-AD84,AD84-T84)),"")</f>
        <v/>
      </c>
      <c r="AH84" s="51">
        <f>IFERROR(IF(OR(A84="",AE84=""),"",AE84-Z84),"")</f>
        <v/>
      </c>
      <c r="AI84" s="25">
        <f>IFERROR(IF(A84="","",IF(G84&gt;F84,"Check out-of-order rooms",IF(K84&gt;H84,"On the books exceeds sellable rooms",IF(R84&gt;H84,"Forecast exceeds sellable rooms",IF(AND(A84&lt;TODAY(),AB84=""),"Actual results missing","OK"))))),"")</f>
        <v/>
      </c>
    </row>
    <row r="85">
      <c r="A85" s="24" t="n"/>
      <c r="B85" s="25">
        <f>IFERROR(IF(A85="","",VLOOKUP(MOD(A85,7),'Assumptions'!$E$16:$F$22,2,0)),"")</f>
        <v/>
      </c>
      <c r="C85" s="25">
        <f>IFERROR(IF(A85="","",IF(A85&lt;TODAY(),"Past",IF(A85=TODAY(),"Today","Future"))),"")</f>
        <v/>
      </c>
      <c r="D85" s="26" t="n"/>
      <c r="E85" s="26" t="n"/>
      <c r="F85" s="27" t="n"/>
      <c r="G85" s="27" t="n"/>
      <c r="H85" s="28">
        <f>IFERROR(IF(A85="","",MAX(0,F85-G85)),"")</f>
        <v/>
      </c>
      <c r="I85" s="27" t="n"/>
      <c r="J85" s="27" t="n"/>
      <c r="K85" s="28">
        <f>IFERROR(IF(A85="","",I85+J85),"")</f>
        <v/>
      </c>
      <c r="L85" s="29">
        <f>IFERROR(IF(A85="","",K85/H85),"")</f>
        <v/>
      </c>
      <c r="M85" s="29">
        <f>IFERROR(IF(A85="","",VLOOKUP(B85,'Assumptions'!$A$16:$B$22,2,0)),"")</f>
        <v/>
      </c>
      <c r="N85" s="27" t="n"/>
      <c r="O85" s="27" t="n"/>
      <c r="P85" s="27" t="n"/>
      <c r="Q85" s="28">
        <f>IFERROR(IF(A85="","",MIN(H85,MAX(0,K85,ROUND(H85*M85,0)+N85+O85))),"")</f>
        <v/>
      </c>
      <c r="R85" s="28">
        <f>IFERROR(IF(A85="","",MIN(H85,MAX(0,IF(P85="",Q85,P85)))),"")</f>
        <v/>
      </c>
      <c r="S85" s="28">
        <f>IFERROR(IF(A85="","",MAX(0,R85-K85)),"")</f>
        <v/>
      </c>
      <c r="T85" s="29">
        <f>IFERROR(IF(A85="","",R85/H85),"")</f>
        <v/>
      </c>
      <c r="U85" s="29">
        <f>IFERROR(IF(A85="","",'Assumptions'!$B$5),"")</f>
        <v/>
      </c>
      <c r="V85" s="29">
        <f>IFERROR(IF(A85="","",T85-U85),"")</f>
        <v/>
      </c>
      <c r="W85" s="50" t="n"/>
      <c r="X85" s="50" t="n"/>
      <c r="Y85" s="51">
        <f>IFERROR(IF(A85="","",IF(X85&lt;&gt;"",X85,IF(W85&lt;&gt;"",W85,'Assumptions'!$B$8))),"")</f>
        <v/>
      </c>
      <c r="Z85" s="51">
        <f>IFERROR(IF(A85="","",R85*Y85),"")</f>
        <v/>
      </c>
      <c r="AA85" s="51">
        <f>IFERROR(IF(A85="","",Z85/H85),"")</f>
        <v/>
      </c>
      <c r="AB85" s="32" t="n"/>
      <c r="AC85" s="52" t="n"/>
      <c r="AD85" s="29">
        <f>IFERROR(IF(OR(A85="",AB85=""),"",AB85/H85),"")</f>
        <v/>
      </c>
      <c r="AE85" s="51">
        <f>IFERROR(IF(OR(A85="",AB85="",AC85=""),"",AB85*AC85),"")</f>
        <v/>
      </c>
      <c r="AF85" s="28">
        <f>IFERROR(IF(OR(A85="",AB85=""),"",AB85-R85),"")</f>
        <v/>
      </c>
      <c r="AG85" s="29">
        <f>IFERROR(IF(OR(A85="",AB85=""),"",IF(AD85-T85&lt;0,T85-AD85,AD85-T85)),"")</f>
        <v/>
      </c>
      <c r="AH85" s="51">
        <f>IFERROR(IF(OR(A85="",AE85=""),"",AE85-Z85),"")</f>
        <v/>
      </c>
      <c r="AI85" s="25">
        <f>IFERROR(IF(A85="","",IF(G85&gt;F85,"Check out-of-order rooms",IF(K85&gt;H85,"On the books exceeds sellable rooms",IF(R85&gt;H85,"Forecast exceeds sellable rooms",IF(AND(A85&lt;TODAY(),AB85=""),"Actual results missing","OK"))))),"")</f>
        <v/>
      </c>
    </row>
    <row r="86">
      <c r="A86" s="24" t="n"/>
      <c r="B86" s="25">
        <f>IFERROR(IF(A86="","",VLOOKUP(MOD(A86,7),'Assumptions'!$E$16:$F$22,2,0)),"")</f>
        <v/>
      </c>
      <c r="C86" s="25">
        <f>IFERROR(IF(A86="","",IF(A86&lt;TODAY(),"Past",IF(A86=TODAY(),"Today","Future"))),"")</f>
        <v/>
      </c>
      <c r="D86" s="26" t="n"/>
      <c r="E86" s="26" t="n"/>
      <c r="F86" s="27" t="n"/>
      <c r="G86" s="27" t="n"/>
      <c r="H86" s="28">
        <f>IFERROR(IF(A86="","",MAX(0,F86-G86)),"")</f>
        <v/>
      </c>
      <c r="I86" s="27" t="n"/>
      <c r="J86" s="27" t="n"/>
      <c r="K86" s="28">
        <f>IFERROR(IF(A86="","",I86+J86),"")</f>
        <v/>
      </c>
      <c r="L86" s="29">
        <f>IFERROR(IF(A86="","",K86/H86),"")</f>
        <v/>
      </c>
      <c r="M86" s="29">
        <f>IFERROR(IF(A86="","",VLOOKUP(B86,'Assumptions'!$A$16:$B$22,2,0)),"")</f>
        <v/>
      </c>
      <c r="N86" s="27" t="n"/>
      <c r="O86" s="27" t="n"/>
      <c r="P86" s="27" t="n"/>
      <c r="Q86" s="28">
        <f>IFERROR(IF(A86="","",MIN(H86,MAX(0,K86,ROUND(H86*M86,0)+N86+O86))),"")</f>
        <v/>
      </c>
      <c r="R86" s="28">
        <f>IFERROR(IF(A86="","",MIN(H86,MAX(0,IF(P86="",Q86,P86)))),"")</f>
        <v/>
      </c>
      <c r="S86" s="28">
        <f>IFERROR(IF(A86="","",MAX(0,R86-K86)),"")</f>
        <v/>
      </c>
      <c r="T86" s="29">
        <f>IFERROR(IF(A86="","",R86/H86),"")</f>
        <v/>
      </c>
      <c r="U86" s="29">
        <f>IFERROR(IF(A86="","",'Assumptions'!$B$5),"")</f>
        <v/>
      </c>
      <c r="V86" s="29">
        <f>IFERROR(IF(A86="","",T86-U86),"")</f>
        <v/>
      </c>
      <c r="W86" s="50" t="n"/>
      <c r="X86" s="50" t="n"/>
      <c r="Y86" s="51">
        <f>IFERROR(IF(A86="","",IF(X86&lt;&gt;"",X86,IF(W86&lt;&gt;"",W86,'Assumptions'!$B$8))),"")</f>
        <v/>
      </c>
      <c r="Z86" s="51">
        <f>IFERROR(IF(A86="","",R86*Y86),"")</f>
        <v/>
      </c>
      <c r="AA86" s="51">
        <f>IFERROR(IF(A86="","",Z86/H86),"")</f>
        <v/>
      </c>
      <c r="AB86" s="32" t="n"/>
      <c r="AC86" s="52" t="n"/>
      <c r="AD86" s="29">
        <f>IFERROR(IF(OR(A86="",AB86=""),"",AB86/H86),"")</f>
        <v/>
      </c>
      <c r="AE86" s="51">
        <f>IFERROR(IF(OR(A86="",AB86="",AC86=""),"",AB86*AC86),"")</f>
        <v/>
      </c>
      <c r="AF86" s="28">
        <f>IFERROR(IF(OR(A86="",AB86=""),"",AB86-R86),"")</f>
        <v/>
      </c>
      <c r="AG86" s="29">
        <f>IFERROR(IF(OR(A86="",AB86=""),"",IF(AD86-T86&lt;0,T86-AD86,AD86-T86)),"")</f>
        <v/>
      </c>
      <c r="AH86" s="51">
        <f>IFERROR(IF(OR(A86="",AE86=""),"",AE86-Z86),"")</f>
        <v/>
      </c>
      <c r="AI86" s="25">
        <f>IFERROR(IF(A86="","",IF(G86&gt;F86,"Check out-of-order rooms",IF(K86&gt;H86,"On the books exceeds sellable rooms",IF(R86&gt;H86,"Forecast exceeds sellable rooms",IF(AND(A86&lt;TODAY(),AB86=""),"Actual results missing","OK"))))),"")</f>
        <v/>
      </c>
    </row>
    <row r="87">
      <c r="A87" s="24" t="n"/>
      <c r="B87" s="25">
        <f>IFERROR(IF(A87="","",VLOOKUP(MOD(A87,7),'Assumptions'!$E$16:$F$22,2,0)),"")</f>
        <v/>
      </c>
      <c r="C87" s="25">
        <f>IFERROR(IF(A87="","",IF(A87&lt;TODAY(),"Past",IF(A87=TODAY(),"Today","Future"))),"")</f>
        <v/>
      </c>
      <c r="D87" s="26" t="n"/>
      <c r="E87" s="26" t="n"/>
      <c r="F87" s="27" t="n"/>
      <c r="G87" s="27" t="n"/>
      <c r="H87" s="28">
        <f>IFERROR(IF(A87="","",MAX(0,F87-G87)),"")</f>
        <v/>
      </c>
      <c r="I87" s="27" t="n"/>
      <c r="J87" s="27" t="n"/>
      <c r="K87" s="28">
        <f>IFERROR(IF(A87="","",I87+J87),"")</f>
        <v/>
      </c>
      <c r="L87" s="29">
        <f>IFERROR(IF(A87="","",K87/H87),"")</f>
        <v/>
      </c>
      <c r="M87" s="29">
        <f>IFERROR(IF(A87="","",VLOOKUP(B87,'Assumptions'!$A$16:$B$22,2,0)),"")</f>
        <v/>
      </c>
      <c r="N87" s="27" t="n"/>
      <c r="O87" s="27" t="n"/>
      <c r="P87" s="27" t="n"/>
      <c r="Q87" s="28">
        <f>IFERROR(IF(A87="","",MIN(H87,MAX(0,K87,ROUND(H87*M87,0)+N87+O87))),"")</f>
        <v/>
      </c>
      <c r="R87" s="28">
        <f>IFERROR(IF(A87="","",MIN(H87,MAX(0,IF(P87="",Q87,P87)))),"")</f>
        <v/>
      </c>
      <c r="S87" s="28">
        <f>IFERROR(IF(A87="","",MAX(0,R87-K87)),"")</f>
        <v/>
      </c>
      <c r="T87" s="29">
        <f>IFERROR(IF(A87="","",R87/H87),"")</f>
        <v/>
      </c>
      <c r="U87" s="29">
        <f>IFERROR(IF(A87="","",'Assumptions'!$B$5),"")</f>
        <v/>
      </c>
      <c r="V87" s="29">
        <f>IFERROR(IF(A87="","",T87-U87),"")</f>
        <v/>
      </c>
      <c r="W87" s="50" t="n"/>
      <c r="X87" s="50" t="n"/>
      <c r="Y87" s="51">
        <f>IFERROR(IF(A87="","",IF(X87&lt;&gt;"",X87,IF(W87&lt;&gt;"",W87,'Assumptions'!$B$8))),"")</f>
        <v/>
      </c>
      <c r="Z87" s="51">
        <f>IFERROR(IF(A87="","",R87*Y87),"")</f>
        <v/>
      </c>
      <c r="AA87" s="51">
        <f>IFERROR(IF(A87="","",Z87/H87),"")</f>
        <v/>
      </c>
      <c r="AB87" s="32" t="n"/>
      <c r="AC87" s="52" t="n"/>
      <c r="AD87" s="29">
        <f>IFERROR(IF(OR(A87="",AB87=""),"",AB87/H87),"")</f>
        <v/>
      </c>
      <c r="AE87" s="51">
        <f>IFERROR(IF(OR(A87="",AB87="",AC87=""),"",AB87*AC87),"")</f>
        <v/>
      </c>
      <c r="AF87" s="28">
        <f>IFERROR(IF(OR(A87="",AB87=""),"",AB87-R87),"")</f>
        <v/>
      </c>
      <c r="AG87" s="29">
        <f>IFERROR(IF(OR(A87="",AB87=""),"",IF(AD87-T87&lt;0,T87-AD87,AD87-T87)),"")</f>
        <v/>
      </c>
      <c r="AH87" s="51">
        <f>IFERROR(IF(OR(A87="",AE87=""),"",AE87-Z87),"")</f>
        <v/>
      </c>
      <c r="AI87" s="25">
        <f>IFERROR(IF(A87="","",IF(G87&gt;F87,"Check out-of-order rooms",IF(K87&gt;H87,"On the books exceeds sellable rooms",IF(R87&gt;H87,"Forecast exceeds sellable rooms",IF(AND(A87&lt;TODAY(),AB87=""),"Actual results missing","OK"))))),"")</f>
        <v/>
      </c>
    </row>
    <row r="88">
      <c r="A88" s="24" t="n"/>
      <c r="B88" s="25">
        <f>IFERROR(IF(A88="","",VLOOKUP(MOD(A88,7),'Assumptions'!$E$16:$F$22,2,0)),"")</f>
        <v/>
      </c>
      <c r="C88" s="25">
        <f>IFERROR(IF(A88="","",IF(A88&lt;TODAY(),"Past",IF(A88=TODAY(),"Today","Future"))),"")</f>
        <v/>
      </c>
      <c r="D88" s="26" t="n"/>
      <c r="E88" s="26" t="n"/>
      <c r="F88" s="27" t="n"/>
      <c r="G88" s="27" t="n"/>
      <c r="H88" s="28">
        <f>IFERROR(IF(A88="","",MAX(0,F88-G88)),"")</f>
        <v/>
      </c>
      <c r="I88" s="27" t="n"/>
      <c r="J88" s="27" t="n"/>
      <c r="K88" s="28">
        <f>IFERROR(IF(A88="","",I88+J88),"")</f>
        <v/>
      </c>
      <c r="L88" s="29">
        <f>IFERROR(IF(A88="","",K88/H88),"")</f>
        <v/>
      </c>
      <c r="M88" s="29">
        <f>IFERROR(IF(A88="","",VLOOKUP(B88,'Assumptions'!$A$16:$B$22,2,0)),"")</f>
        <v/>
      </c>
      <c r="N88" s="27" t="n"/>
      <c r="O88" s="27" t="n"/>
      <c r="P88" s="27" t="n"/>
      <c r="Q88" s="28">
        <f>IFERROR(IF(A88="","",MIN(H88,MAX(0,K88,ROUND(H88*M88,0)+N88+O88))),"")</f>
        <v/>
      </c>
      <c r="R88" s="28">
        <f>IFERROR(IF(A88="","",MIN(H88,MAX(0,IF(P88="",Q88,P88)))),"")</f>
        <v/>
      </c>
      <c r="S88" s="28">
        <f>IFERROR(IF(A88="","",MAX(0,R88-K88)),"")</f>
        <v/>
      </c>
      <c r="T88" s="29">
        <f>IFERROR(IF(A88="","",R88/H88),"")</f>
        <v/>
      </c>
      <c r="U88" s="29">
        <f>IFERROR(IF(A88="","",'Assumptions'!$B$5),"")</f>
        <v/>
      </c>
      <c r="V88" s="29">
        <f>IFERROR(IF(A88="","",T88-U88),"")</f>
        <v/>
      </c>
      <c r="W88" s="50" t="n"/>
      <c r="X88" s="50" t="n"/>
      <c r="Y88" s="51">
        <f>IFERROR(IF(A88="","",IF(X88&lt;&gt;"",X88,IF(W88&lt;&gt;"",W88,'Assumptions'!$B$8))),"")</f>
        <v/>
      </c>
      <c r="Z88" s="51">
        <f>IFERROR(IF(A88="","",R88*Y88),"")</f>
        <v/>
      </c>
      <c r="AA88" s="51">
        <f>IFERROR(IF(A88="","",Z88/H88),"")</f>
        <v/>
      </c>
      <c r="AB88" s="32" t="n"/>
      <c r="AC88" s="52" t="n"/>
      <c r="AD88" s="29">
        <f>IFERROR(IF(OR(A88="",AB88=""),"",AB88/H88),"")</f>
        <v/>
      </c>
      <c r="AE88" s="51">
        <f>IFERROR(IF(OR(A88="",AB88="",AC88=""),"",AB88*AC88),"")</f>
        <v/>
      </c>
      <c r="AF88" s="28">
        <f>IFERROR(IF(OR(A88="",AB88=""),"",AB88-R88),"")</f>
        <v/>
      </c>
      <c r="AG88" s="29">
        <f>IFERROR(IF(OR(A88="",AB88=""),"",IF(AD88-T88&lt;0,T88-AD88,AD88-T88)),"")</f>
        <v/>
      </c>
      <c r="AH88" s="51">
        <f>IFERROR(IF(OR(A88="",AE88=""),"",AE88-Z88),"")</f>
        <v/>
      </c>
      <c r="AI88" s="25">
        <f>IFERROR(IF(A88="","",IF(G88&gt;F88,"Check out-of-order rooms",IF(K88&gt;H88,"On the books exceeds sellable rooms",IF(R88&gt;H88,"Forecast exceeds sellable rooms",IF(AND(A88&lt;TODAY(),AB88=""),"Actual results missing","OK"))))),"")</f>
        <v/>
      </c>
    </row>
    <row r="89">
      <c r="A89" s="24" t="n"/>
      <c r="B89" s="25">
        <f>IFERROR(IF(A89="","",VLOOKUP(MOD(A89,7),'Assumptions'!$E$16:$F$22,2,0)),"")</f>
        <v/>
      </c>
      <c r="C89" s="25">
        <f>IFERROR(IF(A89="","",IF(A89&lt;TODAY(),"Past",IF(A89=TODAY(),"Today","Future"))),"")</f>
        <v/>
      </c>
      <c r="D89" s="26" t="n"/>
      <c r="E89" s="26" t="n"/>
      <c r="F89" s="27" t="n"/>
      <c r="G89" s="27" t="n"/>
      <c r="H89" s="28">
        <f>IFERROR(IF(A89="","",MAX(0,F89-G89)),"")</f>
        <v/>
      </c>
      <c r="I89" s="27" t="n"/>
      <c r="J89" s="27" t="n"/>
      <c r="K89" s="28">
        <f>IFERROR(IF(A89="","",I89+J89),"")</f>
        <v/>
      </c>
      <c r="L89" s="29">
        <f>IFERROR(IF(A89="","",K89/H89),"")</f>
        <v/>
      </c>
      <c r="M89" s="29">
        <f>IFERROR(IF(A89="","",VLOOKUP(B89,'Assumptions'!$A$16:$B$22,2,0)),"")</f>
        <v/>
      </c>
      <c r="N89" s="27" t="n"/>
      <c r="O89" s="27" t="n"/>
      <c r="P89" s="27" t="n"/>
      <c r="Q89" s="28">
        <f>IFERROR(IF(A89="","",MIN(H89,MAX(0,K89,ROUND(H89*M89,0)+N89+O89))),"")</f>
        <v/>
      </c>
      <c r="R89" s="28">
        <f>IFERROR(IF(A89="","",MIN(H89,MAX(0,IF(P89="",Q89,P89)))),"")</f>
        <v/>
      </c>
      <c r="S89" s="28">
        <f>IFERROR(IF(A89="","",MAX(0,R89-K89)),"")</f>
        <v/>
      </c>
      <c r="T89" s="29">
        <f>IFERROR(IF(A89="","",R89/H89),"")</f>
        <v/>
      </c>
      <c r="U89" s="29">
        <f>IFERROR(IF(A89="","",'Assumptions'!$B$5),"")</f>
        <v/>
      </c>
      <c r="V89" s="29">
        <f>IFERROR(IF(A89="","",T89-U89),"")</f>
        <v/>
      </c>
      <c r="W89" s="50" t="n"/>
      <c r="X89" s="50" t="n"/>
      <c r="Y89" s="51">
        <f>IFERROR(IF(A89="","",IF(X89&lt;&gt;"",X89,IF(W89&lt;&gt;"",W89,'Assumptions'!$B$8))),"")</f>
        <v/>
      </c>
      <c r="Z89" s="51">
        <f>IFERROR(IF(A89="","",R89*Y89),"")</f>
        <v/>
      </c>
      <c r="AA89" s="51">
        <f>IFERROR(IF(A89="","",Z89/H89),"")</f>
        <v/>
      </c>
      <c r="AB89" s="32" t="n"/>
      <c r="AC89" s="52" t="n"/>
      <c r="AD89" s="29">
        <f>IFERROR(IF(OR(A89="",AB89=""),"",AB89/H89),"")</f>
        <v/>
      </c>
      <c r="AE89" s="51">
        <f>IFERROR(IF(OR(A89="",AB89="",AC89=""),"",AB89*AC89),"")</f>
        <v/>
      </c>
      <c r="AF89" s="28">
        <f>IFERROR(IF(OR(A89="",AB89=""),"",AB89-R89),"")</f>
        <v/>
      </c>
      <c r="AG89" s="29">
        <f>IFERROR(IF(OR(A89="",AB89=""),"",IF(AD89-T89&lt;0,T89-AD89,AD89-T89)),"")</f>
        <v/>
      </c>
      <c r="AH89" s="51">
        <f>IFERROR(IF(OR(A89="",AE89=""),"",AE89-Z89),"")</f>
        <v/>
      </c>
      <c r="AI89" s="25">
        <f>IFERROR(IF(A89="","",IF(G89&gt;F89,"Check out-of-order rooms",IF(K89&gt;H89,"On the books exceeds sellable rooms",IF(R89&gt;H89,"Forecast exceeds sellable rooms",IF(AND(A89&lt;TODAY(),AB89=""),"Actual results missing","OK"))))),"")</f>
        <v/>
      </c>
    </row>
    <row r="90">
      <c r="A90" s="24" t="n"/>
      <c r="B90" s="25">
        <f>IFERROR(IF(A90="","",VLOOKUP(MOD(A90,7),'Assumptions'!$E$16:$F$22,2,0)),"")</f>
        <v/>
      </c>
      <c r="C90" s="25">
        <f>IFERROR(IF(A90="","",IF(A90&lt;TODAY(),"Past",IF(A90=TODAY(),"Today","Future"))),"")</f>
        <v/>
      </c>
      <c r="D90" s="26" t="n"/>
      <c r="E90" s="26" t="n"/>
      <c r="F90" s="27" t="n"/>
      <c r="G90" s="27" t="n"/>
      <c r="H90" s="28">
        <f>IFERROR(IF(A90="","",MAX(0,F90-G90)),"")</f>
        <v/>
      </c>
      <c r="I90" s="27" t="n"/>
      <c r="J90" s="27" t="n"/>
      <c r="K90" s="28">
        <f>IFERROR(IF(A90="","",I90+J90),"")</f>
        <v/>
      </c>
      <c r="L90" s="29">
        <f>IFERROR(IF(A90="","",K90/H90),"")</f>
        <v/>
      </c>
      <c r="M90" s="29">
        <f>IFERROR(IF(A90="","",VLOOKUP(B90,'Assumptions'!$A$16:$B$22,2,0)),"")</f>
        <v/>
      </c>
      <c r="N90" s="27" t="n"/>
      <c r="O90" s="27" t="n"/>
      <c r="P90" s="27" t="n"/>
      <c r="Q90" s="28">
        <f>IFERROR(IF(A90="","",MIN(H90,MAX(0,K90,ROUND(H90*M90,0)+N90+O90))),"")</f>
        <v/>
      </c>
      <c r="R90" s="28">
        <f>IFERROR(IF(A90="","",MIN(H90,MAX(0,IF(P90="",Q90,P90)))),"")</f>
        <v/>
      </c>
      <c r="S90" s="28">
        <f>IFERROR(IF(A90="","",MAX(0,R90-K90)),"")</f>
        <v/>
      </c>
      <c r="T90" s="29">
        <f>IFERROR(IF(A90="","",R90/H90),"")</f>
        <v/>
      </c>
      <c r="U90" s="29">
        <f>IFERROR(IF(A90="","",'Assumptions'!$B$5),"")</f>
        <v/>
      </c>
      <c r="V90" s="29">
        <f>IFERROR(IF(A90="","",T90-U90),"")</f>
        <v/>
      </c>
      <c r="W90" s="50" t="n"/>
      <c r="X90" s="50" t="n"/>
      <c r="Y90" s="51">
        <f>IFERROR(IF(A90="","",IF(X90&lt;&gt;"",X90,IF(W90&lt;&gt;"",W90,'Assumptions'!$B$8))),"")</f>
        <v/>
      </c>
      <c r="Z90" s="51">
        <f>IFERROR(IF(A90="","",R90*Y90),"")</f>
        <v/>
      </c>
      <c r="AA90" s="51">
        <f>IFERROR(IF(A90="","",Z90/H90),"")</f>
        <v/>
      </c>
      <c r="AB90" s="32" t="n"/>
      <c r="AC90" s="52" t="n"/>
      <c r="AD90" s="29">
        <f>IFERROR(IF(OR(A90="",AB90=""),"",AB90/H90),"")</f>
        <v/>
      </c>
      <c r="AE90" s="51">
        <f>IFERROR(IF(OR(A90="",AB90="",AC90=""),"",AB90*AC90),"")</f>
        <v/>
      </c>
      <c r="AF90" s="28">
        <f>IFERROR(IF(OR(A90="",AB90=""),"",AB90-R90),"")</f>
        <v/>
      </c>
      <c r="AG90" s="29">
        <f>IFERROR(IF(OR(A90="",AB90=""),"",IF(AD90-T90&lt;0,T90-AD90,AD90-T90)),"")</f>
        <v/>
      </c>
      <c r="AH90" s="51">
        <f>IFERROR(IF(OR(A90="",AE90=""),"",AE90-Z90),"")</f>
        <v/>
      </c>
      <c r="AI90" s="25">
        <f>IFERROR(IF(A90="","",IF(G90&gt;F90,"Check out-of-order rooms",IF(K90&gt;H90,"On the books exceeds sellable rooms",IF(R90&gt;H90,"Forecast exceeds sellable rooms",IF(AND(A90&lt;TODAY(),AB90=""),"Actual results missing","OK"))))),"")</f>
        <v/>
      </c>
    </row>
    <row r="91">
      <c r="A91" s="24" t="n"/>
      <c r="B91" s="25">
        <f>IFERROR(IF(A91="","",VLOOKUP(MOD(A91,7),'Assumptions'!$E$16:$F$22,2,0)),"")</f>
        <v/>
      </c>
      <c r="C91" s="25">
        <f>IFERROR(IF(A91="","",IF(A91&lt;TODAY(),"Past",IF(A91=TODAY(),"Today","Future"))),"")</f>
        <v/>
      </c>
      <c r="D91" s="26" t="n"/>
      <c r="E91" s="26" t="n"/>
      <c r="F91" s="27" t="n"/>
      <c r="G91" s="27" t="n"/>
      <c r="H91" s="28">
        <f>IFERROR(IF(A91="","",MAX(0,F91-G91)),"")</f>
        <v/>
      </c>
      <c r="I91" s="27" t="n"/>
      <c r="J91" s="27" t="n"/>
      <c r="K91" s="28">
        <f>IFERROR(IF(A91="","",I91+J91),"")</f>
        <v/>
      </c>
      <c r="L91" s="29">
        <f>IFERROR(IF(A91="","",K91/H91),"")</f>
        <v/>
      </c>
      <c r="M91" s="29">
        <f>IFERROR(IF(A91="","",VLOOKUP(B91,'Assumptions'!$A$16:$B$22,2,0)),"")</f>
        <v/>
      </c>
      <c r="N91" s="27" t="n"/>
      <c r="O91" s="27" t="n"/>
      <c r="P91" s="27" t="n"/>
      <c r="Q91" s="28">
        <f>IFERROR(IF(A91="","",MIN(H91,MAX(0,K91,ROUND(H91*M91,0)+N91+O91))),"")</f>
        <v/>
      </c>
      <c r="R91" s="28">
        <f>IFERROR(IF(A91="","",MIN(H91,MAX(0,IF(P91="",Q91,P91)))),"")</f>
        <v/>
      </c>
      <c r="S91" s="28">
        <f>IFERROR(IF(A91="","",MAX(0,R91-K91)),"")</f>
        <v/>
      </c>
      <c r="T91" s="29">
        <f>IFERROR(IF(A91="","",R91/H91),"")</f>
        <v/>
      </c>
      <c r="U91" s="29">
        <f>IFERROR(IF(A91="","",'Assumptions'!$B$5),"")</f>
        <v/>
      </c>
      <c r="V91" s="29">
        <f>IFERROR(IF(A91="","",T91-U91),"")</f>
        <v/>
      </c>
      <c r="W91" s="50" t="n"/>
      <c r="X91" s="50" t="n"/>
      <c r="Y91" s="51">
        <f>IFERROR(IF(A91="","",IF(X91&lt;&gt;"",X91,IF(W91&lt;&gt;"",W91,'Assumptions'!$B$8))),"")</f>
        <v/>
      </c>
      <c r="Z91" s="51">
        <f>IFERROR(IF(A91="","",R91*Y91),"")</f>
        <v/>
      </c>
      <c r="AA91" s="51">
        <f>IFERROR(IF(A91="","",Z91/H91),"")</f>
        <v/>
      </c>
      <c r="AB91" s="32" t="n"/>
      <c r="AC91" s="52" t="n"/>
      <c r="AD91" s="29">
        <f>IFERROR(IF(OR(A91="",AB91=""),"",AB91/H91),"")</f>
        <v/>
      </c>
      <c r="AE91" s="51">
        <f>IFERROR(IF(OR(A91="",AB91="",AC91=""),"",AB91*AC91),"")</f>
        <v/>
      </c>
      <c r="AF91" s="28">
        <f>IFERROR(IF(OR(A91="",AB91=""),"",AB91-R91),"")</f>
        <v/>
      </c>
      <c r="AG91" s="29">
        <f>IFERROR(IF(OR(A91="",AB91=""),"",IF(AD91-T91&lt;0,T91-AD91,AD91-T91)),"")</f>
        <v/>
      </c>
      <c r="AH91" s="51">
        <f>IFERROR(IF(OR(A91="",AE91=""),"",AE91-Z91),"")</f>
        <v/>
      </c>
      <c r="AI91" s="25">
        <f>IFERROR(IF(A91="","",IF(G91&gt;F91,"Check out-of-order rooms",IF(K91&gt;H91,"On the books exceeds sellable rooms",IF(R91&gt;H91,"Forecast exceeds sellable rooms",IF(AND(A91&lt;TODAY(),AB91=""),"Actual results missing","OK"))))),"")</f>
        <v/>
      </c>
    </row>
    <row r="92">
      <c r="A92" s="24" t="n"/>
      <c r="B92" s="25">
        <f>IFERROR(IF(A92="","",VLOOKUP(MOD(A92,7),'Assumptions'!$E$16:$F$22,2,0)),"")</f>
        <v/>
      </c>
      <c r="C92" s="25">
        <f>IFERROR(IF(A92="","",IF(A92&lt;TODAY(),"Past",IF(A92=TODAY(),"Today","Future"))),"")</f>
        <v/>
      </c>
      <c r="D92" s="26" t="n"/>
      <c r="E92" s="26" t="n"/>
      <c r="F92" s="27" t="n"/>
      <c r="G92" s="27" t="n"/>
      <c r="H92" s="28">
        <f>IFERROR(IF(A92="","",MAX(0,F92-G92)),"")</f>
        <v/>
      </c>
      <c r="I92" s="27" t="n"/>
      <c r="J92" s="27" t="n"/>
      <c r="K92" s="28">
        <f>IFERROR(IF(A92="","",I92+J92),"")</f>
        <v/>
      </c>
      <c r="L92" s="29">
        <f>IFERROR(IF(A92="","",K92/H92),"")</f>
        <v/>
      </c>
      <c r="M92" s="29">
        <f>IFERROR(IF(A92="","",VLOOKUP(B92,'Assumptions'!$A$16:$B$22,2,0)),"")</f>
        <v/>
      </c>
      <c r="N92" s="27" t="n"/>
      <c r="O92" s="27" t="n"/>
      <c r="P92" s="27" t="n"/>
      <c r="Q92" s="28">
        <f>IFERROR(IF(A92="","",MIN(H92,MAX(0,K92,ROUND(H92*M92,0)+N92+O92))),"")</f>
        <v/>
      </c>
      <c r="R92" s="28">
        <f>IFERROR(IF(A92="","",MIN(H92,MAX(0,IF(P92="",Q92,P92)))),"")</f>
        <v/>
      </c>
      <c r="S92" s="28">
        <f>IFERROR(IF(A92="","",MAX(0,R92-K92)),"")</f>
        <v/>
      </c>
      <c r="T92" s="29">
        <f>IFERROR(IF(A92="","",R92/H92),"")</f>
        <v/>
      </c>
      <c r="U92" s="29">
        <f>IFERROR(IF(A92="","",'Assumptions'!$B$5),"")</f>
        <v/>
      </c>
      <c r="V92" s="29">
        <f>IFERROR(IF(A92="","",T92-U92),"")</f>
        <v/>
      </c>
      <c r="W92" s="50" t="n"/>
      <c r="X92" s="50" t="n"/>
      <c r="Y92" s="51">
        <f>IFERROR(IF(A92="","",IF(X92&lt;&gt;"",X92,IF(W92&lt;&gt;"",W92,'Assumptions'!$B$8))),"")</f>
        <v/>
      </c>
      <c r="Z92" s="51">
        <f>IFERROR(IF(A92="","",R92*Y92),"")</f>
        <v/>
      </c>
      <c r="AA92" s="51">
        <f>IFERROR(IF(A92="","",Z92/H92),"")</f>
        <v/>
      </c>
      <c r="AB92" s="32" t="n"/>
      <c r="AC92" s="52" t="n"/>
      <c r="AD92" s="29">
        <f>IFERROR(IF(OR(A92="",AB92=""),"",AB92/H92),"")</f>
        <v/>
      </c>
      <c r="AE92" s="51">
        <f>IFERROR(IF(OR(A92="",AB92="",AC92=""),"",AB92*AC92),"")</f>
        <v/>
      </c>
      <c r="AF92" s="28">
        <f>IFERROR(IF(OR(A92="",AB92=""),"",AB92-R92),"")</f>
        <v/>
      </c>
      <c r="AG92" s="29">
        <f>IFERROR(IF(OR(A92="",AB92=""),"",IF(AD92-T92&lt;0,T92-AD92,AD92-T92)),"")</f>
        <v/>
      </c>
      <c r="AH92" s="51">
        <f>IFERROR(IF(OR(A92="",AE92=""),"",AE92-Z92),"")</f>
        <v/>
      </c>
      <c r="AI92" s="25">
        <f>IFERROR(IF(A92="","",IF(G92&gt;F92,"Check out-of-order rooms",IF(K92&gt;H92,"On the books exceeds sellable rooms",IF(R92&gt;H92,"Forecast exceeds sellable rooms",IF(AND(A92&lt;TODAY(),AB92=""),"Actual results missing","OK"))))),"")</f>
        <v/>
      </c>
    </row>
    <row r="93">
      <c r="A93" s="24" t="n"/>
      <c r="B93" s="25">
        <f>IFERROR(IF(A93="","",VLOOKUP(MOD(A93,7),'Assumptions'!$E$16:$F$22,2,0)),"")</f>
        <v/>
      </c>
      <c r="C93" s="25">
        <f>IFERROR(IF(A93="","",IF(A93&lt;TODAY(),"Past",IF(A93=TODAY(),"Today","Future"))),"")</f>
        <v/>
      </c>
      <c r="D93" s="26" t="n"/>
      <c r="E93" s="26" t="n"/>
      <c r="F93" s="27" t="n"/>
      <c r="G93" s="27" t="n"/>
      <c r="H93" s="28">
        <f>IFERROR(IF(A93="","",MAX(0,F93-G93)),"")</f>
        <v/>
      </c>
      <c r="I93" s="27" t="n"/>
      <c r="J93" s="27" t="n"/>
      <c r="K93" s="28">
        <f>IFERROR(IF(A93="","",I93+J93),"")</f>
        <v/>
      </c>
      <c r="L93" s="29">
        <f>IFERROR(IF(A93="","",K93/H93),"")</f>
        <v/>
      </c>
      <c r="M93" s="29">
        <f>IFERROR(IF(A93="","",VLOOKUP(B93,'Assumptions'!$A$16:$B$22,2,0)),"")</f>
        <v/>
      </c>
      <c r="N93" s="27" t="n"/>
      <c r="O93" s="27" t="n"/>
      <c r="P93" s="27" t="n"/>
      <c r="Q93" s="28">
        <f>IFERROR(IF(A93="","",MIN(H93,MAX(0,K93,ROUND(H93*M93,0)+N93+O93))),"")</f>
        <v/>
      </c>
      <c r="R93" s="28">
        <f>IFERROR(IF(A93="","",MIN(H93,MAX(0,IF(P93="",Q93,P93)))),"")</f>
        <v/>
      </c>
      <c r="S93" s="28">
        <f>IFERROR(IF(A93="","",MAX(0,R93-K93)),"")</f>
        <v/>
      </c>
      <c r="T93" s="29">
        <f>IFERROR(IF(A93="","",R93/H93),"")</f>
        <v/>
      </c>
      <c r="U93" s="29">
        <f>IFERROR(IF(A93="","",'Assumptions'!$B$5),"")</f>
        <v/>
      </c>
      <c r="V93" s="29">
        <f>IFERROR(IF(A93="","",T93-U93),"")</f>
        <v/>
      </c>
      <c r="W93" s="50" t="n"/>
      <c r="X93" s="50" t="n"/>
      <c r="Y93" s="51">
        <f>IFERROR(IF(A93="","",IF(X93&lt;&gt;"",X93,IF(W93&lt;&gt;"",W93,'Assumptions'!$B$8))),"")</f>
        <v/>
      </c>
      <c r="Z93" s="51">
        <f>IFERROR(IF(A93="","",R93*Y93),"")</f>
        <v/>
      </c>
      <c r="AA93" s="51">
        <f>IFERROR(IF(A93="","",Z93/H93),"")</f>
        <v/>
      </c>
      <c r="AB93" s="32" t="n"/>
      <c r="AC93" s="52" t="n"/>
      <c r="AD93" s="29">
        <f>IFERROR(IF(OR(A93="",AB93=""),"",AB93/H93),"")</f>
        <v/>
      </c>
      <c r="AE93" s="51">
        <f>IFERROR(IF(OR(A93="",AB93="",AC93=""),"",AB93*AC93),"")</f>
        <v/>
      </c>
      <c r="AF93" s="28">
        <f>IFERROR(IF(OR(A93="",AB93=""),"",AB93-R93),"")</f>
        <v/>
      </c>
      <c r="AG93" s="29">
        <f>IFERROR(IF(OR(A93="",AB93=""),"",IF(AD93-T93&lt;0,T93-AD93,AD93-T93)),"")</f>
        <v/>
      </c>
      <c r="AH93" s="51">
        <f>IFERROR(IF(OR(A93="",AE93=""),"",AE93-Z93),"")</f>
        <v/>
      </c>
      <c r="AI93" s="25">
        <f>IFERROR(IF(A93="","",IF(G93&gt;F93,"Check out-of-order rooms",IF(K93&gt;H93,"On the books exceeds sellable rooms",IF(R93&gt;H93,"Forecast exceeds sellable rooms",IF(AND(A93&lt;TODAY(),AB93=""),"Actual results missing","OK"))))),"")</f>
        <v/>
      </c>
    </row>
    <row r="94">
      <c r="A94" s="24" t="n"/>
      <c r="B94" s="25">
        <f>IFERROR(IF(A94="","",VLOOKUP(MOD(A94,7),'Assumptions'!$E$16:$F$22,2,0)),"")</f>
        <v/>
      </c>
      <c r="C94" s="25">
        <f>IFERROR(IF(A94="","",IF(A94&lt;TODAY(),"Past",IF(A94=TODAY(),"Today","Future"))),"")</f>
        <v/>
      </c>
      <c r="D94" s="26" t="n"/>
      <c r="E94" s="26" t="n"/>
      <c r="F94" s="27" t="n"/>
      <c r="G94" s="27" t="n"/>
      <c r="H94" s="28">
        <f>IFERROR(IF(A94="","",MAX(0,F94-G94)),"")</f>
        <v/>
      </c>
      <c r="I94" s="27" t="n"/>
      <c r="J94" s="27" t="n"/>
      <c r="K94" s="28">
        <f>IFERROR(IF(A94="","",I94+J94),"")</f>
        <v/>
      </c>
      <c r="L94" s="29">
        <f>IFERROR(IF(A94="","",K94/H94),"")</f>
        <v/>
      </c>
      <c r="M94" s="29">
        <f>IFERROR(IF(A94="","",VLOOKUP(B94,'Assumptions'!$A$16:$B$22,2,0)),"")</f>
        <v/>
      </c>
      <c r="N94" s="27" t="n"/>
      <c r="O94" s="27" t="n"/>
      <c r="P94" s="27" t="n"/>
      <c r="Q94" s="28">
        <f>IFERROR(IF(A94="","",MIN(H94,MAX(0,K94,ROUND(H94*M94,0)+N94+O94))),"")</f>
        <v/>
      </c>
      <c r="R94" s="28">
        <f>IFERROR(IF(A94="","",MIN(H94,MAX(0,IF(P94="",Q94,P94)))),"")</f>
        <v/>
      </c>
      <c r="S94" s="28">
        <f>IFERROR(IF(A94="","",MAX(0,R94-K94)),"")</f>
        <v/>
      </c>
      <c r="T94" s="29">
        <f>IFERROR(IF(A94="","",R94/H94),"")</f>
        <v/>
      </c>
      <c r="U94" s="29">
        <f>IFERROR(IF(A94="","",'Assumptions'!$B$5),"")</f>
        <v/>
      </c>
      <c r="V94" s="29">
        <f>IFERROR(IF(A94="","",T94-U94),"")</f>
        <v/>
      </c>
      <c r="W94" s="50" t="n"/>
      <c r="X94" s="50" t="n"/>
      <c r="Y94" s="51">
        <f>IFERROR(IF(A94="","",IF(X94&lt;&gt;"",X94,IF(W94&lt;&gt;"",W94,'Assumptions'!$B$8))),"")</f>
        <v/>
      </c>
      <c r="Z94" s="51">
        <f>IFERROR(IF(A94="","",R94*Y94),"")</f>
        <v/>
      </c>
      <c r="AA94" s="51">
        <f>IFERROR(IF(A94="","",Z94/H94),"")</f>
        <v/>
      </c>
      <c r="AB94" s="32" t="n"/>
      <c r="AC94" s="52" t="n"/>
      <c r="AD94" s="29">
        <f>IFERROR(IF(OR(A94="",AB94=""),"",AB94/H94),"")</f>
        <v/>
      </c>
      <c r="AE94" s="51">
        <f>IFERROR(IF(OR(A94="",AB94="",AC94=""),"",AB94*AC94),"")</f>
        <v/>
      </c>
      <c r="AF94" s="28">
        <f>IFERROR(IF(OR(A94="",AB94=""),"",AB94-R94),"")</f>
        <v/>
      </c>
      <c r="AG94" s="29">
        <f>IFERROR(IF(OR(A94="",AB94=""),"",IF(AD94-T94&lt;0,T94-AD94,AD94-T94)),"")</f>
        <v/>
      </c>
      <c r="AH94" s="51">
        <f>IFERROR(IF(OR(A94="",AE94=""),"",AE94-Z94),"")</f>
        <v/>
      </c>
      <c r="AI94" s="25">
        <f>IFERROR(IF(A94="","",IF(G94&gt;F94,"Check out-of-order rooms",IF(K94&gt;H94,"On the books exceeds sellable rooms",IF(R94&gt;H94,"Forecast exceeds sellable rooms",IF(AND(A94&lt;TODAY(),AB94=""),"Actual results missing","OK"))))),"")</f>
        <v/>
      </c>
    </row>
    <row r="95">
      <c r="A95" s="24" t="n"/>
      <c r="B95" s="25">
        <f>IFERROR(IF(A95="","",VLOOKUP(MOD(A95,7),'Assumptions'!$E$16:$F$22,2,0)),"")</f>
        <v/>
      </c>
      <c r="C95" s="25">
        <f>IFERROR(IF(A95="","",IF(A95&lt;TODAY(),"Past",IF(A95=TODAY(),"Today","Future"))),"")</f>
        <v/>
      </c>
      <c r="D95" s="26" t="n"/>
      <c r="E95" s="26" t="n"/>
      <c r="F95" s="27" t="n"/>
      <c r="G95" s="27" t="n"/>
      <c r="H95" s="28">
        <f>IFERROR(IF(A95="","",MAX(0,F95-G95)),"")</f>
        <v/>
      </c>
      <c r="I95" s="27" t="n"/>
      <c r="J95" s="27" t="n"/>
      <c r="K95" s="28">
        <f>IFERROR(IF(A95="","",I95+J95),"")</f>
        <v/>
      </c>
      <c r="L95" s="29">
        <f>IFERROR(IF(A95="","",K95/H95),"")</f>
        <v/>
      </c>
      <c r="M95" s="29">
        <f>IFERROR(IF(A95="","",VLOOKUP(B95,'Assumptions'!$A$16:$B$22,2,0)),"")</f>
        <v/>
      </c>
      <c r="N95" s="27" t="n"/>
      <c r="O95" s="27" t="n"/>
      <c r="P95" s="27" t="n"/>
      <c r="Q95" s="28">
        <f>IFERROR(IF(A95="","",MIN(H95,MAX(0,K95,ROUND(H95*M95,0)+N95+O95))),"")</f>
        <v/>
      </c>
      <c r="R95" s="28">
        <f>IFERROR(IF(A95="","",MIN(H95,MAX(0,IF(P95="",Q95,P95)))),"")</f>
        <v/>
      </c>
      <c r="S95" s="28">
        <f>IFERROR(IF(A95="","",MAX(0,R95-K95)),"")</f>
        <v/>
      </c>
      <c r="T95" s="29">
        <f>IFERROR(IF(A95="","",R95/H95),"")</f>
        <v/>
      </c>
      <c r="U95" s="29">
        <f>IFERROR(IF(A95="","",'Assumptions'!$B$5),"")</f>
        <v/>
      </c>
      <c r="V95" s="29">
        <f>IFERROR(IF(A95="","",T95-U95),"")</f>
        <v/>
      </c>
      <c r="W95" s="50" t="n"/>
      <c r="X95" s="50" t="n"/>
      <c r="Y95" s="51">
        <f>IFERROR(IF(A95="","",IF(X95&lt;&gt;"",X95,IF(W95&lt;&gt;"",W95,'Assumptions'!$B$8))),"")</f>
        <v/>
      </c>
      <c r="Z95" s="51">
        <f>IFERROR(IF(A95="","",R95*Y95),"")</f>
        <v/>
      </c>
      <c r="AA95" s="51">
        <f>IFERROR(IF(A95="","",Z95/H95),"")</f>
        <v/>
      </c>
      <c r="AB95" s="32" t="n"/>
      <c r="AC95" s="52" t="n"/>
      <c r="AD95" s="29">
        <f>IFERROR(IF(OR(A95="",AB95=""),"",AB95/H95),"")</f>
        <v/>
      </c>
      <c r="AE95" s="51">
        <f>IFERROR(IF(OR(A95="",AB95="",AC95=""),"",AB95*AC95),"")</f>
        <v/>
      </c>
      <c r="AF95" s="28">
        <f>IFERROR(IF(OR(A95="",AB95=""),"",AB95-R95),"")</f>
        <v/>
      </c>
      <c r="AG95" s="29">
        <f>IFERROR(IF(OR(A95="",AB95=""),"",IF(AD95-T95&lt;0,T95-AD95,AD95-T95)),"")</f>
        <v/>
      </c>
      <c r="AH95" s="51">
        <f>IFERROR(IF(OR(A95="",AE95=""),"",AE95-Z95),"")</f>
        <v/>
      </c>
      <c r="AI95" s="25">
        <f>IFERROR(IF(A95="","",IF(G95&gt;F95,"Check out-of-order rooms",IF(K95&gt;H95,"On the books exceeds sellable rooms",IF(R95&gt;H95,"Forecast exceeds sellable rooms",IF(AND(A95&lt;TODAY(),AB95=""),"Actual results missing","OK"))))),"")</f>
        <v/>
      </c>
    </row>
    <row r="96">
      <c r="A96" s="24" t="n"/>
      <c r="B96" s="25">
        <f>IFERROR(IF(A96="","",VLOOKUP(MOD(A96,7),'Assumptions'!$E$16:$F$22,2,0)),"")</f>
        <v/>
      </c>
      <c r="C96" s="25">
        <f>IFERROR(IF(A96="","",IF(A96&lt;TODAY(),"Past",IF(A96=TODAY(),"Today","Future"))),"")</f>
        <v/>
      </c>
      <c r="D96" s="26" t="n"/>
      <c r="E96" s="26" t="n"/>
      <c r="F96" s="27" t="n"/>
      <c r="G96" s="27" t="n"/>
      <c r="H96" s="28">
        <f>IFERROR(IF(A96="","",MAX(0,F96-G96)),"")</f>
        <v/>
      </c>
      <c r="I96" s="27" t="n"/>
      <c r="J96" s="27" t="n"/>
      <c r="K96" s="28">
        <f>IFERROR(IF(A96="","",I96+J96),"")</f>
        <v/>
      </c>
      <c r="L96" s="29">
        <f>IFERROR(IF(A96="","",K96/H96),"")</f>
        <v/>
      </c>
      <c r="M96" s="29">
        <f>IFERROR(IF(A96="","",VLOOKUP(B96,'Assumptions'!$A$16:$B$22,2,0)),"")</f>
        <v/>
      </c>
      <c r="N96" s="27" t="n"/>
      <c r="O96" s="27" t="n"/>
      <c r="P96" s="27" t="n"/>
      <c r="Q96" s="28">
        <f>IFERROR(IF(A96="","",MIN(H96,MAX(0,K96,ROUND(H96*M96,0)+N96+O96))),"")</f>
        <v/>
      </c>
      <c r="R96" s="28">
        <f>IFERROR(IF(A96="","",MIN(H96,MAX(0,IF(P96="",Q96,P96)))),"")</f>
        <v/>
      </c>
      <c r="S96" s="28">
        <f>IFERROR(IF(A96="","",MAX(0,R96-K96)),"")</f>
        <v/>
      </c>
      <c r="T96" s="29">
        <f>IFERROR(IF(A96="","",R96/H96),"")</f>
        <v/>
      </c>
      <c r="U96" s="29">
        <f>IFERROR(IF(A96="","",'Assumptions'!$B$5),"")</f>
        <v/>
      </c>
      <c r="V96" s="29">
        <f>IFERROR(IF(A96="","",T96-U96),"")</f>
        <v/>
      </c>
      <c r="W96" s="50" t="n"/>
      <c r="X96" s="50" t="n"/>
      <c r="Y96" s="51">
        <f>IFERROR(IF(A96="","",IF(X96&lt;&gt;"",X96,IF(W96&lt;&gt;"",W96,'Assumptions'!$B$8))),"")</f>
        <v/>
      </c>
      <c r="Z96" s="51">
        <f>IFERROR(IF(A96="","",R96*Y96),"")</f>
        <v/>
      </c>
      <c r="AA96" s="51">
        <f>IFERROR(IF(A96="","",Z96/H96),"")</f>
        <v/>
      </c>
      <c r="AB96" s="32" t="n"/>
      <c r="AC96" s="52" t="n"/>
      <c r="AD96" s="29">
        <f>IFERROR(IF(OR(A96="",AB96=""),"",AB96/H96),"")</f>
        <v/>
      </c>
      <c r="AE96" s="51">
        <f>IFERROR(IF(OR(A96="",AB96="",AC96=""),"",AB96*AC96),"")</f>
        <v/>
      </c>
      <c r="AF96" s="28">
        <f>IFERROR(IF(OR(A96="",AB96=""),"",AB96-R96),"")</f>
        <v/>
      </c>
      <c r="AG96" s="29">
        <f>IFERROR(IF(OR(A96="",AB96=""),"",IF(AD96-T96&lt;0,T96-AD96,AD96-T96)),"")</f>
        <v/>
      </c>
      <c r="AH96" s="51">
        <f>IFERROR(IF(OR(A96="",AE96=""),"",AE96-Z96),"")</f>
        <v/>
      </c>
      <c r="AI96" s="25">
        <f>IFERROR(IF(A96="","",IF(G96&gt;F96,"Check out-of-order rooms",IF(K96&gt;H96,"On the books exceeds sellable rooms",IF(R96&gt;H96,"Forecast exceeds sellable rooms",IF(AND(A96&lt;TODAY(),AB96=""),"Actual results missing","OK"))))),"")</f>
        <v/>
      </c>
    </row>
    <row r="97">
      <c r="A97" s="24" t="n"/>
      <c r="B97" s="25">
        <f>IFERROR(IF(A97="","",VLOOKUP(MOD(A97,7),'Assumptions'!$E$16:$F$22,2,0)),"")</f>
        <v/>
      </c>
      <c r="C97" s="25">
        <f>IFERROR(IF(A97="","",IF(A97&lt;TODAY(),"Past",IF(A97=TODAY(),"Today","Future"))),"")</f>
        <v/>
      </c>
      <c r="D97" s="26" t="n"/>
      <c r="E97" s="26" t="n"/>
      <c r="F97" s="27" t="n"/>
      <c r="G97" s="27" t="n"/>
      <c r="H97" s="28">
        <f>IFERROR(IF(A97="","",MAX(0,F97-G97)),"")</f>
        <v/>
      </c>
      <c r="I97" s="27" t="n"/>
      <c r="J97" s="27" t="n"/>
      <c r="K97" s="28">
        <f>IFERROR(IF(A97="","",I97+J97),"")</f>
        <v/>
      </c>
      <c r="L97" s="29">
        <f>IFERROR(IF(A97="","",K97/H97),"")</f>
        <v/>
      </c>
      <c r="M97" s="29">
        <f>IFERROR(IF(A97="","",VLOOKUP(B97,'Assumptions'!$A$16:$B$22,2,0)),"")</f>
        <v/>
      </c>
      <c r="N97" s="27" t="n"/>
      <c r="O97" s="27" t="n"/>
      <c r="P97" s="27" t="n"/>
      <c r="Q97" s="28">
        <f>IFERROR(IF(A97="","",MIN(H97,MAX(0,K97,ROUND(H97*M97,0)+N97+O97))),"")</f>
        <v/>
      </c>
      <c r="R97" s="28">
        <f>IFERROR(IF(A97="","",MIN(H97,MAX(0,IF(P97="",Q97,P97)))),"")</f>
        <v/>
      </c>
      <c r="S97" s="28">
        <f>IFERROR(IF(A97="","",MAX(0,R97-K97)),"")</f>
        <v/>
      </c>
      <c r="T97" s="29">
        <f>IFERROR(IF(A97="","",R97/H97),"")</f>
        <v/>
      </c>
      <c r="U97" s="29">
        <f>IFERROR(IF(A97="","",'Assumptions'!$B$5),"")</f>
        <v/>
      </c>
      <c r="V97" s="29">
        <f>IFERROR(IF(A97="","",T97-U97),"")</f>
        <v/>
      </c>
      <c r="W97" s="50" t="n"/>
      <c r="X97" s="50" t="n"/>
      <c r="Y97" s="51">
        <f>IFERROR(IF(A97="","",IF(X97&lt;&gt;"",X97,IF(W97&lt;&gt;"",W97,'Assumptions'!$B$8))),"")</f>
        <v/>
      </c>
      <c r="Z97" s="51">
        <f>IFERROR(IF(A97="","",R97*Y97),"")</f>
        <v/>
      </c>
      <c r="AA97" s="51">
        <f>IFERROR(IF(A97="","",Z97/H97),"")</f>
        <v/>
      </c>
      <c r="AB97" s="32" t="n"/>
      <c r="AC97" s="52" t="n"/>
      <c r="AD97" s="29">
        <f>IFERROR(IF(OR(A97="",AB97=""),"",AB97/H97),"")</f>
        <v/>
      </c>
      <c r="AE97" s="51">
        <f>IFERROR(IF(OR(A97="",AB97="",AC97=""),"",AB97*AC97),"")</f>
        <v/>
      </c>
      <c r="AF97" s="28">
        <f>IFERROR(IF(OR(A97="",AB97=""),"",AB97-R97),"")</f>
        <v/>
      </c>
      <c r="AG97" s="29">
        <f>IFERROR(IF(OR(A97="",AB97=""),"",IF(AD97-T97&lt;0,T97-AD97,AD97-T97)),"")</f>
        <v/>
      </c>
      <c r="AH97" s="51">
        <f>IFERROR(IF(OR(A97="",AE97=""),"",AE97-Z97),"")</f>
        <v/>
      </c>
      <c r="AI97" s="25">
        <f>IFERROR(IF(A97="","",IF(G97&gt;F97,"Check out-of-order rooms",IF(K97&gt;H97,"On the books exceeds sellable rooms",IF(R97&gt;H97,"Forecast exceeds sellable rooms",IF(AND(A97&lt;TODAY(),AB97=""),"Actual results missing","OK"))))),"")</f>
        <v/>
      </c>
    </row>
    <row r="98">
      <c r="A98" s="24" t="n"/>
      <c r="B98" s="25">
        <f>IFERROR(IF(A98="","",VLOOKUP(MOD(A98,7),'Assumptions'!$E$16:$F$22,2,0)),"")</f>
        <v/>
      </c>
      <c r="C98" s="25">
        <f>IFERROR(IF(A98="","",IF(A98&lt;TODAY(),"Past",IF(A98=TODAY(),"Today","Future"))),"")</f>
        <v/>
      </c>
      <c r="D98" s="26" t="n"/>
      <c r="E98" s="26" t="n"/>
      <c r="F98" s="27" t="n"/>
      <c r="G98" s="27" t="n"/>
      <c r="H98" s="28">
        <f>IFERROR(IF(A98="","",MAX(0,F98-G98)),"")</f>
        <v/>
      </c>
      <c r="I98" s="27" t="n"/>
      <c r="J98" s="27" t="n"/>
      <c r="K98" s="28">
        <f>IFERROR(IF(A98="","",I98+J98),"")</f>
        <v/>
      </c>
      <c r="L98" s="29">
        <f>IFERROR(IF(A98="","",K98/H98),"")</f>
        <v/>
      </c>
      <c r="M98" s="29">
        <f>IFERROR(IF(A98="","",VLOOKUP(B98,'Assumptions'!$A$16:$B$22,2,0)),"")</f>
        <v/>
      </c>
      <c r="N98" s="27" t="n"/>
      <c r="O98" s="27" t="n"/>
      <c r="P98" s="27" t="n"/>
      <c r="Q98" s="28">
        <f>IFERROR(IF(A98="","",MIN(H98,MAX(0,K98,ROUND(H98*M98,0)+N98+O98))),"")</f>
        <v/>
      </c>
      <c r="R98" s="28">
        <f>IFERROR(IF(A98="","",MIN(H98,MAX(0,IF(P98="",Q98,P98)))),"")</f>
        <v/>
      </c>
      <c r="S98" s="28">
        <f>IFERROR(IF(A98="","",MAX(0,R98-K98)),"")</f>
        <v/>
      </c>
      <c r="T98" s="29">
        <f>IFERROR(IF(A98="","",R98/H98),"")</f>
        <v/>
      </c>
      <c r="U98" s="29">
        <f>IFERROR(IF(A98="","",'Assumptions'!$B$5),"")</f>
        <v/>
      </c>
      <c r="V98" s="29">
        <f>IFERROR(IF(A98="","",T98-U98),"")</f>
        <v/>
      </c>
      <c r="W98" s="50" t="n"/>
      <c r="X98" s="50" t="n"/>
      <c r="Y98" s="51">
        <f>IFERROR(IF(A98="","",IF(X98&lt;&gt;"",X98,IF(W98&lt;&gt;"",W98,'Assumptions'!$B$8))),"")</f>
        <v/>
      </c>
      <c r="Z98" s="51">
        <f>IFERROR(IF(A98="","",R98*Y98),"")</f>
        <v/>
      </c>
      <c r="AA98" s="51">
        <f>IFERROR(IF(A98="","",Z98/H98),"")</f>
        <v/>
      </c>
      <c r="AB98" s="32" t="n"/>
      <c r="AC98" s="52" t="n"/>
      <c r="AD98" s="29">
        <f>IFERROR(IF(OR(A98="",AB98=""),"",AB98/H98),"")</f>
        <v/>
      </c>
      <c r="AE98" s="51">
        <f>IFERROR(IF(OR(A98="",AB98="",AC98=""),"",AB98*AC98),"")</f>
        <v/>
      </c>
      <c r="AF98" s="28">
        <f>IFERROR(IF(OR(A98="",AB98=""),"",AB98-R98),"")</f>
        <v/>
      </c>
      <c r="AG98" s="29">
        <f>IFERROR(IF(OR(A98="",AB98=""),"",IF(AD98-T98&lt;0,T98-AD98,AD98-T98)),"")</f>
        <v/>
      </c>
      <c r="AH98" s="51">
        <f>IFERROR(IF(OR(A98="",AE98=""),"",AE98-Z98),"")</f>
        <v/>
      </c>
      <c r="AI98" s="25">
        <f>IFERROR(IF(A98="","",IF(G98&gt;F98,"Check out-of-order rooms",IF(K98&gt;H98,"On the books exceeds sellable rooms",IF(R98&gt;H98,"Forecast exceeds sellable rooms",IF(AND(A98&lt;TODAY(),AB98=""),"Actual results missing","OK"))))),"")</f>
        <v/>
      </c>
    </row>
    <row r="99">
      <c r="A99" s="24" t="n"/>
      <c r="B99" s="25">
        <f>IFERROR(IF(A99="","",VLOOKUP(MOD(A99,7),'Assumptions'!$E$16:$F$22,2,0)),"")</f>
        <v/>
      </c>
      <c r="C99" s="25">
        <f>IFERROR(IF(A99="","",IF(A99&lt;TODAY(),"Past",IF(A99=TODAY(),"Today","Future"))),"")</f>
        <v/>
      </c>
      <c r="D99" s="26" t="n"/>
      <c r="E99" s="26" t="n"/>
      <c r="F99" s="27" t="n"/>
      <c r="G99" s="27" t="n"/>
      <c r="H99" s="28">
        <f>IFERROR(IF(A99="","",MAX(0,F99-G99)),"")</f>
        <v/>
      </c>
      <c r="I99" s="27" t="n"/>
      <c r="J99" s="27" t="n"/>
      <c r="K99" s="28">
        <f>IFERROR(IF(A99="","",I99+J99),"")</f>
        <v/>
      </c>
      <c r="L99" s="29">
        <f>IFERROR(IF(A99="","",K99/H99),"")</f>
        <v/>
      </c>
      <c r="M99" s="29">
        <f>IFERROR(IF(A99="","",VLOOKUP(B99,'Assumptions'!$A$16:$B$22,2,0)),"")</f>
        <v/>
      </c>
      <c r="N99" s="27" t="n"/>
      <c r="O99" s="27" t="n"/>
      <c r="P99" s="27" t="n"/>
      <c r="Q99" s="28">
        <f>IFERROR(IF(A99="","",MIN(H99,MAX(0,K99,ROUND(H99*M99,0)+N99+O99))),"")</f>
        <v/>
      </c>
      <c r="R99" s="28">
        <f>IFERROR(IF(A99="","",MIN(H99,MAX(0,IF(P99="",Q99,P99)))),"")</f>
        <v/>
      </c>
      <c r="S99" s="28">
        <f>IFERROR(IF(A99="","",MAX(0,R99-K99)),"")</f>
        <v/>
      </c>
      <c r="T99" s="29">
        <f>IFERROR(IF(A99="","",R99/H99),"")</f>
        <v/>
      </c>
      <c r="U99" s="29">
        <f>IFERROR(IF(A99="","",'Assumptions'!$B$5),"")</f>
        <v/>
      </c>
      <c r="V99" s="29">
        <f>IFERROR(IF(A99="","",T99-U99),"")</f>
        <v/>
      </c>
      <c r="W99" s="50" t="n"/>
      <c r="X99" s="50" t="n"/>
      <c r="Y99" s="51">
        <f>IFERROR(IF(A99="","",IF(X99&lt;&gt;"",X99,IF(W99&lt;&gt;"",W99,'Assumptions'!$B$8))),"")</f>
        <v/>
      </c>
      <c r="Z99" s="51">
        <f>IFERROR(IF(A99="","",R99*Y99),"")</f>
        <v/>
      </c>
      <c r="AA99" s="51">
        <f>IFERROR(IF(A99="","",Z99/H99),"")</f>
        <v/>
      </c>
      <c r="AB99" s="32" t="n"/>
      <c r="AC99" s="52" t="n"/>
      <c r="AD99" s="29">
        <f>IFERROR(IF(OR(A99="",AB99=""),"",AB99/H99),"")</f>
        <v/>
      </c>
      <c r="AE99" s="51">
        <f>IFERROR(IF(OR(A99="",AB99="",AC99=""),"",AB99*AC99),"")</f>
        <v/>
      </c>
      <c r="AF99" s="28">
        <f>IFERROR(IF(OR(A99="",AB99=""),"",AB99-R99),"")</f>
        <v/>
      </c>
      <c r="AG99" s="29">
        <f>IFERROR(IF(OR(A99="",AB99=""),"",IF(AD99-T99&lt;0,T99-AD99,AD99-T99)),"")</f>
        <v/>
      </c>
      <c r="AH99" s="51">
        <f>IFERROR(IF(OR(A99="",AE99=""),"",AE99-Z99),"")</f>
        <v/>
      </c>
      <c r="AI99" s="25">
        <f>IFERROR(IF(A99="","",IF(G99&gt;F99,"Check out-of-order rooms",IF(K99&gt;H99,"On the books exceeds sellable rooms",IF(R99&gt;H99,"Forecast exceeds sellable rooms",IF(AND(A99&lt;TODAY(),AB99=""),"Actual results missing","OK"))))),"")</f>
        <v/>
      </c>
    </row>
    <row r="100">
      <c r="A100" s="24" t="n"/>
      <c r="B100" s="25">
        <f>IFERROR(IF(A100="","",VLOOKUP(MOD(A100,7),'Assumptions'!$E$16:$F$22,2,0)),"")</f>
        <v/>
      </c>
      <c r="C100" s="25">
        <f>IFERROR(IF(A100="","",IF(A100&lt;TODAY(),"Past",IF(A100=TODAY(),"Today","Future"))),"")</f>
        <v/>
      </c>
      <c r="D100" s="26" t="n"/>
      <c r="E100" s="26" t="n"/>
      <c r="F100" s="27" t="n"/>
      <c r="G100" s="27" t="n"/>
      <c r="H100" s="28">
        <f>IFERROR(IF(A100="","",MAX(0,F100-G100)),"")</f>
        <v/>
      </c>
      <c r="I100" s="27" t="n"/>
      <c r="J100" s="27" t="n"/>
      <c r="K100" s="28">
        <f>IFERROR(IF(A100="","",I100+J100),"")</f>
        <v/>
      </c>
      <c r="L100" s="29">
        <f>IFERROR(IF(A100="","",K100/H100),"")</f>
        <v/>
      </c>
      <c r="M100" s="29">
        <f>IFERROR(IF(A100="","",VLOOKUP(B100,'Assumptions'!$A$16:$B$22,2,0)),"")</f>
        <v/>
      </c>
      <c r="N100" s="27" t="n"/>
      <c r="O100" s="27" t="n"/>
      <c r="P100" s="27" t="n"/>
      <c r="Q100" s="28">
        <f>IFERROR(IF(A100="","",MIN(H100,MAX(0,K100,ROUND(H100*M100,0)+N100+O100))),"")</f>
        <v/>
      </c>
      <c r="R100" s="28">
        <f>IFERROR(IF(A100="","",MIN(H100,MAX(0,IF(P100="",Q100,P100)))),"")</f>
        <v/>
      </c>
      <c r="S100" s="28">
        <f>IFERROR(IF(A100="","",MAX(0,R100-K100)),"")</f>
        <v/>
      </c>
      <c r="T100" s="29">
        <f>IFERROR(IF(A100="","",R100/H100),"")</f>
        <v/>
      </c>
      <c r="U100" s="29">
        <f>IFERROR(IF(A100="","",'Assumptions'!$B$5),"")</f>
        <v/>
      </c>
      <c r="V100" s="29">
        <f>IFERROR(IF(A100="","",T100-U100),"")</f>
        <v/>
      </c>
      <c r="W100" s="50" t="n"/>
      <c r="X100" s="50" t="n"/>
      <c r="Y100" s="51">
        <f>IFERROR(IF(A100="","",IF(X100&lt;&gt;"",X100,IF(W100&lt;&gt;"",W100,'Assumptions'!$B$8))),"")</f>
        <v/>
      </c>
      <c r="Z100" s="51">
        <f>IFERROR(IF(A100="","",R100*Y100),"")</f>
        <v/>
      </c>
      <c r="AA100" s="51">
        <f>IFERROR(IF(A100="","",Z100/H100),"")</f>
        <v/>
      </c>
      <c r="AB100" s="32" t="n"/>
      <c r="AC100" s="52" t="n"/>
      <c r="AD100" s="29">
        <f>IFERROR(IF(OR(A100="",AB100=""),"",AB100/H100),"")</f>
        <v/>
      </c>
      <c r="AE100" s="51">
        <f>IFERROR(IF(OR(A100="",AB100="",AC100=""),"",AB100*AC100),"")</f>
        <v/>
      </c>
      <c r="AF100" s="28">
        <f>IFERROR(IF(OR(A100="",AB100=""),"",AB100-R100),"")</f>
        <v/>
      </c>
      <c r="AG100" s="29">
        <f>IFERROR(IF(OR(A100="",AB100=""),"",IF(AD100-T100&lt;0,T100-AD100,AD100-T100)),"")</f>
        <v/>
      </c>
      <c r="AH100" s="51">
        <f>IFERROR(IF(OR(A100="",AE100=""),"",AE100-Z100),"")</f>
        <v/>
      </c>
      <c r="AI100" s="25">
        <f>IFERROR(IF(A100="","",IF(G100&gt;F100,"Check out-of-order rooms",IF(K100&gt;H100,"On the books exceeds sellable rooms",IF(R100&gt;H100,"Forecast exceeds sellable rooms",IF(AND(A100&lt;TODAY(),AB100=""),"Actual results missing","OK"))))),"")</f>
        <v/>
      </c>
    </row>
    <row r="101">
      <c r="A101" s="24" t="n"/>
      <c r="B101" s="25">
        <f>IFERROR(IF(A101="","",VLOOKUP(MOD(A101,7),'Assumptions'!$E$16:$F$22,2,0)),"")</f>
        <v/>
      </c>
      <c r="C101" s="25">
        <f>IFERROR(IF(A101="","",IF(A101&lt;TODAY(),"Past",IF(A101=TODAY(),"Today","Future"))),"")</f>
        <v/>
      </c>
      <c r="D101" s="26" t="n"/>
      <c r="E101" s="26" t="n"/>
      <c r="F101" s="27" t="n"/>
      <c r="G101" s="27" t="n"/>
      <c r="H101" s="28">
        <f>IFERROR(IF(A101="","",MAX(0,F101-G101)),"")</f>
        <v/>
      </c>
      <c r="I101" s="27" t="n"/>
      <c r="J101" s="27" t="n"/>
      <c r="K101" s="28">
        <f>IFERROR(IF(A101="","",I101+J101),"")</f>
        <v/>
      </c>
      <c r="L101" s="29">
        <f>IFERROR(IF(A101="","",K101/H101),"")</f>
        <v/>
      </c>
      <c r="M101" s="29">
        <f>IFERROR(IF(A101="","",VLOOKUP(B101,'Assumptions'!$A$16:$B$22,2,0)),"")</f>
        <v/>
      </c>
      <c r="N101" s="27" t="n"/>
      <c r="O101" s="27" t="n"/>
      <c r="P101" s="27" t="n"/>
      <c r="Q101" s="28">
        <f>IFERROR(IF(A101="","",MIN(H101,MAX(0,K101,ROUND(H101*M101,0)+N101+O101))),"")</f>
        <v/>
      </c>
      <c r="R101" s="28">
        <f>IFERROR(IF(A101="","",MIN(H101,MAX(0,IF(P101="",Q101,P101)))),"")</f>
        <v/>
      </c>
      <c r="S101" s="28">
        <f>IFERROR(IF(A101="","",MAX(0,R101-K101)),"")</f>
        <v/>
      </c>
      <c r="T101" s="29">
        <f>IFERROR(IF(A101="","",R101/H101),"")</f>
        <v/>
      </c>
      <c r="U101" s="29">
        <f>IFERROR(IF(A101="","",'Assumptions'!$B$5),"")</f>
        <v/>
      </c>
      <c r="V101" s="29">
        <f>IFERROR(IF(A101="","",T101-U101),"")</f>
        <v/>
      </c>
      <c r="W101" s="50" t="n"/>
      <c r="X101" s="50" t="n"/>
      <c r="Y101" s="51">
        <f>IFERROR(IF(A101="","",IF(X101&lt;&gt;"",X101,IF(W101&lt;&gt;"",W101,'Assumptions'!$B$8))),"")</f>
        <v/>
      </c>
      <c r="Z101" s="51">
        <f>IFERROR(IF(A101="","",R101*Y101),"")</f>
        <v/>
      </c>
      <c r="AA101" s="51">
        <f>IFERROR(IF(A101="","",Z101/H101),"")</f>
        <v/>
      </c>
      <c r="AB101" s="32" t="n"/>
      <c r="AC101" s="52" t="n"/>
      <c r="AD101" s="29">
        <f>IFERROR(IF(OR(A101="",AB101=""),"",AB101/H101),"")</f>
        <v/>
      </c>
      <c r="AE101" s="51">
        <f>IFERROR(IF(OR(A101="",AB101="",AC101=""),"",AB101*AC101),"")</f>
        <v/>
      </c>
      <c r="AF101" s="28">
        <f>IFERROR(IF(OR(A101="",AB101=""),"",AB101-R101),"")</f>
        <v/>
      </c>
      <c r="AG101" s="29">
        <f>IFERROR(IF(OR(A101="",AB101=""),"",IF(AD101-T101&lt;0,T101-AD101,AD101-T101)),"")</f>
        <v/>
      </c>
      <c r="AH101" s="51">
        <f>IFERROR(IF(OR(A101="",AE101=""),"",AE101-Z101),"")</f>
        <v/>
      </c>
      <c r="AI101" s="25">
        <f>IFERROR(IF(A101="","",IF(G101&gt;F101,"Check out-of-order rooms",IF(K101&gt;H101,"On the books exceeds sellable rooms",IF(R101&gt;H101,"Forecast exceeds sellable rooms",IF(AND(A101&lt;TODAY(),AB101=""),"Actual results missing","OK"))))),"")</f>
        <v/>
      </c>
    </row>
    <row r="102">
      <c r="A102" s="24" t="n"/>
      <c r="B102" s="25">
        <f>IFERROR(IF(A102="","",VLOOKUP(MOD(A102,7),'Assumptions'!$E$16:$F$22,2,0)),"")</f>
        <v/>
      </c>
      <c r="C102" s="25">
        <f>IFERROR(IF(A102="","",IF(A102&lt;TODAY(),"Past",IF(A102=TODAY(),"Today","Future"))),"")</f>
        <v/>
      </c>
      <c r="D102" s="26" t="n"/>
      <c r="E102" s="26" t="n"/>
      <c r="F102" s="27" t="n"/>
      <c r="G102" s="27" t="n"/>
      <c r="H102" s="28">
        <f>IFERROR(IF(A102="","",MAX(0,F102-G102)),"")</f>
        <v/>
      </c>
      <c r="I102" s="27" t="n"/>
      <c r="J102" s="27" t="n"/>
      <c r="K102" s="28">
        <f>IFERROR(IF(A102="","",I102+J102),"")</f>
        <v/>
      </c>
      <c r="L102" s="29">
        <f>IFERROR(IF(A102="","",K102/H102),"")</f>
        <v/>
      </c>
      <c r="M102" s="29">
        <f>IFERROR(IF(A102="","",VLOOKUP(B102,'Assumptions'!$A$16:$B$22,2,0)),"")</f>
        <v/>
      </c>
      <c r="N102" s="27" t="n"/>
      <c r="O102" s="27" t="n"/>
      <c r="P102" s="27" t="n"/>
      <c r="Q102" s="28">
        <f>IFERROR(IF(A102="","",MIN(H102,MAX(0,K102,ROUND(H102*M102,0)+N102+O102))),"")</f>
        <v/>
      </c>
      <c r="R102" s="28">
        <f>IFERROR(IF(A102="","",MIN(H102,MAX(0,IF(P102="",Q102,P102)))),"")</f>
        <v/>
      </c>
      <c r="S102" s="28">
        <f>IFERROR(IF(A102="","",MAX(0,R102-K102)),"")</f>
        <v/>
      </c>
      <c r="T102" s="29">
        <f>IFERROR(IF(A102="","",R102/H102),"")</f>
        <v/>
      </c>
      <c r="U102" s="29">
        <f>IFERROR(IF(A102="","",'Assumptions'!$B$5),"")</f>
        <v/>
      </c>
      <c r="V102" s="29">
        <f>IFERROR(IF(A102="","",T102-U102),"")</f>
        <v/>
      </c>
      <c r="W102" s="50" t="n"/>
      <c r="X102" s="50" t="n"/>
      <c r="Y102" s="51">
        <f>IFERROR(IF(A102="","",IF(X102&lt;&gt;"",X102,IF(W102&lt;&gt;"",W102,'Assumptions'!$B$8))),"")</f>
        <v/>
      </c>
      <c r="Z102" s="51">
        <f>IFERROR(IF(A102="","",R102*Y102),"")</f>
        <v/>
      </c>
      <c r="AA102" s="51">
        <f>IFERROR(IF(A102="","",Z102/H102),"")</f>
        <v/>
      </c>
      <c r="AB102" s="32" t="n"/>
      <c r="AC102" s="52" t="n"/>
      <c r="AD102" s="29">
        <f>IFERROR(IF(OR(A102="",AB102=""),"",AB102/H102),"")</f>
        <v/>
      </c>
      <c r="AE102" s="51">
        <f>IFERROR(IF(OR(A102="",AB102="",AC102=""),"",AB102*AC102),"")</f>
        <v/>
      </c>
      <c r="AF102" s="28">
        <f>IFERROR(IF(OR(A102="",AB102=""),"",AB102-R102),"")</f>
        <v/>
      </c>
      <c r="AG102" s="29">
        <f>IFERROR(IF(OR(A102="",AB102=""),"",IF(AD102-T102&lt;0,T102-AD102,AD102-T102)),"")</f>
        <v/>
      </c>
      <c r="AH102" s="51">
        <f>IFERROR(IF(OR(A102="",AE102=""),"",AE102-Z102),"")</f>
        <v/>
      </c>
      <c r="AI102" s="25">
        <f>IFERROR(IF(A102="","",IF(G102&gt;F102,"Check out-of-order rooms",IF(K102&gt;H102,"On the books exceeds sellable rooms",IF(R102&gt;H102,"Forecast exceeds sellable rooms",IF(AND(A102&lt;TODAY(),AB102=""),"Actual results missing","OK"))))),"")</f>
        <v/>
      </c>
    </row>
    <row r="103">
      <c r="A103" s="24" t="n"/>
      <c r="B103" s="25">
        <f>IFERROR(IF(A103="","",VLOOKUP(MOD(A103,7),'Assumptions'!$E$16:$F$22,2,0)),"")</f>
        <v/>
      </c>
      <c r="C103" s="25">
        <f>IFERROR(IF(A103="","",IF(A103&lt;TODAY(),"Past",IF(A103=TODAY(),"Today","Future"))),"")</f>
        <v/>
      </c>
      <c r="D103" s="26" t="n"/>
      <c r="E103" s="26" t="n"/>
      <c r="F103" s="27" t="n"/>
      <c r="G103" s="27" t="n"/>
      <c r="H103" s="28">
        <f>IFERROR(IF(A103="","",MAX(0,F103-G103)),"")</f>
        <v/>
      </c>
      <c r="I103" s="27" t="n"/>
      <c r="J103" s="27" t="n"/>
      <c r="K103" s="28">
        <f>IFERROR(IF(A103="","",I103+J103),"")</f>
        <v/>
      </c>
      <c r="L103" s="29">
        <f>IFERROR(IF(A103="","",K103/H103),"")</f>
        <v/>
      </c>
      <c r="M103" s="29">
        <f>IFERROR(IF(A103="","",VLOOKUP(B103,'Assumptions'!$A$16:$B$22,2,0)),"")</f>
        <v/>
      </c>
      <c r="N103" s="27" t="n"/>
      <c r="O103" s="27" t="n"/>
      <c r="P103" s="27" t="n"/>
      <c r="Q103" s="28">
        <f>IFERROR(IF(A103="","",MIN(H103,MAX(0,K103,ROUND(H103*M103,0)+N103+O103))),"")</f>
        <v/>
      </c>
      <c r="R103" s="28">
        <f>IFERROR(IF(A103="","",MIN(H103,MAX(0,IF(P103="",Q103,P103)))),"")</f>
        <v/>
      </c>
      <c r="S103" s="28">
        <f>IFERROR(IF(A103="","",MAX(0,R103-K103)),"")</f>
        <v/>
      </c>
      <c r="T103" s="29">
        <f>IFERROR(IF(A103="","",R103/H103),"")</f>
        <v/>
      </c>
      <c r="U103" s="29">
        <f>IFERROR(IF(A103="","",'Assumptions'!$B$5),"")</f>
        <v/>
      </c>
      <c r="V103" s="29">
        <f>IFERROR(IF(A103="","",T103-U103),"")</f>
        <v/>
      </c>
      <c r="W103" s="50" t="n"/>
      <c r="X103" s="50" t="n"/>
      <c r="Y103" s="51">
        <f>IFERROR(IF(A103="","",IF(X103&lt;&gt;"",X103,IF(W103&lt;&gt;"",W103,'Assumptions'!$B$8))),"")</f>
        <v/>
      </c>
      <c r="Z103" s="51">
        <f>IFERROR(IF(A103="","",R103*Y103),"")</f>
        <v/>
      </c>
      <c r="AA103" s="51">
        <f>IFERROR(IF(A103="","",Z103/H103),"")</f>
        <v/>
      </c>
      <c r="AB103" s="32" t="n"/>
      <c r="AC103" s="52" t="n"/>
      <c r="AD103" s="29">
        <f>IFERROR(IF(OR(A103="",AB103=""),"",AB103/H103),"")</f>
        <v/>
      </c>
      <c r="AE103" s="51">
        <f>IFERROR(IF(OR(A103="",AB103="",AC103=""),"",AB103*AC103),"")</f>
        <v/>
      </c>
      <c r="AF103" s="28">
        <f>IFERROR(IF(OR(A103="",AB103=""),"",AB103-R103),"")</f>
        <v/>
      </c>
      <c r="AG103" s="29">
        <f>IFERROR(IF(OR(A103="",AB103=""),"",IF(AD103-T103&lt;0,T103-AD103,AD103-T103)),"")</f>
        <v/>
      </c>
      <c r="AH103" s="51">
        <f>IFERROR(IF(OR(A103="",AE103=""),"",AE103-Z103),"")</f>
        <v/>
      </c>
      <c r="AI103" s="25">
        <f>IFERROR(IF(A103="","",IF(G103&gt;F103,"Check out-of-order rooms",IF(K103&gt;H103,"On the books exceeds sellable rooms",IF(R103&gt;H103,"Forecast exceeds sellable rooms",IF(AND(A103&lt;TODAY(),AB103=""),"Actual results missing","OK"))))),"")</f>
        <v/>
      </c>
    </row>
    <row r="104">
      <c r="A104" s="24" t="n"/>
      <c r="B104" s="25">
        <f>IFERROR(IF(A104="","",VLOOKUP(MOD(A104,7),'Assumptions'!$E$16:$F$22,2,0)),"")</f>
        <v/>
      </c>
      <c r="C104" s="25">
        <f>IFERROR(IF(A104="","",IF(A104&lt;TODAY(),"Past",IF(A104=TODAY(),"Today","Future"))),"")</f>
        <v/>
      </c>
      <c r="D104" s="26" t="n"/>
      <c r="E104" s="26" t="n"/>
      <c r="F104" s="27" t="n"/>
      <c r="G104" s="27" t="n"/>
      <c r="H104" s="28">
        <f>IFERROR(IF(A104="","",MAX(0,F104-G104)),"")</f>
        <v/>
      </c>
      <c r="I104" s="27" t="n"/>
      <c r="J104" s="27" t="n"/>
      <c r="K104" s="28">
        <f>IFERROR(IF(A104="","",I104+J104),"")</f>
        <v/>
      </c>
      <c r="L104" s="29">
        <f>IFERROR(IF(A104="","",K104/H104),"")</f>
        <v/>
      </c>
      <c r="M104" s="29">
        <f>IFERROR(IF(A104="","",VLOOKUP(B104,'Assumptions'!$A$16:$B$22,2,0)),"")</f>
        <v/>
      </c>
      <c r="N104" s="27" t="n"/>
      <c r="O104" s="27" t="n"/>
      <c r="P104" s="27" t="n"/>
      <c r="Q104" s="28">
        <f>IFERROR(IF(A104="","",MIN(H104,MAX(0,K104,ROUND(H104*M104,0)+N104+O104))),"")</f>
        <v/>
      </c>
      <c r="R104" s="28">
        <f>IFERROR(IF(A104="","",MIN(H104,MAX(0,IF(P104="",Q104,P104)))),"")</f>
        <v/>
      </c>
      <c r="S104" s="28">
        <f>IFERROR(IF(A104="","",MAX(0,R104-K104)),"")</f>
        <v/>
      </c>
      <c r="T104" s="29">
        <f>IFERROR(IF(A104="","",R104/H104),"")</f>
        <v/>
      </c>
      <c r="U104" s="29">
        <f>IFERROR(IF(A104="","",'Assumptions'!$B$5),"")</f>
        <v/>
      </c>
      <c r="V104" s="29">
        <f>IFERROR(IF(A104="","",T104-U104),"")</f>
        <v/>
      </c>
      <c r="W104" s="50" t="n"/>
      <c r="X104" s="50" t="n"/>
      <c r="Y104" s="51">
        <f>IFERROR(IF(A104="","",IF(X104&lt;&gt;"",X104,IF(W104&lt;&gt;"",W104,'Assumptions'!$B$8))),"")</f>
        <v/>
      </c>
      <c r="Z104" s="51">
        <f>IFERROR(IF(A104="","",R104*Y104),"")</f>
        <v/>
      </c>
      <c r="AA104" s="51">
        <f>IFERROR(IF(A104="","",Z104/H104),"")</f>
        <v/>
      </c>
      <c r="AB104" s="32" t="n"/>
      <c r="AC104" s="52" t="n"/>
      <c r="AD104" s="29">
        <f>IFERROR(IF(OR(A104="",AB104=""),"",AB104/H104),"")</f>
        <v/>
      </c>
      <c r="AE104" s="51">
        <f>IFERROR(IF(OR(A104="",AB104="",AC104=""),"",AB104*AC104),"")</f>
        <v/>
      </c>
      <c r="AF104" s="28">
        <f>IFERROR(IF(OR(A104="",AB104=""),"",AB104-R104),"")</f>
        <v/>
      </c>
      <c r="AG104" s="29">
        <f>IFERROR(IF(OR(A104="",AB104=""),"",IF(AD104-T104&lt;0,T104-AD104,AD104-T104)),"")</f>
        <v/>
      </c>
      <c r="AH104" s="51">
        <f>IFERROR(IF(OR(A104="",AE104=""),"",AE104-Z104),"")</f>
        <v/>
      </c>
      <c r="AI104" s="25">
        <f>IFERROR(IF(A104="","",IF(G104&gt;F104,"Check out-of-order rooms",IF(K104&gt;H104,"On the books exceeds sellable rooms",IF(R104&gt;H104,"Forecast exceeds sellable rooms",IF(AND(A104&lt;TODAY(),AB104=""),"Actual results missing","OK"))))),"")</f>
        <v/>
      </c>
    </row>
    <row r="105">
      <c r="A105" s="24" t="n"/>
      <c r="B105" s="25">
        <f>IFERROR(IF(A105="","",VLOOKUP(MOD(A105,7),'Assumptions'!$E$16:$F$22,2,0)),"")</f>
        <v/>
      </c>
      <c r="C105" s="25">
        <f>IFERROR(IF(A105="","",IF(A105&lt;TODAY(),"Past",IF(A105=TODAY(),"Today","Future"))),"")</f>
        <v/>
      </c>
      <c r="D105" s="26" t="n"/>
      <c r="E105" s="26" t="n"/>
      <c r="F105" s="27" t="n"/>
      <c r="G105" s="27" t="n"/>
      <c r="H105" s="28">
        <f>IFERROR(IF(A105="","",MAX(0,F105-G105)),"")</f>
        <v/>
      </c>
      <c r="I105" s="27" t="n"/>
      <c r="J105" s="27" t="n"/>
      <c r="K105" s="28">
        <f>IFERROR(IF(A105="","",I105+J105),"")</f>
        <v/>
      </c>
      <c r="L105" s="29">
        <f>IFERROR(IF(A105="","",K105/H105),"")</f>
        <v/>
      </c>
      <c r="M105" s="29">
        <f>IFERROR(IF(A105="","",VLOOKUP(B105,'Assumptions'!$A$16:$B$22,2,0)),"")</f>
        <v/>
      </c>
      <c r="N105" s="27" t="n"/>
      <c r="O105" s="27" t="n"/>
      <c r="P105" s="27" t="n"/>
      <c r="Q105" s="28">
        <f>IFERROR(IF(A105="","",MIN(H105,MAX(0,K105,ROUND(H105*M105,0)+N105+O105))),"")</f>
        <v/>
      </c>
      <c r="R105" s="28">
        <f>IFERROR(IF(A105="","",MIN(H105,MAX(0,IF(P105="",Q105,P105)))),"")</f>
        <v/>
      </c>
      <c r="S105" s="28">
        <f>IFERROR(IF(A105="","",MAX(0,R105-K105)),"")</f>
        <v/>
      </c>
      <c r="T105" s="29">
        <f>IFERROR(IF(A105="","",R105/H105),"")</f>
        <v/>
      </c>
      <c r="U105" s="29">
        <f>IFERROR(IF(A105="","",'Assumptions'!$B$5),"")</f>
        <v/>
      </c>
      <c r="V105" s="29">
        <f>IFERROR(IF(A105="","",T105-U105),"")</f>
        <v/>
      </c>
      <c r="W105" s="50" t="n"/>
      <c r="X105" s="50" t="n"/>
      <c r="Y105" s="51">
        <f>IFERROR(IF(A105="","",IF(X105&lt;&gt;"",X105,IF(W105&lt;&gt;"",W105,'Assumptions'!$B$8))),"")</f>
        <v/>
      </c>
      <c r="Z105" s="51">
        <f>IFERROR(IF(A105="","",R105*Y105),"")</f>
        <v/>
      </c>
      <c r="AA105" s="51">
        <f>IFERROR(IF(A105="","",Z105/H105),"")</f>
        <v/>
      </c>
      <c r="AB105" s="32" t="n"/>
      <c r="AC105" s="52" t="n"/>
      <c r="AD105" s="29">
        <f>IFERROR(IF(OR(A105="",AB105=""),"",AB105/H105),"")</f>
        <v/>
      </c>
      <c r="AE105" s="51">
        <f>IFERROR(IF(OR(A105="",AB105="",AC105=""),"",AB105*AC105),"")</f>
        <v/>
      </c>
      <c r="AF105" s="28">
        <f>IFERROR(IF(OR(A105="",AB105=""),"",AB105-R105),"")</f>
        <v/>
      </c>
      <c r="AG105" s="29">
        <f>IFERROR(IF(OR(A105="",AB105=""),"",IF(AD105-T105&lt;0,T105-AD105,AD105-T105)),"")</f>
        <v/>
      </c>
      <c r="AH105" s="51">
        <f>IFERROR(IF(OR(A105="",AE105=""),"",AE105-Z105),"")</f>
        <v/>
      </c>
      <c r="AI105" s="25">
        <f>IFERROR(IF(A105="","",IF(G105&gt;F105,"Check out-of-order rooms",IF(K105&gt;H105,"On the books exceeds sellable rooms",IF(R105&gt;H105,"Forecast exceeds sellable rooms",IF(AND(A105&lt;TODAY(),AB105=""),"Actual results missing","OK"))))),"")</f>
        <v/>
      </c>
    </row>
    <row r="106">
      <c r="A106" s="24" t="n"/>
      <c r="B106" s="25">
        <f>IFERROR(IF(A106="","",VLOOKUP(MOD(A106,7),'Assumptions'!$E$16:$F$22,2,0)),"")</f>
        <v/>
      </c>
      <c r="C106" s="25">
        <f>IFERROR(IF(A106="","",IF(A106&lt;TODAY(),"Past",IF(A106=TODAY(),"Today","Future"))),"")</f>
        <v/>
      </c>
      <c r="D106" s="26" t="n"/>
      <c r="E106" s="26" t="n"/>
      <c r="F106" s="27" t="n"/>
      <c r="G106" s="27" t="n"/>
      <c r="H106" s="28">
        <f>IFERROR(IF(A106="","",MAX(0,F106-G106)),"")</f>
        <v/>
      </c>
      <c r="I106" s="27" t="n"/>
      <c r="J106" s="27" t="n"/>
      <c r="K106" s="28">
        <f>IFERROR(IF(A106="","",I106+J106),"")</f>
        <v/>
      </c>
      <c r="L106" s="29">
        <f>IFERROR(IF(A106="","",K106/H106),"")</f>
        <v/>
      </c>
      <c r="M106" s="29">
        <f>IFERROR(IF(A106="","",VLOOKUP(B106,'Assumptions'!$A$16:$B$22,2,0)),"")</f>
        <v/>
      </c>
      <c r="N106" s="27" t="n"/>
      <c r="O106" s="27" t="n"/>
      <c r="P106" s="27" t="n"/>
      <c r="Q106" s="28">
        <f>IFERROR(IF(A106="","",MIN(H106,MAX(0,K106,ROUND(H106*M106,0)+N106+O106))),"")</f>
        <v/>
      </c>
      <c r="R106" s="28">
        <f>IFERROR(IF(A106="","",MIN(H106,MAX(0,IF(P106="",Q106,P106)))),"")</f>
        <v/>
      </c>
      <c r="S106" s="28">
        <f>IFERROR(IF(A106="","",MAX(0,R106-K106)),"")</f>
        <v/>
      </c>
      <c r="T106" s="29">
        <f>IFERROR(IF(A106="","",R106/H106),"")</f>
        <v/>
      </c>
      <c r="U106" s="29">
        <f>IFERROR(IF(A106="","",'Assumptions'!$B$5),"")</f>
        <v/>
      </c>
      <c r="V106" s="29">
        <f>IFERROR(IF(A106="","",T106-U106),"")</f>
        <v/>
      </c>
      <c r="W106" s="50" t="n"/>
      <c r="X106" s="50" t="n"/>
      <c r="Y106" s="51">
        <f>IFERROR(IF(A106="","",IF(X106&lt;&gt;"",X106,IF(W106&lt;&gt;"",W106,'Assumptions'!$B$8))),"")</f>
        <v/>
      </c>
      <c r="Z106" s="51">
        <f>IFERROR(IF(A106="","",R106*Y106),"")</f>
        <v/>
      </c>
      <c r="AA106" s="51">
        <f>IFERROR(IF(A106="","",Z106/H106),"")</f>
        <v/>
      </c>
      <c r="AB106" s="32" t="n"/>
      <c r="AC106" s="52" t="n"/>
      <c r="AD106" s="29">
        <f>IFERROR(IF(OR(A106="",AB106=""),"",AB106/H106),"")</f>
        <v/>
      </c>
      <c r="AE106" s="51">
        <f>IFERROR(IF(OR(A106="",AB106="",AC106=""),"",AB106*AC106),"")</f>
        <v/>
      </c>
      <c r="AF106" s="28">
        <f>IFERROR(IF(OR(A106="",AB106=""),"",AB106-R106),"")</f>
        <v/>
      </c>
      <c r="AG106" s="29">
        <f>IFERROR(IF(OR(A106="",AB106=""),"",IF(AD106-T106&lt;0,T106-AD106,AD106-T106)),"")</f>
        <v/>
      </c>
      <c r="AH106" s="51">
        <f>IFERROR(IF(OR(A106="",AE106=""),"",AE106-Z106),"")</f>
        <v/>
      </c>
      <c r="AI106" s="25">
        <f>IFERROR(IF(A106="","",IF(G106&gt;F106,"Check out-of-order rooms",IF(K106&gt;H106,"On the books exceeds sellable rooms",IF(R106&gt;H106,"Forecast exceeds sellable rooms",IF(AND(A106&lt;TODAY(),AB106=""),"Actual results missing","OK"))))),"")</f>
        <v/>
      </c>
    </row>
    <row r="107">
      <c r="A107" s="24" t="n"/>
      <c r="B107" s="25">
        <f>IFERROR(IF(A107="","",VLOOKUP(MOD(A107,7),'Assumptions'!$E$16:$F$22,2,0)),"")</f>
        <v/>
      </c>
      <c r="C107" s="25">
        <f>IFERROR(IF(A107="","",IF(A107&lt;TODAY(),"Past",IF(A107=TODAY(),"Today","Future"))),"")</f>
        <v/>
      </c>
      <c r="D107" s="26" t="n"/>
      <c r="E107" s="26" t="n"/>
      <c r="F107" s="27" t="n"/>
      <c r="G107" s="27" t="n"/>
      <c r="H107" s="28">
        <f>IFERROR(IF(A107="","",MAX(0,F107-G107)),"")</f>
        <v/>
      </c>
      <c r="I107" s="27" t="n"/>
      <c r="J107" s="27" t="n"/>
      <c r="K107" s="28">
        <f>IFERROR(IF(A107="","",I107+J107),"")</f>
        <v/>
      </c>
      <c r="L107" s="29">
        <f>IFERROR(IF(A107="","",K107/H107),"")</f>
        <v/>
      </c>
      <c r="M107" s="29">
        <f>IFERROR(IF(A107="","",VLOOKUP(B107,'Assumptions'!$A$16:$B$22,2,0)),"")</f>
        <v/>
      </c>
      <c r="N107" s="27" t="n"/>
      <c r="O107" s="27" t="n"/>
      <c r="P107" s="27" t="n"/>
      <c r="Q107" s="28">
        <f>IFERROR(IF(A107="","",MIN(H107,MAX(0,K107,ROUND(H107*M107,0)+N107+O107))),"")</f>
        <v/>
      </c>
      <c r="R107" s="28">
        <f>IFERROR(IF(A107="","",MIN(H107,MAX(0,IF(P107="",Q107,P107)))),"")</f>
        <v/>
      </c>
      <c r="S107" s="28">
        <f>IFERROR(IF(A107="","",MAX(0,R107-K107)),"")</f>
        <v/>
      </c>
      <c r="T107" s="29">
        <f>IFERROR(IF(A107="","",R107/H107),"")</f>
        <v/>
      </c>
      <c r="U107" s="29">
        <f>IFERROR(IF(A107="","",'Assumptions'!$B$5),"")</f>
        <v/>
      </c>
      <c r="V107" s="29">
        <f>IFERROR(IF(A107="","",T107-U107),"")</f>
        <v/>
      </c>
      <c r="W107" s="50" t="n"/>
      <c r="X107" s="50" t="n"/>
      <c r="Y107" s="51">
        <f>IFERROR(IF(A107="","",IF(X107&lt;&gt;"",X107,IF(W107&lt;&gt;"",W107,'Assumptions'!$B$8))),"")</f>
        <v/>
      </c>
      <c r="Z107" s="51">
        <f>IFERROR(IF(A107="","",R107*Y107),"")</f>
        <v/>
      </c>
      <c r="AA107" s="51">
        <f>IFERROR(IF(A107="","",Z107/H107),"")</f>
        <v/>
      </c>
      <c r="AB107" s="32" t="n"/>
      <c r="AC107" s="52" t="n"/>
      <c r="AD107" s="29">
        <f>IFERROR(IF(OR(A107="",AB107=""),"",AB107/H107),"")</f>
        <v/>
      </c>
      <c r="AE107" s="51">
        <f>IFERROR(IF(OR(A107="",AB107="",AC107=""),"",AB107*AC107),"")</f>
        <v/>
      </c>
      <c r="AF107" s="28">
        <f>IFERROR(IF(OR(A107="",AB107=""),"",AB107-R107),"")</f>
        <v/>
      </c>
      <c r="AG107" s="29">
        <f>IFERROR(IF(OR(A107="",AB107=""),"",IF(AD107-T107&lt;0,T107-AD107,AD107-T107)),"")</f>
        <v/>
      </c>
      <c r="AH107" s="51">
        <f>IFERROR(IF(OR(A107="",AE107=""),"",AE107-Z107),"")</f>
        <v/>
      </c>
      <c r="AI107" s="25">
        <f>IFERROR(IF(A107="","",IF(G107&gt;F107,"Check out-of-order rooms",IF(K107&gt;H107,"On the books exceeds sellable rooms",IF(R107&gt;H107,"Forecast exceeds sellable rooms",IF(AND(A107&lt;TODAY(),AB107=""),"Actual results missing","OK"))))),"")</f>
        <v/>
      </c>
    </row>
    <row r="108">
      <c r="A108" s="24" t="n"/>
      <c r="B108" s="25">
        <f>IFERROR(IF(A108="","",VLOOKUP(MOD(A108,7),'Assumptions'!$E$16:$F$22,2,0)),"")</f>
        <v/>
      </c>
      <c r="C108" s="25">
        <f>IFERROR(IF(A108="","",IF(A108&lt;TODAY(),"Past",IF(A108=TODAY(),"Today","Future"))),"")</f>
        <v/>
      </c>
      <c r="D108" s="26" t="n"/>
      <c r="E108" s="26" t="n"/>
      <c r="F108" s="27" t="n"/>
      <c r="G108" s="27" t="n"/>
      <c r="H108" s="28">
        <f>IFERROR(IF(A108="","",MAX(0,F108-G108)),"")</f>
        <v/>
      </c>
      <c r="I108" s="27" t="n"/>
      <c r="J108" s="27" t="n"/>
      <c r="K108" s="28">
        <f>IFERROR(IF(A108="","",I108+J108),"")</f>
        <v/>
      </c>
      <c r="L108" s="29">
        <f>IFERROR(IF(A108="","",K108/H108),"")</f>
        <v/>
      </c>
      <c r="M108" s="29">
        <f>IFERROR(IF(A108="","",VLOOKUP(B108,'Assumptions'!$A$16:$B$22,2,0)),"")</f>
        <v/>
      </c>
      <c r="N108" s="27" t="n"/>
      <c r="O108" s="27" t="n"/>
      <c r="P108" s="27" t="n"/>
      <c r="Q108" s="28">
        <f>IFERROR(IF(A108="","",MIN(H108,MAX(0,K108,ROUND(H108*M108,0)+N108+O108))),"")</f>
        <v/>
      </c>
      <c r="R108" s="28">
        <f>IFERROR(IF(A108="","",MIN(H108,MAX(0,IF(P108="",Q108,P108)))),"")</f>
        <v/>
      </c>
      <c r="S108" s="28">
        <f>IFERROR(IF(A108="","",MAX(0,R108-K108)),"")</f>
        <v/>
      </c>
      <c r="T108" s="29">
        <f>IFERROR(IF(A108="","",R108/H108),"")</f>
        <v/>
      </c>
      <c r="U108" s="29">
        <f>IFERROR(IF(A108="","",'Assumptions'!$B$5),"")</f>
        <v/>
      </c>
      <c r="V108" s="29">
        <f>IFERROR(IF(A108="","",T108-U108),"")</f>
        <v/>
      </c>
      <c r="W108" s="50" t="n"/>
      <c r="X108" s="50" t="n"/>
      <c r="Y108" s="51">
        <f>IFERROR(IF(A108="","",IF(X108&lt;&gt;"",X108,IF(W108&lt;&gt;"",W108,'Assumptions'!$B$8))),"")</f>
        <v/>
      </c>
      <c r="Z108" s="51">
        <f>IFERROR(IF(A108="","",R108*Y108),"")</f>
        <v/>
      </c>
      <c r="AA108" s="51">
        <f>IFERROR(IF(A108="","",Z108/H108),"")</f>
        <v/>
      </c>
      <c r="AB108" s="32" t="n"/>
      <c r="AC108" s="52" t="n"/>
      <c r="AD108" s="29">
        <f>IFERROR(IF(OR(A108="",AB108=""),"",AB108/H108),"")</f>
        <v/>
      </c>
      <c r="AE108" s="51">
        <f>IFERROR(IF(OR(A108="",AB108="",AC108=""),"",AB108*AC108),"")</f>
        <v/>
      </c>
      <c r="AF108" s="28">
        <f>IFERROR(IF(OR(A108="",AB108=""),"",AB108-R108),"")</f>
        <v/>
      </c>
      <c r="AG108" s="29">
        <f>IFERROR(IF(OR(A108="",AB108=""),"",IF(AD108-T108&lt;0,T108-AD108,AD108-T108)),"")</f>
        <v/>
      </c>
      <c r="AH108" s="51">
        <f>IFERROR(IF(OR(A108="",AE108=""),"",AE108-Z108),"")</f>
        <v/>
      </c>
      <c r="AI108" s="25">
        <f>IFERROR(IF(A108="","",IF(G108&gt;F108,"Check out-of-order rooms",IF(K108&gt;H108,"On the books exceeds sellable rooms",IF(R108&gt;H108,"Forecast exceeds sellable rooms",IF(AND(A108&lt;TODAY(),AB108=""),"Actual results missing","OK"))))),"")</f>
        <v/>
      </c>
    </row>
    <row r="109">
      <c r="A109" s="24" t="n"/>
      <c r="B109" s="25">
        <f>IFERROR(IF(A109="","",VLOOKUP(MOD(A109,7),'Assumptions'!$E$16:$F$22,2,0)),"")</f>
        <v/>
      </c>
      <c r="C109" s="25">
        <f>IFERROR(IF(A109="","",IF(A109&lt;TODAY(),"Past",IF(A109=TODAY(),"Today","Future"))),"")</f>
        <v/>
      </c>
      <c r="D109" s="26" t="n"/>
      <c r="E109" s="26" t="n"/>
      <c r="F109" s="27" t="n"/>
      <c r="G109" s="27" t="n"/>
      <c r="H109" s="28">
        <f>IFERROR(IF(A109="","",MAX(0,F109-G109)),"")</f>
        <v/>
      </c>
      <c r="I109" s="27" t="n"/>
      <c r="J109" s="27" t="n"/>
      <c r="K109" s="28">
        <f>IFERROR(IF(A109="","",I109+J109),"")</f>
        <v/>
      </c>
      <c r="L109" s="29">
        <f>IFERROR(IF(A109="","",K109/H109),"")</f>
        <v/>
      </c>
      <c r="M109" s="29">
        <f>IFERROR(IF(A109="","",VLOOKUP(B109,'Assumptions'!$A$16:$B$22,2,0)),"")</f>
        <v/>
      </c>
      <c r="N109" s="27" t="n"/>
      <c r="O109" s="27" t="n"/>
      <c r="P109" s="27" t="n"/>
      <c r="Q109" s="28">
        <f>IFERROR(IF(A109="","",MIN(H109,MAX(0,K109,ROUND(H109*M109,0)+N109+O109))),"")</f>
        <v/>
      </c>
      <c r="R109" s="28">
        <f>IFERROR(IF(A109="","",MIN(H109,MAX(0,IF(P109="",Q109,P109)))),"")</f>
        <v/>
      </c>
      <c r="S109" s="28">
        <f>IFERROR(IF(A109="","",MAX(0,R109-K109)),"")</f>
        <v/>
      </c>
      <c r="T109" s="29">
        <f>IFERROR(IF(A109="","",R109/H109),"")</f>
        <v/>
      </c>
      <c r="U109" s="29">
        <f>IFERROR(IF(A109="","",'Assumptions'!$B$5),"")</f>
        <v/>
      </c>
      <c r="V109" s="29">
        <f>IFERROR(IF(A109="","",T109-U109),"")</f>
        <v/>
      </c>
      <c r="W109" s="50" t="n"/>
      <c r="X109" s="50" t="n"/>
      <c r="Y109" s="51">
        <f>IFERROR(IF(A109="","",IF(X109&lt;&gt;"",X109,IF(W109&lt;&gt;"",W109,'Assumptions'!$B$8))),"")</f>
        <v/>
      </c>
      <c r="Z109" s="51">
        <f>IFERROR(IF(A109="","",R109*Y109),"")</f>
        <v/>
      </c>
      <c r="AA109" s="51">
        <f>IFERROR(IF(A109="","",Z109/H109),"")</f>
        <v/>
      </c>
      <c r="AB109" s="32" t="n"/>
      <c r="AC109" s="52" t="n"/>
      <c r="AD109" s="29">
        <f>IFERROR(IF(OR(A109="",AB109=""),"",AB109/H109),"")</f>
        <v/>
      </c>
      <c r="AE109" s="51">
        <f>IFERROR(IF(OR(A109="",AB109="",AC109=""),"",AB109*AC109),"")</f>
        <v/>
      </c>
      <c r="AF109" s="28">
        <f>IFERROR(IF(OR(A109="",AB109=""),"",AB109-R109),"")</f>
        <v/>
      </c>
      <c r="AG109" s="29">
        <f>IFERROR(IF(OR(A109="",AB109=""),"",IF(AD109-T109&lt;0,T109-AD109,AD109-T109)),"")</f>
        <v/>
      </c>
      <c r="AH109" s="51">
        <f>IFERROR(IF(OR(A109="",AE109=""),"",AE109-Z109),"")</f>
        <v/>
      </c>
      <c r="AI109" s="25">
        <f>IFERROR(IF(A109="","",IF(G109&gt;F109,"Check out-of-order rooms",IF(K109&gt;H109,"On the books exceeds sellable rooms",IF(R109&gt;H109,"Forecast exceeds sellable rooms",IF(AND(A109&lt;TODAY(),AB109=""),"Actual results missing","OK"))))),"")</f>
        <v/>
      </c>
    </row>
    <row r="110">
      <c r="A110" s="24" t="n"/>
      <c r="B110" s="25">
        <f>IFERROR(IF(A110="","",VLOOKUP(MOD(A110,7),'Assumptions'!$E$16:$F$22,2,0)),"")</f>
        <v/>
      </c>
      <c r="C110" s="25">
        <f>IFERROR(IF(A110="","",IF(A110&lt;TODAY(),"Past",IF(A110=TODAY(),"Today","Future"))),"")</f>
        <v/>
      </c>
      <c r="D110" s="26" t="n"/>
      <c r="E110" s="26" t="n"/>
      <c r="F110" s="27" t="n"/>
      <c r="G110" s="27" t="n"/>
      <c r="H110" s="28">
        <f>IFERROR(IF(A110="","",MAX(0,F110-G110)),"")</f>
        <v/>
      </c>
      <c r="I110" s="27" t="n"/>
      <c r="J110" s="27" t="n"/>
      <c r="K110" s="28">
        <f>IFERROR(IF(A110="","",I110+J110),"")</f>
        <v/>
      </c>
      <c r="L110" s="29">
        <f>IFERROR(IF(A110="","",K110/H110),"")</f>
        <v/>
      </c>
      <c r="M110" s="29">
        <f>IFERROR(IF(A110="","",VLOOKUP(B110,'Assumptions'!$A$16:$B$22,2,0)),"")</f>
        <v/>
      </c>
      <c r="N110" s="27" t="n"/>
      <c r="O110" s="27" t="n"/>
      <c r="P110" s="27" t="n"/>
      <c r="Q110" s="28">
        <f>IFERROR(IF(A110="","",MIN(H110,MAX(0,K110,ROUND(H110*M110,0)+N110+O110))),"")</f>
        <v/>
      </c>
      <c r="R110" s="28">
        <f>IFERROR(IF(A110="","",MIN(H110,MAX(0,IF(P110="",Q110,P110)))),"")</f>
        <v/>
      </c>
      <c r="S110" s="28">
        <f>IFERROR(IF(A110="","",MAX(0,R110-K110)),"")</f>
        <v/>
      </c>
      <c r="T110" s="29">
        <f>IFERROR(IF(A110="","",R110/H110),"")</f>
        <v/>
      </c>
      <c r="U110" s="29">
        <f>IFERROR(IF(A110="","",'Assumptions'!$B$5),"")</f>
        <v/>
      </c>
      <c r="V110" s="29">
        <f>IFERROR(IF(A110="","",T110-U110),"")</f>
        <v/>
      </c>
      <c r="W110" s="50" t="n"/>
      <c r="X110" s="50" t="n"/>
      <c r="Y110" s="51">
        <f>IFERROR(IF(A110="","",IF(X110&lt;&gt;"",X110,IF(W110&lt;&gt;"",W110,'Assumptions'!$B$8))),"")</f>
        <v/>
      </c>
      <c r="Z110" s="51">
        <f>IFERROR(IF(A110="","",R110*Y110),"")</f>
        <v/>
      </c>
      <c r="AA110" s="51">
        <f>IFERROR(IF(A110="","",Z110/H110),"")</f>
        <v/>
      </c>
      <c r="AB110" s="32" t="n"/>
      <c r="AC110" s="52" t="n"/>
      <c r="AD110" s="29">
        <f>IFERROR(IF(OR(A110="",AB110=""),"",AB110/H110),"")</f>
        <v/>
      </c>
      <c r="AE110" s="51">
        <f>IFERROR(IF(OR(A110="",AB110="",AC110=""),"",AB110*AC110),"")</f>
        <v/>
      </c>
      <c r="AF110" s="28">
        <f>IFERROR(IF(OR(A110="",AB110=""),"",AB110-R110),"")</f>
        <v/>
      </c>
      <c r="AG110" s="29">
        <f>IFERROR(IF(OR(A110="",AB110=""),"",IF(AD110-T110&lt;0,T110-AD110,AD110-T110)),"")</f>
        <v/>
      </c>
      <c r="AH110" s="51">
        <f>IFERROR(IF(OR(A110="",AE110=""),"",AE110-Z110),"")</f>
        <v/>
      </c>
      <c r="AI110" s="25">
        <f>IFERROR(IF(A110="","",IF(G110&gt;F110,"Check out-of-order rooms",IF(K110&gt;H110,"On the books exceeds sellable rooms",IF(R110&gt;H110,"Forecast exceeds sellable rooms",IF(AND(A110&lt;TODAY(),AB110=""),"Actual results missing","OK"))))),"")</f>
        <v/>
      </c>
    </row>
    <row r="111">
      <c r="A111" s="24" t="n"/>
      <c r="B111" s="25">
        <f>IFERROR(IF(A111="","",VLOOKUP(MOD(A111,7),'Assumptions'!$E$16:$F$22,2,0)),"")</f>
        <v/>
      </c>
      <c r="C111" s="25">
        <f>IFERROR(IF(A111="","",IF(A111&lt;TODAY(),"Past",IF(A111=TODAY(),"Today","Future"))),"")</f>
        <v/>
      </c>
      <c r="D111" s="26" t="n"/>
      <c r="E111" s="26" t="n"/>
      <c r="F111" s="27" t="n"/>
      <c r="G111" s="27" t="n"/>
      <c r="H111" s="28">
        <f>IFERROR(IF(A111="","",MAX(0,F111-G111)),"")</f>
        <v/>
      </c>
      <c r="I111" s="27" t="n"/>
      <c r="J111" s="27" t="n"/>
      <c r="K111" s="28">
        <f>IFERROR(IF(A111="","",I111+J111),"")</f>
        <v/>
      </c>
      <c r="L111" s="29">
        <f>IFERROR(IF(A111="","",K111/H111),"")</f>
        <v/>
      </c>
      <c r="M111" s="29">
        <f>IFERROR(IF(A111="","",VLOOKUP(B111,'Assumptions'!$A$16:$B$22,2,0)),"")</f>
        <v/>
      </c>
      <c r="N111" s="27" t="n"/>
      <c r="O111" s="27" t="n"/>
      <c r="P111" s="27" t="n"/>
      <c r="Q111" s="28">
        <f>IFERROR(IF(A111="","",MIN(H111,MAX(0,K111,ROUND(H111*M111,0)+N111+O111))),"")</f>
        <v/>
      </c>
      <c r="R111" s="28">
        <f>IFERROR(IF(A111="","",MIN(H111,MAX(0,IF(P111="",Q111,P111)))),"")</f>
        <v/>
      </c>
      <c r="S111" s="28">
        <f>IFERROR(IF(A111="","",MAX(0,R111-K111)),"")</f>
        <v/>
      </c>
      <c r="T111" s="29">
        <f>IFERROR(IF(A111="","",R111/H111),"")</f>
        <v/>
      </c>
      <c r="U111" s="29">
        <f>IFERROR(IF(A111="","",'Assumptions'!$B$5),"")</f>
        <v/>
      </c>
      <c r="V111" s="29">
        <f>IFERROR(IF(A111="","",T111-U111),"")</f>
        <v/>
      </c>
      <c r="W111" s="50" t="n"/>
      <c r="X111" s="50" t="n"/>
      <c r="Y111" s="51">
        <f>IFERROR(IF(A111="","",IF(X111&lt;&gt;"",X111,IF(W111&lt;&gt;"",W111,'Assumptions'!$B$8))),"")</f>
        <v/>
      </c>
      <c r="Z111" s="51">
        <f>IFERROR(IF(A111="","",R111*Y111),"")</f>
        <v/>
      </c>
      <c r="AA111" s="51">
        <f>IFERROR(IF(A111="","",Z111/H111),"")</f>
        <v/>
      </c>
      <c r="AB111" s="32" t="n"/>
      <c r="AC111" s="52" t="n"/>
      <c r="AD111" s="29">
        <f>IFERROR(IF(OR(A111="",AB111=""),"",AB111/H111),"")</f>
        <v/>
      </c>
      <c r="AE111" s="51">
        <f>IFERROR(IF(OR(A111="",AB111="",AC111=""),"",AB111*AC111),"")</f>
        <v/>
      </c>
      <c r="AF111" s="28">
        <f>IFERROR(IF(OR(A111="",AB111=""),"",AB111-R111),"")</f>
        <v/>
      </c>
      <c r="AG111" s="29">
        <f>IFERROR(IF(OR(A111="",AB111=""),"",IF(AD111-T111&lt;0,T111-AD111,AD111-T111)),"")</f>
        <v/>
      </c>
      <c r="AH111" s="51">
        <f>IFERROR(IF(OR(A111="",AE111=""),"",AE111-Z111),"")</f>
        <v/>
      </c>
      <c r="AI111" s="25">
        <f>IFERROR(IF(A111="","",IF(G111&gt;F111,"Check out-of-order rooms",IF(K111&gt;H111,"On the books exceeds sellable rooms",IF(R111&gt;H111,"Forecast exceeds sellable rooms",IF(AND(A111&lt;TODAY(),AB111=""),"Actual results missing","OK"))))),"")</f>
        <v/>
      </c>
    </row>
    <row r="112">
      <c r="A112" s="24" t="n"/>
      <c r="B112" s="25">
        <f>IFERROR(IF(A112="","",VLOOKUP(MOD(A112,7),'Assumptions'!$E$16:$F$22,2,0)),"")</f>
        <v/>
      </c>
      <c r="C112" s="25">
        <f>IFERROR(IF(A112="","",IF(A112&lt;TODAY(),"Past",IF(A112=TODAY(),"Today","Future"))),"")</f>
        <v/>
      </c>
      <c r="D112" s="26" t="n"/>
      <c r="E112" s="26" t="n"/>
      <c r="F112" s="27" t="n"/>
      <c r="G112" s="27" t="n"/>
      <c r="H112" s="28">
        <f>IFERROR(IF(A112="","",MAX(0,F112-G112)),"")</f>
        <v/>
      </c>
      <c r="I112" s="27" t="n"/>
      <c r="J112" s="27" t="n"/>
      <c r="K112" s="28">
        <f>IFERROR(IF(A112="","",I112+J112),"")</f>
        <v/>
      </c>
      <c r="L112" s="29">
        <f>IFERROR(IF(A112="","",K112/H112),"")</f>
        <v/>
      </c>
      <c r="M112" s="29">
        <f>IFERROR(IF(A112="","",VLOOKUP(B112,'Assumptions'!$A$16:$B$22,2,0)),"")</f>
        <v/>
      </c>
      <c r="N112" s="27" t="n"/>
      <c r="O112" s="27" t="n"/>
      <c r="P112" s="27" t="n"/>
      <c r="Q112" s="28">
        <f>IFERROR(IF(A112="","",MIN(H112,MAX(0,K112,ROUND(H112*M112,0)+N112+O112))),"")</f>
        <v/>
      </c>
      <c r="R112" s="28">
        <f>IFERROR(IF(A112="","",MIN(H112,MAX(0,IF(P112="",Q112,P112)))),"")</f>
        <v/>
      </c>
      <c r="S112" s="28">
        <f>IFERROR(IF(A112="","",MAX(0,R112-K112)),"")</f>
        <v/>
      </c>
      <c r="T112" s="29">
        <f>IFERROR(IF(A112="","",R112/H112),"")</f>
        <v/>
      </c>
      <c r="U112" s="29">
        <f>IFERROR(IF(A112="","",'Assumptions'!$B$5),"")</f>
        <v/>
      </c>
      <c r="V112" s="29">
        <f>IFERROR(IF(A112="","",T112-U112),"")</f>
        <v/>
      </c>
      <c r="W112" s="50" t="n"/>
      <c r="X112" s="50" t="n"/>
      <c r="Y112" s="51">
        <f>IFERROR(IF(A112="","",IF(X112&lt;&gt;"",X112,IF(W112&lt;&gt;"",W112,'Assumptions'!$B$8))),"")</f>
        <v/>
      </c>
      <c r="Z112" s="51">
        <f>IFERROR(IF(A112="","",R112*Y112),"")</f>
        <v/>
      </c>
      <c r="AA112" s="51">
        <f>IFERROR(IF(A112="","",Z112/H112),"")</f>
        <v/>
      </c>
      <c r="AB112" s="32" t="n"/>
      <c r="AC112" s="52" t="n"/>
      <c r="AD112" s="29">
        <f>IFERROR(IF(OR(A112="",AB112=""),"",AB112/H112),"")</f>
        <v/>
      </c>
      <c r="AE112" s="51">
        <f>IFERROR(IF(OR(A112="",AB112="",AC112=""),"",AB112*AC112),"")</f>
        <v/>
      </c>
      <c r="AF112" s="28">
        <f>IFERROR(IF(OR(A112="",AB112=""),"",AB112-R112),"")</f>
        <v/>
      </c>
      <c r="AG112" s="29">
        <f>IFERROR(IF(OR(A112="",AB112=""),"",IF(AD112-T112&lt;0,T112-AD112,AD112-T112)),"")</f>
        <v/>
      </c>
      <c r="AH112" s="51">
        <f>IFERROR(IF(OR(A112="",AE112=""),"",AE112-Z112),"")</f>
        <v/>
      </c>
      <c r="AI112" s="25">
        <f>IFERROR(IF(A112="","",IF(G112&gt;F112,"Check out-of-order rooms",IF(K112&gt;H112,"On the books exceeds sellable rooms",IF(R112&gt;H112,"Forecast exceeds sellable rooms",IF(AND(A112&lt;TODAY(),AB112=""),"Actual results missing","OK"))))),"")</f>
        <v/>
      </c>
    </row>
    <row r="113">
      <c r="A113" s="24" t="n"/>
      <c r="B113" s="25">
        <f>IFERROR(IF(A113="","",VLOOKUP(MOD(A113,7),'Assumptions'!$E$16:$F$22,2,0)),"")</f>
        <v/>
      </c>
      <c r="C113" s="25">
        <f>IFERROR(IF(A113="","",IF(A113&lt;TODAY(),"Past",IF(A113=TODAY(),"Today","Future"))),"")</f>
        <v/>
      </c>
      <c r="D113" s="26" t="n"/>
      <c r="E113" s="26" t="n"/>
      <c r="F113" s="27" t="n"/>
      <c r="G113" s="27" t="n"/>
      <c r="H113" s="28">
        <f>IFERROR(IF(A113="","",MAX(0,F113-G113)),"")</f>
        <v/>
      </c>
      <c r="I113" s="27" t="n"/>
      <c r="J113" s="27" t="n"/>
      <c r="K113" s="28">
        <f>IFERROR(IF(A113="","",I113+J113),"")</f>
        <v/>
      </c>
      <c r="L113" s="29">
        <f>IFERROR(IF(A113="","",K113/H113),"")</f>
        <v/>
      </c>
      <c r="M113" s="29">
        <f>IFERROR(IF(A113="","",VLOOKUP(B113,'Assumptions'!$A$16:$B$22,2,0)),"")</f>
        <v/>
      </c>
      <c r="N113" s="27" t="n"/>
      <c r="O113" s="27" t="n"/>
      <c r="P113" s="27" t="n"/>
      <c r="Q113" s="28">
        <f>IFERROR(IF(A113="","",MIN(H113,MAX(0,K113,ROUND(H113*M113,0)+N113+O113))),"")</f>
        <v/>
      </c>
      <c r="R113" s="28">
        <f>IFERROR(IF(A113="","",MIN(H113,MAX(0,IF(P113="",Q113,P113)))),"")</f>
        <v/>
      </c>
      <c r="S113" s="28">
        <f>IFERROR(IF(A113="","",MAX(0,R113-K113)),"")</f>
        <v/>
      </c>
      <c r="T113" s="29">
        <f>IFERROR(IF(A113="","",R113/H113),"")</f>
        <v/>
      </c>
      <c r="U113" s="29">
        <f>IFERROR(IF(A113="","",'Assumptions'!$B$5),"")</f>
        <v/>
      </c>
      <c r="V113" s="29">
        <f>IFERROR(IF(A113="","",T113-U113),"")</f>
        <v/>
      </c>
      <c r="W113" s="50" t="n"/>
      <c r="X113" s="50" t="n"/>
      <c r="Y113" s="51">
        <f>IFERROR(IF(A113="","",IF(X113&lt;&gt;"",X113,IF(W113&lt;&gt;"",W113,'Assumptions'!$B$8))),"")</f>
        <v/>
      </c>
      <c r="Z113" s="51">
        <f>IFERROR(IF(A113="","",R113*Y113),"")</f>
        <v/>
      </c>
      <c r="AA113" s="51">
        <f>IFERROR(IF(A113="","",Z113/H113),"")</f>
        <v/>
      </c>
      <c r="AB113" s="32" t="n"/>
      <c r="AC113" s="52" t="n"/>
      <c r="AD113" s="29">
        <f>IFERROR(IF(OR(A113="",AB113=""),"",AB113/H113),"")</f>
        <v/>
      </c>
      <c r="AE113" s="51">
        <f>IFERROR(IF(OR(A113="",AB113="",AC113=""),"",AB113*AC113),"")</f>
        <v/>
      </c>
      <c r="AF113" s="28">
        <f>IFERROR(IF(OR(A113="",AB113=""),"",AB113-R113),"")</f>
        <v/>
      </c>
      <c r="AG113" s="29">
        <f>IFERROR(IF(OR(A113="",AB113=""),"",IF(AD113-T113&lt;0,T113-AD113,AD113-T113)),"")</f>
        <v/>
      </c>
      <c r="AH113" s="51">
        <f>IFERROR(IF(OR(A113="",AE113=""),"",AE113-Z113),"")</f>
        <v/>
      </c>
      <c r="AI113" s="25">
        <f>IFERROR(IF(A113="","",IF(G113&gt;F113,"Check out-of-order rooms",IF(K113&gt;H113,"On the books exceeds sellable rooms",IF(R113&gt;H113,"Forecast exceeds sellable rooms",IF(AND(A113&lt;TODAY(),AB113=""),"Actual results missing","OK"))))),"")</f>
        <v/>
      </c>
    </row>
    <row r="114">
      <c r="A114" s="24" t="n"/>
      <c r="B114" s="25">
        <f>IFERROR(IF(A114="","",VLOOKUP(MOD(A114,7),'Assumptions'!$E$16:$F$22,2,0)),"")</f>
        <v/>
      </c>
      <c r="C114" s="25">
        <f>IFERROR(IF(A114="","",IF(A114&lt;TODAY(),"Past",IF(A114=TODAY(),"Today","Future"))),"")</f>
        <v/>
      </c>
      <c r="D114" s="26" t="n"/>
      <c r="E114" s="26" t="n"/>
      <c r="F114" s="27" t="n"/>
      <c r="G114" s="27" t="n"/>
      <c r="H114" s="28">
        <f>IFERROR(IF(A114="","",MAX(0,F114-G114)),"")</f>
        <v/>
      </c>
      <c r="I114" s="27" t="n"/>
      <c r="J114" s="27" t="n"/>
      <c r="K114" s="28">
        <f>IFERROR(IF(A114="","",I114+J114),"")</f>
        <v/>
      </c>
      <c r="L114" s="29">
        <f>IFERROR(IF(A114="","",K114/H114),"")</f>
        <v/>
      </c>
      <c r="M114" s="29">
        <f>IFERROR(IF(A114="","",VLOOKUP(B114,'Assumptions'!$A$16:$B$22,2,0)),"")</f>
        <v/>
      </c>
      <c r="N114" s="27" t="n"/>
      <c r="O114" s="27" t="n"/>
      <c r="P114" s="27" t="n"/>
      <c r="Q114" s="28">
        <f>IFERROR(IF(A114="","",MIN(H114,MAX(0,K114,ROUND(H114*M114,0)+N114+O114))),"")</f>
        <v/>
      </c>
      <c r="R114" s="28">
        <f>IFERROR(IF(A114="","",MIN(H114,MAX(0,IF(P114="",Q114,P114)))),"")</f>
        <v/>
      </c>
      <c r="S114" s="28">
        <f>IFERROR(IF(A114="","",MAX(0,R114-K114)),"")</f>
        <v/>
      </c>
      <c r="T114" s="29">
        <f>IFERROR(IF(A114="","",R114/H114),"")</f>
        <v/>
      </c>
      <c r="U114" s="29">
        <f>IFERROR(IF(A114="","",'Assumptions'!$B$5),"")</f>
        <v/>
      </c>
      <c r="V114" s="29">
        <f>IFERROR(IF(A114="","",T114-U114),"")</f>
        <v/>
      </c>
      <c r="W114" s="50" t="n"/>
      <c r="X114" s="50" t="n"/>
      <c r="Y114" s="51">
        <f>IFERROR(IF(A114="","",IF(X114&lt;&gt;"",X114,IF(W114&lt;&gt;"",W114,'Assumptions'!$B$8))),"")</f>
        <v/>
      </c>
      <c r="Z114" s="51">
        <f>IFERROR(IF(A114="","",R114*Y114),"")</f>
        <v/>
      </c>
      <c r="AA114" s="51">
        <f>IFERROR(IF(A114="","",Z114/H114),"")</f>
        <v/>
      </c>
      <c r="AB114" s="32" t="n"/>
      <c r="AC114" s="52" t="n"/>
      <c r="AD114" s="29">
        <f>IFERROR(IF(OR(A114="",AB114=""),"",AB114/H114),"")</f>
        <v/>
      </c>
      <c r="AE114" s="51">
        <f>IFERROR(IF(OR(A114="",AB114="",AC114=""),"",AB114*AC114),"")</f>
        <v/>
      </c>
      <c r="AF114" s="28">
        <f>IFERROR(IF(OR(A114="",AB114=""),"",AB114-R114),"")</f>
        <v/>
      </c>
      <c r="AG114" s="29">
        <f>IFERROR(IF(OR(A114="",AB114=""),"",IF(AD114-T114&lt;0,T114-AD114,AD114-T114)),"")</f>
        <v/>
      </c>
      <c r="AH114" s="51">
        <f>IFERROR(IF(OR(A114="",AE114=""),"",AE114-Z114),"")</f>
        <v/>
      </c>
      <c r="AI114" s="25">
        <f>IFERROR(IF(A114="","",IF(G114&gt;F114,"Check out-of-order rooms",IF(K114&gt;H114,"On the books exceeds sellable rooms",IF(R114&gt;H114,"Forecast exceeds sellable rooms",IF(AND(A114&lt;TODAY(),AB114=""),"Actual results missing","OK"))))),"")</f>
        <v/>
      </c>
    </row>
    <row r="115">
      <c r="A115" s="24" t="n"/>
      <c r="B115" s="25">
        <f>IFERROR(IF(A115="","",VLOOKUP(MOD(A115,7),'Assumptions'!$E$16:$F$22,2,0)),"")</f>
        <v/>
      </c>
      <c r="C115" s="25">
        <f>IFERROR(IF(A115="","",IF(A115&lt;TODAY(),"Past",IF(A115=TODAY(),"Today","Future"))),"")</f>
        <v/>
      </c>
      <c r="D115" s="26" t="n"/>
      <c r="E115" s="26" t="n"/>
      <c r="F115" s="27" t="n"/>
      <c r="G115" s="27" t="n"/>
      <c r="H115" s="28">
        <f>IFERROR(IF(A115="","",MAX(0,F115-G115)),"")</f>
        <v/>
      </c>
      <c r="I115" s="27" t="n"/>
      <c r="J115" s="27" t="n"/>
      <c r="K115" s="28">
        <f>IFERROR(IF(A115="","",I115+J115),"")</f>
        <v/>
      </c>
      <c r="L115" s="29">
        <f>IFERROR(IF(A115="","",K115/H115),"")</f>
        <v/>
      </c>
      <c r="M115" s="29">
        <f>IFERROR(IF(A115="","",VLOOKUP(B115,'Assumptions'!$A$16:$B$22,2,0)),"")</f>
        <v/>
      </c>
      <c r="N115" s="27" t="n"/>
      <c r="O115" s="27" t="n"/>
      <c r="P115" s="27" t="n"/>
      <c r="Q115" s="28">
        <f>IFERROR(IF(A115="","",MIN(H115,MAX(0,K115,ROUND(H115*M115,0)+N115+O115))),"")</f>
        <v/>
      </c>
      <c r="R115" s="28">
        <f>IFERROR(IF(A115="","",MIN(H115,MAX(0,IF(P115="",Q115,P115)))),"")</f>
        <v/>
      </c>
      <c r="S115" s="28">
        <f>IFERROR(IF(A115="","",MAX(0,R115-K115)),"")</f>
        <v/>
      </c>
      <c r="T115" s="29">
        <f>IFERROR(IF(A115="","",R115/H115),"")</f>
        <v/>
      </c>
      <c r="U115" s="29">
        <f>IFERROR(IF(A115="","",'Assumptions'!$B$5),"")</f>
        <v/>
      </c>
      <c r="V115" s="29">
        <f>IFERROR(IF(A115="","",T115-U115),"")</f>
        <v/>
      </c>
      <c r="W115" s="50" t="n"/>
      <c r="X115" s="50" t="n"/>
      <c r="Y115" s="51">
        <f>IFERROR(IF(A115="","",IF(X115&lt;&gt;"",X115,IF(W115&lt;&gt;"",W115,'Assumptions'!$B$8))),"")</f>
        <v/>
      </c>
      <c r="Z115" s="51">
        <f>IFERROR(IF(A115="","",R115*Y115),"")</f>
        <v/>
      </c>
      <c r="AA115" s="51">
        <f>IFERROR(IF(A115="","",Z115/H115),"")</f>
        <v/>
      </c>
      <c r="AB115" s="32" t="n"/>
      <c r="AC115" s="52" t="n"/>
      <c r="AD115" s="29">
        <f>IFERROR(IF(OR(A115="",AB115=""),"",AB115/H115),"")</f>
        <v/>
      </c>
      <c r="AE115" s="51">
        <f>IFERROR(IF(OR(A115="",AB115="",AC115=""),"",AB115*AC115),"")</f>
        <v/>
      </c>
      <c r="AF115" s="28">
        <f>IFERROR(IF(OR(A115="",AB115=""),"",AB115-R115),"")</f>
        <v/>
      </c>
      <c r="AG115" s="29">
        <f>IFERROR(IF(OR(A115="",AB115=""),"",IF(AD115-T115&lt;0,T115-AD115,AD115-T115)),"")</f>
        <v/>
      </c>
      <c r="AH115" s="51">
        <f>IFERROR(IF(OR(A115="",AE115=""),"",AE115-Z115),"")</f>
        <v/>
      </c>
      <c r="AI115" s="25">
        <f>IFERROR(IF(A115="","",IF(G115&gt;F115,"Check out-of-order rooms",IF(K115&gt;H115,"On the books exceeds sellable rooms",IF(R115&gt;H115,"Forecast exceeds sellable rooms",IF(AND(A115&lt;TODAY(),AB115=""),"Actual results missing","OK"))))),"")</f>
        <v/>
      </c>
    </row>
    <row r="116">
      <c r="A116" s="24" t="n"/>
      <c r="B116" s="25">
        <f>IFERROR(IF(A116="","",VLOOKUP(MOD(A116,7),'Assumptions'!$E$16:$F$22,2,0)),"")</f>
        <v/>
      </c>
      <c r="C116" s="25">
        <f>IFERROR(IF(A116="","",IF(A116&lt;TODAY(),"Past",IF(A116=TODAY(),"Today","Future"))),"")</f>
        <v/>
      </c>
      <c r="D116" s="26" t="n"/>
      <c r="E116" s="26" t="n"/>
      <c r="F116" s="27" t="n"/>
      <c r="G116" s="27" t="n"/>
      <c r="H116" s="28">
        <f>IFERROR(IF(A116="","",MAX(0,F116-G116)),"")</f>
        <v/>
      </c>
      <c r="I116" s="27" t="n"/>
      <c r="J116" s="27" t="n"/>
      <c r="K116" s="28">
        <f>IFERROR(IF(A116="","",I116+J116),"")</f>
        <v/>
      </c>
      <c r="L116" s="29">
        <f>IFERROR(IF(A116="","",K116/H116),"")</f>
        <v/>
      </c>
      <c r="M116" s="29">
        <f>IFERROR(IF(A116="","",VLOOKUP(B116,'Assumptions'!$A$16:$B$22,2,0)),"")</f>
        <v/>
      </c>
      <c r="N116" s="27" t="n"/>
      <c r="O116" s="27" t="n"/>
      <c r="P116" s="27" t="n"/>
      <c r="Q116" s="28">
        <f>IFERROR(IF(A116="","",MIN(H116,MAX(0,K116,ROUND(H116*M116,0)+N116+O116))),"")</f>
        <v/>
      </c>
      <c r="R116" s="28">
        <f>IFERROR(IF(A116="","",MIN(H116,MAX(0,IF(P116="",Q116,P116)))),"")</f>
        <v/>
      </c>
      <c r="S116" s="28">
        <f>IFERROR(IF(A116="","",MAX(0,R116-K116)),"")</f>
        <v/>
      </c>
      <c r="T116" s="29">
        <f>IFERROR(IF(A116="","",R116/H116),"")</f>
        <v/>
      </c>
      <c r="U116" s="29">
        <f>IFERROR(IF(A116="","",'Assumptions'!$B$5),"")</f>
        <v/>
      </c>
      <c r="V116" s="29">
        <f>IFERROR(IF(A116="","",T116-U116),"")</f>
        <v/>
      </c>
      <c r="W116" s="50" t="n"/>
      <c r="X116" s="50" t="n"/>
      <c r="Y116" s="51">
        <f>IFERROR(IF(A116="","",IF(X116&lt;&gt;"",X116,IF(W116&lt;&gt;"",W116,'Assumptions'!$B$8))),"")</f>
        <v/>
      </c>
      <c r="Z116" s="51">
        <f>IFERROR(IF(A116="","",R116*Y116),"")</f>
        <v/>
      </c>
      <c r="AA116" s="51">
        <f>IFERROR(IF(A116="","",Z116/H116),"")</f>
        <v/>
      </c>
      <c r="AB116" s="32" t="n"/>
      <c r="AC116" s="52" t="n"/>
      <c r="AD116" s="29">
        <f>IFERROR(IF(OR(A116="",AB116=""),"",AB116/H116),"")</f>
        <v/>
      </c>
      <c r="AE116" s="51">
        <f>IFERROR(IF(OR(A116="",AB116="",AC116=""),"",AB116*AC116),"")</f>
        <v/>
      </c>
      <c r="AF116" s="28">
        <f>IFERROR(IF(OR(A116="",AB116=""),"",AB116-R116),"")</f>
        <v/>
      </c>
      <c r="AG116" s="29">
        <f>IFERROR(IF(OR(A116="",AB116=""),"",IF(AD116-T116&lt;0,T116-AD116,AD116-T116)),"")</f>
        <v/>
      </c>
      <c r="AH116" s="51">
        <f>IFERROR(IF(OR(A116="",AE116=""),"",AE116-Z116),"")</f>
        <v/>
      </c>
      <c r="AI116" s="25">
        <f>IFERROR(IF(A116="","",IF(G116&gt;F116,"Check out-of-order rooms",IF(K116&gt;H116,"On the books exceeds sellable rooms",IF(R116&gt;H116,"Forecast exceeds sellable rooms",IF(AND(A116&lt;TODAY(),AB116=""),"Actual results missing","OK"))))),"")</f>
        <v/>
      </c>
    </row>
    <row r="117">
      <c r="A117" s="24" t="n"/>
      <c r="B117" s="25">
        <f>IFERROR(IF(A117="","",VLOOKUP(MOD(A117,7),'Assumptions'!$E$16:$F$22,2,0)),"")</f>
        <v/>
      </c>
      <c r="C117" s="25">
        <f>IFERROR(IF(A117="","",IF(A117&lt;TODAY(),"Past",IF(A117=TODAY(),"Today","Future"))),"")</f>
        <v/>
      </c>
      <c r="D117" s="26" t="n"/>
      <c r="E117" s="26" t="n"/>
      <c r="F117" s="27" t="n"/>
      <c r="G117" s="27" t="n"/>
      <c r="H117" s="28">
        <f>IFERROR(IF(A117="","",MAX(0,F117-G117)),"")</f>
        <v/>
      </c>
      <c r="I117" s="27" t="n"/>
      <c r="J117" s="27" t="n"/>
      <c r="K117" s="28">
        <f>IFERROR(IF(A117="","",I117+J117),"")</f>
        <v/>
      </c>
      <c r="L117" s="29">
        <f>IFERROR(IF(A117="","",K117/H117),"")</f>
        <v/>
      </c>
      <c r="M117" s="29">
        <f>IFERROR(IF(A117="","",VLOOKUP(B117,'Assumptions'!$A$16:$B$22,2,0)),"")</f>
        <v/>
      </c>
      <c r="N117" s="27" t="n"/>
      <c r="O117" s="27" t="n"/>
      <c r="P117" s="27" t="n"/>
      <c r="Q117" s="28">
        <f>IFERROR(IF(A117="","",MIN(H117,MAX(0,K117,ROUND(H117*M117,0)+N117+O117))),"")</f>
        <v/>
      </c>
      <c r="R117" s="28">
        <f>IFERROR(IF(A117="","",MIN(H117,MAX(0,IF(P117="",Q117,P117)))),"")</f>
        <v/>
      </c>
      <c r="S117" s="28">
        <f>IFERROR(IF(A117="","",MAX(0,R117-K117)),"")</f>
        <v/>
      </c>
      <c r="T117" s="29">
        <f>IFERROR(IF(A117="","",R117/H117),"")</f>
        <v/>
      </c>
      <c r="U117" s="29">
        <f>IFERROR(IF(A117="","",'Assumptions'!$B$5),"")</f>
        <v/>
      </c>
      <c r="V117" s="29">
        <f>IFERROR(IF(A117="","",T117-U117),"")</f>
        <v/>
      </c>
      <c r="W117" s="50" t="n"/>
      <c r="X117" s="50" t="n"/>
      <c r="Y117" s="51">
        <f>IFERROR(IF(A117="","",IF(X117&lt;&gt;"",X117,IF(W117&lt;&gt;"",W117,'Assumptions'!$B$8))),"")</f>
        <v/>
      </c>
      <c r="Z117" s="51">
        <f>IFERROR(IF(A117="","",R117*Y117),"")</f>
        <v/>
      </c>
      <c r="AA117" s="51">
        <f>IFERROR(IF(A117="","",Z117/H117),"")</f>
        <v/>
      </c>
      <c r="AB117" s="32" t="n"/>
      <c r="AC117" s="52" t="n"/>
      <c r="AD117" s="29">
        <f>IFERROR(IF(OR(A117="",AB117=""),"",AB117/H117),"")</f>
        <v/>
      </c>
      <c r="AE117" s="51">
        <f>IFERROR(IF(OR(A117="",AB117="",AC117=""),"",AB117*AC117),"")</f>
        <v/>
      </c>
      <c r="AF117" s="28">
        <f>IFERROR(IF(OR(A117="",AB117=""),"",AB117-R117),"")</f>
        <v/>
      </c>
      <c r="AG117" s="29">
        <f>IFERROR(IF(OR(A117="",AB117=""),"",IF(AD117-T117&lt;0,T117-AD117,AD117-T117)),"")</f>
        <v/>
      </c>
      <c r="AH117" s="51">
        <f>IFERROR(IF(OR(A117="",AE117=""),"",AE117-Z117),"")</f>
        <v/>
      </c>
      <c r="AI117" s="25">
        <f>IFERROR(IF(A117="","",IF(G117&gt;F117,"Check out-of-order rooms",IF(K117&gt;H117,"On the books exceeds sellable rooms",IF(R117&gt;H117,"Forecast exceeds sellable rooms",IF(AND(A117&lt;TODAY(),AB117=""),"Actual results missing","OK"))))),"")</f>
        <v/>
      </c>
    </row>
    <row r="118">
      <c r="A118" s="24" t="n"/>
      <c r="B118" s="25">
        <f>IFERROR(IF(A118="","",VLOOKUP(MOD(A118,7),'Assumptions'!$E$16:$F$22,2,0)),"")</f>
        <v/>
      </c>
      <c r="C118" s="25">
        <f>IFERROR(IF(A118="","",IF(A118&lt;TODAY(),"Past",IF(A118=TODAY(),"Today","Future"))),"")</f>
        <v/>
      </c>
      <c r="D118" s="26" t="n"/>
      <c r="E118" s="26" t="n"/>
      <c r="F118" s="27" t="n"/>
      <c r="G118" s="27" t="n"/>
      <c r="H118" s="28">
        <f>IFERROR(IF(A118="","",MAX(0,F118-G118)),"")</f>
        <v/>
      </c>
      <c r="I118" s="27" t="n"/>
      <c r="J118" s="27" t="n"/>
      <c r="K118" s="28">
        <f>IFERROR(IF(A118="","",I118+J118),"")</f>
        <v/>
      </c>
      <c r="L118" s="29">
        <f>IFERROR(IF(A118="","",K118/H118),"")</f>
        <v/>
      </c>
      <c r="M118" s="29">
        <f>IFERROR(IF(A118="","",VLOOKUP(B118,'Assumptions'!$A$16:$B$22,2,0)),"")</f>
        <v/>
      </c>
      <c r="N118" s="27" t="n"/>
      <c r="O118" s="27" t="n"/>
      <c r="P118" s="27" t="n"/>
      <c r="Q118" s="28">
        <f>IFERROR(IF(A118="","",MIN(H118,MAX(0,K118,ROUND(H118*M118,0)+N118+O118))),"")</f>
        <v/>
      </c>
      <c r="R118" s="28">
        <f>IFERROR(IF(A118="","",MIN(H118,MAX(0,IF(P118="",Q118,P118)))),"")</f>
        <v/>
      </c>
      <c r="S118" s="28">
        <f>IFERROR(IF(A118="","",MAX(0,R118-K118)),"")</f>
        <v/>
      </c>
      <c r="T118" s="29">
        <f>IFERROR(IF(A118="","",R118/H118),"")</f>
        <v/>
      </c>
      <c r="U118" s="29">
        <f>IFERROR(IF(A118="","",'Assumptions'!$B$5),"")</f>
        <v/>
      </c>
      <c r="V118" s="29">
        <f>IFERROR(IF(A118="","",T118-U118),"")</f>
        <v/>
      </c>
      <c r="W118" s="50" t="n"/>
      <c r="X118" s="50" t="n"/>
      <c r="Y118" s="51">
        <f>IFERROR(IF(A118="","",IF(X118&lt;&gt;"",X118,IF(W118&lt;&gt;"",W118,'Assumptions'!$B$8))),"")</f>
        <v/>
      </c>
      <c r="Z118" s="51">
        <f>IFERROR(IF(A118="","",R118*Y118),"")</f>
        <v/>
      </c>
      <c r="AA118" s="51">
        <f>IFERROR(IF(A118="","",Z118/H118),"")</f>
        <v/>
      </c>
      <c r="AB118" s="32" t="n"/>
      <c r="AC118" s="52" t="n"/>
      <c r="AD118" s="29">
        <f>IFERROR(IF(OR(A118="",AB118=""),"",AB118/H118),"")</f>
        <v/>
      </c>
      <c r="AE118" s="51">
        <f>IFERROR(IF(OR(A118="",AB118="",AC118=""),"",AB118*AC118),"")</f>
        <v/>
      </c>
      <c r="AF118" s="28">
        <f>IFERROR(IF(OR(A118="",AB118=""),"",AB118-R118),"")</f>
        <v/>
      </c>
      <c r="AG118" s="29">
        <f>IFERROR(IF(OR(A118="",AB118=""),"",IF(AD118-T118&lt;0,T118-AD118,AD118-T118)),"")</f>
        <v/>
      </c>
      <c r="AH118" s="51">
        <f>IFERROR(IF(OR(A118="",AE118=""),"",AE118-Z118),"")</f>
        <v/>
      </c>
      <c r="AI118" s="25">
        <f>IFERROR(IF(A118="","",IF(G118&gt;F118,"Check out-of-order rooms",IF(K118&gt;H118,"On the books exceeds sellable rooms",IF(R118&gt;H118,"Forecast exceeds sellable rooms",IF(AND(A118&lt;TODAY(),AB118=""),"Actual results missing","OK"))))),"")</f>
        <v/>
      </c>
    </row>
    <row r="119">
      <c r="A119" s="24" t="n"/>
      <c r="B119" s="25">
        <f>IFERROR(IF(A119="","",VLOOKUP(MOD(A119,7),'Assumptions'!$E$16:$F$22,2,0)),"")</f>
        <v/>
      </c>
      <c r="C119" s="25">
        <f>IFERROR(IF(A119="","",IF(A119&lt;TODAY(),"Past",IF(A119=TODAY(),"Today","Future"))),"")</f>
        <v/>
      </c>
      <c r="D119" s="26" t="n"/>
      <c r="E119" s="26" t="n"/>
      <c r="F119" s="27" t="n"/>
      <c r="G119" s="27" t="n"/>
      <c r="H119" s="28">
        <f>IFERROR(IF(A119="","",MAX(0,F119-G119)),"")</f>
        <v/>
      </c>
      <c r="I119" s="27" t="n"/>
      <c r="J119" s="27" t="n"/>
      <c r="K119" s="28">
        <f>IFERROR(IF(A119="","",I119+J119),"")</f>
        <v/>
      </c>
      <c r="L119" s="29">
        <f>IFERROR(IF(A119="","",K119/H119),"")</f>
        <v/>
      </c>
      <c r="M119" s="29">
        <f>IFERROR(IF(A119="","",VLOOKUP(B119,'Assumptions'!$A$16:$B$22,2,0)),"")</f>
        <v/>
      </c>
      <c r="N119" s="27" t="n"/>
      <c r="O119" s="27" t="n"/>
      <c r="P119" s="27" t="n"/>
      <c r="Q119" s="28">
        <f>IFERROR(IF(A119="","",MIN(H119,MAX(0,K119,ROUND(H119*M119,0)+N119+O119))),"")</f>
        <v/>
      </c>
      <c r="R119" s="28">
        <f>IFERROR(IF(A119="","",MIN(H119,MAX(0,IF(P119="",Q119,P119)))),"")</f>
        <v/>
      </c>
      <c r="S119" s="28">
        <f>IFERROR(IF(A119="","",MAX(0,R119-K119)),"")</f>
        <v/>
      </c>
      <c r="T119" s="29">
        <f>IFERROR(IF(A119="","",R119/H119),"")</f>
        <v/>
      </c>
      <c r="U119" s="29">
        <f>IFERROR(IF(A119="","",'Assumptions'!$B$5),"")</f>
        <v/>
      </c>
      <c r="V119" s="29">
        <f>IFERROR(IF(A119="","",T119-U119),"")</f>
        <v/>
      </c>
      <c r="W119" s="50" t="n"/>
      <c r="X119" s="50" t="n"/>
      <c r="Y119" s="51">
        <f>IFERROR(IF(A119="","",IF(X119&lt;&gt;"",X119,IF(W119&lt;&gt;"",W119,'Assumptions'!$B$8))),"")</f>
        <v/>
      </c>
      <c r="Z119" s="51">
        <f>IFERROR(IF(A119="","",R119*Y119),"")</f>
        <v/>
      </c>
      <c r="AA119" s="51">
        <f>IFERROR(IF(A119="","",Z119/H119),"")</f>
        <v/>
      </c>
      <c r="AB119" s="32" t="n"/>
      <c r="AC119" s="52" t="n"/>
      <c r="AD119" s="29">
        <f>IFERROR(IF(OR(A119="",AB119=""),"",AB119/H119),"")</f>
        <v/>
      </c>
      <c r="AE119" s="51">
        <f>IFERROR(IF(OR(A119="",AB119="",AC119=""),"",AB119*AC119),"")</f>
        <v/>
      </c>
      <c r="AF119" s="28">
        <f>IFERROR(IF(OR(A119="",AB119=""),"",AB119-R119),"")</f>
        <v/>
      </c>
      <c r="AG119" s="29">
        <f>IFERROR(IF(OR(A119="",AB119=""),"",IF(AD119-T119&lt;0,T119-AD119,AD119-T119)),"")</f>
        <v/>
      </c>
      <c r="AH119" s="51">
        <f>IFERROR(IF(OR(A119="",AE119=""),"",AE119-Z119),"")</f>
        <v/>
      </c>
      <c r="AI119" s="25">
        <f>IFERROR(IF(A119="","",IF(G119&gt;F119,"Check out-of-order rooms",IF(K119&gt;H119,"On the books exceeds sellable rooms",IF(R119&gt;H119,"Forecast exceeds sellable rooms",IF(AND(A119&lt;TODAY(),AB119=""),"Actual results missing","OK"))))),"")</f>
        <v/>
      </c>
    </row>
    <row r="120">
      <c r="A120" s="24" t="n"/>
      <c r="B120" s="25">
        <f>IFERROR(IF(A120="","",VLOOKUP(MOD(A120,7),'Assumptions'!$E$16:$F$22,2,0)),"")</f>
        <v/>
      </c>
      <c r="C120" s="25">
        <f>IFERROR(IF(A120="","",IF(A120&lt;TODAY(),"Past",IF(A120=TODAY(),"Today","Future"))),"")</f>
        <v/>
      </c>
      <c r="D120" s="26" t="n"/>
      <c r="E120" s="26" t="n"/>
      <c r="F120" s="27" t="n"/>
      <c r="G120" s="27" t="n"/>
      <c r="H120" s="28">
        <f>IFERROR(IF(A120="","",MAX(0,F120-G120)),"")</f>
        <v/>
      </c>
      <c r="I120" s="27" t="n"/>
      <c r="J120" s="27" t="n"/>
      <c r="K120" s="28">
        <f>IFERROR(IF(A120="","",I120+J120),"")</f>
        <v/>
      </c>
      <c r="L120" s="29">
        <f>IFERROR(IF(A120="","",K120/H120),"")</f>
        <v/>
      </c>
      <c r="M120" s="29">
        <f>IFERROR(IF(A120="","",VLOOKUP(B120,'Assumptions'!$A$16:$B$22,2,0)),"")</f>
        <v/>
      </c>
      <c r="N120" s="27" t="n"/>
      <c r="O120" s="27" t="n"/>
      <c r="P120" s="27" t="n"/>
      <c r="Q120" s="28">
        <f>IFERROR(IF(A120="","",MIN(H120,MAX(0,K120,ROUND(H120*M120,0)+N120+O120))),"")</f>
        <v/>
      </c>
      <c r="R120" s="28">
        <f>IFERROR(IF(A120="","",MIN(H120,MAX(0,IF(P120="",Q120,P120)))),"")</f>
        <v/>
      </c>
      <c r="S120" s="28">
        <f>IFERROR(IF(A120="","",MAX(0,R120-K120)),"")</f>
        <v/>
      </c>
      <c r="T120" s="29">
        <f>IFERROR(IF(A120="","",R120/H120),"")</f>
        <v/>
      </c>
      <c r="U120" s="29">
        <f>IFERROR(IF(A120="","",'Assumptions'!$B$5),"")</f>
        <v/>
      </c>
      <c r="V120" s="29">
        <f>IFERROR(IF(A120="","",T120-U120),"")</f>
        <v/>
      </c>
      <c r="W120" s="50" t="n"/>
      <c r="X120" s="50" t="n"/>
      <c r="Y120" s="51">
        <f>IFERROR(IF(A120="","",IF(X120&lt;&gt;"",X120,IF(W120&lt;&gt;"",W120,'Assumptions'!$B$8))),"")</f>
        <v/>
      </c>
      <c r="Z120" s="51">
        <f>IFERROR(IF(A120="","",R120*Y120),"")</f>
        <v/>
      </c>
      <c r="AA120" s="51">
        <f>IFERROR(IF(A120="","",Z120/H120),"")</f>
        <v/>
      </c>
      <c r="AB120" s="32" t="n"/>
      <c r="AC120" s="52" t="n"/>
      <c r="AD120" s="29">
        <f>IFERROR(IF(OR(A120="",AB120=""),"",AB120/H120),"")</f>
        <v/>
      </c>
      <c r="AE120" s="51">
        <f>IFERROR(IF(OR(A120="",AB120="",AC120=""),"",AB120*AC120),"")</f>
        <v/>
      </c>
      <c r="AF120" s="28">
        <f>IFERROR(IF(OR(A120="",AB120=""),"",AB120-R120),"")</f>
        <v/>
      </c>
      <c r="AG120" s="29">
        <f>IFERROR(IF(OR(A120="",AB120=""),"",IF(AD120-T120&lt;0,T120-AD120,AD120-T120)),"")</f>
        <v/>
      </c>
      <c r="AH120" s="51">
        <f>IFERROR(IF(OR(A120="",AE120=""),"",AE120-Z120),"")</f>
        <v/>
      </c>
      <c r="AI120" s="25">
        <f>IFERROR(IF(A120="","",IF(G120&gt;F120,"Check out-of-order rooms",IF(K120&gt;H120,"On the books exceeds sellable rooms",IF(R120&gt;H120,"Forecast exceeds sellable rooms",IF(AND(A120&lt;TODAY(),AB120=""),"Actual results missing","OK"))))),"")</f>
        <v/>
      </c>
    </row>
    <row r="121">
      <c r="A121" s="24" t="n"/>
      <c r="B121" s="25">
        <f>IFERROR(IF(A121="","",VLOOKUP(MOD(A121,7),'Assumptions'!$E$16:$F$22,2,0)),"")</f>
        <v/>
      </c>
      <c r="C121" s="25">
        <f>IFERROR(IF(A121="","",IF(A121&lt;TODAY(),"Past",IF(A121=TODAY(),"Today","Future"))),"")</f>
        <v/>
      </c>
      <c r="D121" s="26" t="n"/>
      <c r="E121" s="26" t="n"/>
      <c r="F121" s="27" t="n"/>
      <c r="G121" s="27" t="n"/>
      <c r="H121" s="28">
        <f>IFERROR(IF(A121="","",MAX(0,F121-G121)),"")</f>
        <v/>
      </c>
      <c r="I121" s="27" t="n"/>
      <c r="J121" s="27" t="n"/>
      <c r="K121" s="28">
        <f>IFERROR(IF(A121="","",I121+J121),"")</f>
        <v/>
      </c>
      <c r="L121" s="29">
        <f>IFERROR(IF(A121="","",K121/H121),"")</f>
        <v/>
      </c>
      <c r="M121" s="29">
        <f>IFERROR(IF(A121="","",VLOOKUP(B121,'Assumptions'!$A$16:$B$22,2,0)),"")</f>
        <v/>
      </c>
      <c r="N121" s="27" t="n"/>
      <c r="O121" s="27" t="n"/>
      <c r="P121" s="27" t="n"/>
      <c r="Q121" s="28">
        <f>IFERROR(IF(A121="","",MIN(H121,MAX(0,K121,ROUND(H121*M121,0)+N121+O121))),"")</f>
        <v/>
      </c>
      <c r="R121" s="28">
        <f>IFERROR(IF(A121="","",MIN(H121,MAX(0,IF(P121="",Q121,P121)))),"")</f>
        <v/>
      </c>
      <c r="S121" s="28">
        <f>IFERROR(IF(A121="","",MAX(0,R121-K121)),"")</f>
        <v/>
      </c>
      <c r="T121" s="29">
        <f>IFERROR(IF(A121="","",R121/H121),"")</f>
        <v/>
      </c>
      <c r="U121" s="29">
        <f>IFERROR(IF(A121="","",'Assumptions'!$B$5),"")</f>
        <v/>
      </c>
      <c r="V121" s="29">
        <f>IFERROR(IF(A121="","",T121-U121),"")</f>
        <v/>
      </c>
      <c r="W121" s="50" t="n"/>
      <c r="X121" s="50" t="n"/>
      <c r="Y121" s="51">
        <f>IFERROR(IF(A121="","",IF(X121&lt;&gt;"",X121,IF(W121&lt;&gt;"",W121,'Assumptions'!$B$8))),"")</f>
        <v/>
      </c>
      <c r="Z121" s="51">
        <f>IFERROR(IF(A121="","",R121*Y121),"")</f>
        <v/>
      </c>
      <c r="AA121" s="51">
        <f>IFERROR(IF(A121="","",Z121/H121),"")</f>
        <v/>
      </c>
      <c r="AB121" s="32" t="n"/>
      <c r="AC121" s="52" t="n"/>
      <c r="AD121" s="29">
        <f>IFERROR(IF(OR(A121="",AB121=""),"",AB121/H121),"")</f>
        <v/>
      </c>
      <c r="AE121" s="51">
        <f>IFERROR(IF(OR(A121="",AB121="",AC121=""),"",AB121*AC121),"")</f>
        <v/>
      </c>
      <c r="AF121" s="28">
        <f>IFERROR(IF(OR(A121="",AB121=""),"",AB121-R121),"")</f>
        <v/>
      </c>
      <c r="AG121" s="29">
        <f>IFERROR(IF(OR(A121="",AB121=""),"",IF(AD121-T121&lt;0,T121-AD121,AD121-T121)),"")</f>
        <v/>
      </c>
      <c r="AH121" s="51">
        <f>IFERROR(IF(OR(A121="",AE121=""),"",AE121-Z121),"")</f>
        <v/>
      </c>
      <c r="AI121" s="25">
        <f>IFERROR(IF(A121="","",IF(G121&gt;F121,"Check out-of-order rooms",IF(K121&gt;H121,"On the books exceeds sellable rooms",IF(R121&gt;H121,"Forecast exceeds sellable rooms",IF(AND(A121&lt;TODAY(),AB121=""),"Actual results missing","OK"))))),"")</f>
        <v/>
      </c>
    </row>
    <row r="122">
      <c r="A122" s="24" t="n"/>
      <c r="B122" s="25">
        <f>IFERROR(IF(A122="","",VLOOKUP(MOD(A122,7),'Assumptions'!$E$16:$F$22,2,0)),"")</f>
        <v/>
      </c>
      <c r="C122" s="25">
        <f>IFERROR(IF(A122="","",IF(A122&lt;TODAY(),"Past",IF(A122=TODAY(),"Today","Future"))),"")</f>
        <v/>
      </c>
      <c r="D122" s="26" t="n"/>
      <c r="E122" s="26" t="n"/>
      <c r="F122" s="27" t="n"/>
      <c r="G122" s="27" t="n"/>
      <c r="H122" s="28">
        <f>IFERROR(IF(A122="","",MAX(0,F122-G122)),"")</f>
        <v/>
      </c>
      <c r="I122" s="27" t="n"/>
      <c r="J122" s="27" t="n"/>
      <c r="K122" s="28">
        <f>IFERROR(IF(A122="","",I122+J122),"")</f>
        <v/>
      </c>
      <c r="L122" s="29">
        <f>IFERROR(IF(A122="","",K122/H122),"")</f>
        <v/>
      </c>
      <c r="M122" s="29">
        <f>IFERROR(IF(A122="","",VLOOKUP(B122,'Assumptions'!$A$16:$B$22,2,0)),"")</f>
        <v/>
      </c>
      <c r="N122" s="27" t="n"/>
      <c r="O122" s="27" t="n"/>
      <c r="P122" s="27" t="n"/>
      <c r="Q122" s="28">
        <f>IFERROR(IF(A122="","",MIN(H122,MAX(0,K122,ROUND(H122*M122,0)+N122+O122))),"")</f>
        <v/>
      </c>
      <c r="R122" s="28">
        <f>IFERROR(IF(A122="","",MIN(H122,MAX(0,IF(P122="",Q122,P122)))),"")</f>
        <v/>
      </c>
      <c r="S122" s="28">
        <f>IFERROR(IF(A122="","",MAX(0,R122-K122)),"")</f>
        <v/>
      </c>
      <c r="T122" s="29">
        <f>IFERROR(IF(A122="","",R122/H122),"")</f>
        <v/>
      </c>
      <c r="U122" s="29">
        <f>IFERROR(IF(A122="","",'Assumptions'!$B$5),"")</f>
        <v/>
      </c>
      <c r="V122" s="29">
        <f>IFERROR(IF(A122="","",T122-U122),"")</f>
        <v/>
      </c>
      <c r="W122" s="50" t="n"/>
      <c r="X122" s="50" t="n"/>
      <c r="Y122" s="51">
        <f>IFERROR(IF(A122="","",IF(X122&lt;&gt;"",X122,IF(W122&lt;&gt;"",W122,'Assumptions'!$B$8))),"")</f>
        <v/>
      </c>
      <c r="Z122" s="51">
        <f>IFERROR(IF(A122="","",R122*Y122),"")</f>
        <v/>
      </c>
      <c r="AA122" s="51">
        <f>IFERROR(IF(A122="","",Z122/H122),"")</f>
        <v/>
      </c>
      <c r="AB122" s="32" t="n"/>
      <c r="AC122" s="52" t="n"/>
      <c r="AD122" s="29">
        <f>IFERROR(IF(OR(A122="",AB122=""),"",AB122/H122),"")</f>
        <v/>
      </c>
      <c r="AE122" s="51">
        <f>IFERROR(IF(OR(A122="",AB122="",AC122=""),"",AB122*AC122),"")</f>
        <v/>
      </c>
      <c r="AF122" s="28">
        <f>IFERROR(IF(OR(A122="",AB122=""),"",AB122-R122),"")</f>
        <v/>
      </c>
      <c r="AG122" s="29">
        <f>IFERROR(IF(OR(A122="",AB122=""),"",IF(AD122-T122&lt;0,T122-AD122,AD122-T122)),"")</f>
        <v/>
      </c>
      <c r="AH122" s="51">
        <f>IFERROR(IF(OR(A122="",AE122=""),"",AE122-Z122),"")</f>
        <v/>
      </c>
      <c r="AI122" s="25">
        <f>IFERROR(IF(A122="","",IF(G122&gt;F122,"Check out-of-order rooms",IF(K122&gt;H122,"On the books exceeds sellable rooms",IF(R122&gt;H122,"Forecast exceeds sellable rooms",IF(AND(A122&lt;TODAY(),AB122=""),"Actual results missing","OK"))))),"")</f>
        <v/>
      </c>
    </row>
    <row r="123">
      <c r="A123" s="24" t="n"/>
      <c r="B123" s="25">
        <f>IFERROR(IF(A123="","",VLOOKUP(MOD(A123,7),'Assumptions'!$E$16:$F$22,2,0)),"")</f>
        <v/>
      </c>
      <c r="C123" s="25">
        <f>IFERROR(IF(A123="","",IF(A123&lt;TODAY(),"Past",IF(A123=TODAY(),"Today","Future"))),"")</f>
        <v/>
      </c>
      <c r="D123" s="26" t="n"/>
      <c r="E123" s="26" t="n"/>
      <c r="F123" s="27" t="n"/>
      <c r="G123" s="27" t="n"/>
      <c r="H123" s="28">
        <f>IFERROR(IF(A123="","",MAX(0,F123-G123)),"")</f>
        <v/>
      </c>
      <c r="I123" s="27" t="n"/>
      <c r="J123" s="27" t="n"/>
      <c r="K123" s="28">
        <f>IFERROR(IF(A123="","",I123+J123),"")</f>
        <v/>
      </c>
      <c r="L123" s="29">
        <f>IFERROR(IF(A123="","",K123/H123),"")</f>
        <v/>
      </c>
      <c r="M123" s="29">
        <f>IFERROR(IF(A123="","",VLOOKUP(B123,'Assumptions'!$A$16:$B$22,2,0)),"")</f>
        <v/>
      </c>
      <c r="N123" s="27" t="n"/>
      <c r="O123" s="27" t="n"/>
      <c r="P123" s="27" t="n"/>
      <c r="Q123" s="28">
        <f>IFERROR(IF(A123="","",MIN(H123,MAX(0,K123,ROUND(H123*M123,0)+N123+O123))),"")</f>
        <v/>
      </c>
      <c r="R123" s="28">
        <f>IFERROR(IF(A123="","",MIN(H123,MAX(0,IF(P123="",Q123,P123)))),"")</f>
        <v/>
      </c>
      <c r="S123" s="28">
        <f>IFERROR(IF(A123="","",MAX(0,R123-K123)),"")</f>
        <v/>
      </c>
      <c r="T123" s="29">
        <f>IFERROR(IF(A123="","",R123/H123),"")</f>
        <v/>
      </c>
      <c r="U123" s="29">
        <f>IFERROR(IF(A123="","",'Assumptions'!$B$5),"")</f>
        <v/>
      </c>
      <c r="V123" s="29">
        <f>IFERROR(IF(A123="","",T123-U123),"")</f>
        <v/>
      </c>
      <c r="W123" s="50" t="n"/>
      <c r="X123" s="50" t="n"/>
      <c r="Y123" s="51">
        <f>IFERROR(IF(A123="","",IF(X123&lt;&gt;"",X123,IF(W123&lt;&gt;"",W123,'Assumptions'!$B$8))),"")</f>
        <v/>
      </c>
      <c r="Z123" s="51">
        <f>IFERROR(IF(A123="","",R123*Y123),"")</f>
        <v/>
      </c>
      <c r="AA123" s="51">
        <f>IFERROR(IF(A123="","",Z123/H123),"")</f>
        <v/>
      </c>
      <c r="AB123" s="32" t="n"/>
      <c r="AC123" s="52" t="n"/>
      <c r="AD123" s="29">
        <f>IFERROR(IF(OR(A123="",AB123=""),"",AB123/H123),"")</f>
        <v/>
      </c>
      <c r="AE123" s="51">
        <f>IFERROR(IF(OR(A123="",AB123="",AC123=""),"",AB123*AC123),"")</f>
        <v/>
      </c>
      <c r="AF123" s="28">
        <f>IFERROR(IF(OR(A123="",AB123=""),"",AB123-R123),"")</f>
        <v/>
      </c>
      <c r="AG123" s="29">
        <f>IFERROR(IF(OR(A123="",AB123=""),"",IF(AD123-T123&lt;0,T123-AD123,AD123-T123)),"")</f>
        <v/>
      </c>
      <c r="AH123" s="51">
        <f>IFERROR(IF(OR(A123="",AE123=""),"",AE123-Z123),"")</f>
        <v/>
      </c>
      <c r="AI123" s="25">
        <f>IFERROR(IF(A123="","",IF(G123&gt;F123,"Check out-of-order rooms",IF(K123&gt;H123,"On the books exceeds sellable rooms",IF(R123&gt;H123,"Forecast exceeds sellable rooms",IF(AND(A123&lt;TODAY(),AB123=""),"Actual results missing","OK"))))),"")</f>
        <v/>
      </c>
    </row>
    <row r="124">
      <c r="A124" s="24" t="n"/>
      <c r="B124" s="25">
        <f>IFERROR(IF(A124="","",VLOOKUP(MOD(A124,7),'Assumptions'!$E$16:$F$22,2,0)),"")</f>
        <v/>
      </c>
      <c r="C124" s="25">
        <f>IFERROR(IF(A124="","",IF(A124&lt;TODAY(),"Past",IF(A124=TODAY(),"Today","Future"))),"")</f>
        <v/>
      </c>
      <c r="D124" s="26" t="n"/>
      <c r="E124" s="26" t="n"/>
      <c r="F124" s="27" t="n"/>
      <c r="G124" s="27" t="n"/>
      <c r="H124" s="28">
        <f>IFERROR(IF(A124="","",MAX(0,F124-G124)),"")</f>
        <v/>
      </c>
      <c r="I124" s="27" t="n"/>
      <c r="J124" s="27" t="n"/>
      <c r="K124" s="28">
        <f>IFERROR(IF(A124="","",I124+J124),"")</f>
        <v/>
      </c>
      <c r="L124" s="29">
        <f>IFERROR(IF(A124="","",K124/H124),"")</f>
        <v/>
      </c>
      <c r="M124" s="29">
        <f>IFERROR(IF(A124="","",VLOOKUP(B124,'Assumptions'!$A$16:$B$22,2,0)),"")</f>
        <v/>
      </c>
      <c r="N124" s="27" t="n"/>
      <c r="O124" s="27" t="n"/>
      <c r="P124" s="27" t="n"/>
      <c r="Q124" s="28">
        <f>IFERROR(IF(A124="","",MIN(H124,MAX(0,K124,ROUND(H124*M124,0)+N124+O124))),"")</f>
        <v/>
      </c>
      <c r="R124" s="28">
        <f>IFERROR(IF(A124="","",MIN(H124,MAX(0,IF(P124="",Q124,P124)))),"")</f>
        <v/>
      </c>
      <c r="S124" s="28">
        <f>IFERROR(IF(A124="","",MAX(0,R124-K124)),"")</f>
        <v/>
      </c>
      <c r="T124" s="29">
        <f>IFERROR(IF(A124="","",R124/H124),"")</f>
        <v/>
      </c>
      <c r="U124" s="29">
        <f>IFERROR(IF(A124="","",'Assumptions'!$B$5),"")</f>
        <v/>
      </c>
      <c r="V124" s="29">
        <f>IFERROR(IF(A124="","",T124-U124),"")</f>
        <v/>
      </c>
      <c r="W124" s="50" t="n"/>
      <c r="X124" s="50" t="n"/>
      <c r="Y124" s="51">
        <f>IFERROR(IF(A124="","",IF(X124&lt;&gt;"",X124,IF(W124&lt;&gt;"",W124,'Assumptions'!$B$8))),"")</f>
        <v/>
      </c>
      <c r="Z124" s="51">
        <f>IFERROR(IF(A124="","",R124*Y124),"")</f>
        <v/>
      </c>
      <c r="AA124" s="51">
        <f>IFERROR(IF(A124="","",Z124/H124),"")</f>
        <v/>
      </c>
      <c r="AB124" s="32" t="n"/>
      <c r="AC124" s="52" t="n"/>
      <c r="AD124" s="29">
        <f>IFERROR(IF(OR(A124="",AB124=""),"",AB124/H124),"")</f>
        <v/>
      </c>
      <c r="AE124" s="51">
        <f>IFERROR(IF(OR(A124="",AB124="",AC124=""),"",AB124*AC124),"")</f>
        <v/>
      </c>
      <c r="AF124" s="28">
        <f>IFERROR(IF(OR(A124="",AB124=""),"",AB124-R124),"")</f>
        <v/>
      </c>
      <c r="AG124" s="29">
        <f>IFERROR(IF(OR(A124="",AB124=""),"",IF(AD124-T124&lt;0,T124-AD124,AD124-T124)),"")</f>
        <v/>
      </c>
      <c r="AH124" s="51">
        <f>IFERROR(IF(OR(A124="",AE124=""),"",AE124-Z124),"")</f>
        <v/>
      </c>
      <c r="AI124" s="25">
        <f>IFERROR(IF(A124="","",IF(G124&gt;F124,"Check out-of-order rooms",IF(K124&gt;H124,"On the books exceeds sellable rooms",IF(R124&gt;H124,"Forecast exceeds sellable rooms",IF(AND(A124&lt;TODAY(),AB124=""),"Actual results missing","OK"))))),"")</f>
        <v/>
      </c>
    </row>
    <row r="125">
      <c r="A125" s="24" t="n"/>
      <c r="B125" s="25">
        <f>IFERROR(IF(A125="","",VLOOKUP(MOD(A125,7),'Assumptions'!$E$16:$F$22,2,0)),"")</f>
        <v/>
      </c>
      <c r="C125" s="25">
        <f>IFERROR(IF(A125="","",IF(A125&lt;TODAY(),"Past",IF(A125=TODAY(),"Today","Future"))),"")</f>
        <v/>
      </c>
      <c r="D125" s="26" t="n"/>
      <c r="E125" s="26" t="n"/>
      <c r="F125" s="27" t="n"/>
      <c r="G125" s="27" t="n"/>
      <c r="H125" s="28">
        <f>IFERROR(IF(A125="","",MAX(0,F125-G125)),"")</f>
        <v/>
      </c>
      <c r="I125" s="27" t="n"/>
      <c r="J125" s="27" t="n"/>
      <c r="K125" s="28">
        <f>IFERROR(IF(A125="","",I125+J125),"")</f>
        <v/>
      </c>
      <c r="L125" s="29">
        <f>IFERROR(IF(A125="","",K125/H125),"")</f>
        <v/>
      </c>
      <c r="M125" s="29">
        <f>IFERROR(IF(A125="","",VLOOKUP(B125,'Assumptions'!$A$16:$B$22,2,0)),"")</f>
        <v/>
      </c>
      <c r="N125" s="27" t="n"/>
      <c r="O125" s="27" t="n"/>
      <c r="P125" s="27" t="n"/>
      <c r="Q125" s="28">
        <f>IFERROR(IF(A125="","",MIN(H125,MAX(0,K125,ROUND(H125*M125,0)+N125+O125))),"")</f>
        <v/>
      </c>
      <c r="R125" s="28">
        <f>IFERROR(IF(A125="","",MIN(H125,MAX(0,IF(P125="",Q125,P125)))),"")</f>
        <v/>
      </c>
      <c r="S125" s="28">
        <f>IFERROR(IF(A125="","",MAX(0,R125-K125)),"")</f>
        <v/>
      </c>
      <c r="T125" s="29">
        <f>IFERROR(IF(A125="","",R125/H125),"")</f>
        <v/>
      </c>
      <c r="U125" s="29">
        <f>IFERROR(IF(A125="","",'Assumptions'!$B$5),"")</f>
        <v/>
      </c>
      <c r="V125" s="29">
        <f>IFERROR(IF(A125="","",T125-U125),"")</f>
        <v/>
      </c>
      <c r="W125" s="50" t="n"/>
      <c r="X125" s="50" t="n"/>
      <c r="Y125" s="51">
        <f>IFERROR(IF(A125="","",IF(X125&lt;&gt;"",X125,IF(W125&lt;&gt;"",W125,'Assumptions'!$B$8))),"")</f>
        <v/>
      </c>
      <c r="Z125" s="51">
        <f>IFERROR(IF(A125="","",R125*Y125),"")</f>
        <v/>
      </c>
      <c r="AA125" s="51">
        <f>IFERROR(IF(A125="","",Z125/H125),"")</f>
        <v/>
      </c>
      <c r="AB125" s="32" t="n"/>
      <c r="AC125" s="52" t="n"/>
      <c r="AD125" s="29">
        <f>IFERROR(IF(OR(A125="",AB125=""),"",AB125/H125),"")</f>
        <v/>
      </c>
      <c r="AE125" s="51">
        <f>IFERROR(IF(OR(A125="",AB125="",AC125=""),"",AB125*AC125),"")</f>
        <v/>
      </c>
      <c r="AF125" s="28">
        <f>IFERROR(IF(OR(A125="",AB125=""),"",AB125-R125),"")</f>
        <v/>
      </c>
      <c r="AG125" s="29">
        <f>IFERROR(IF(OR(A125="",AB125=""),"",IF(AD125-T125&lt;0,T125-AD125,AD125-T125)),"")</f>
        <v/>
      </c>
      <c r="AH125" s="51">
        <f>IFERROR(IF(OR(A125="",AE125=""),"",AE125-Z125),"")</f>
        <v/>
      </c>
      <c r="AI125" s="25">
        <f>IFERROR(IF(A125="","",IF(G125&gt;F125,"Check out-of-order rooms",IF(K125&gt;H125,"On the books exceeds sellable rooms",IF(R125&gt;H125,"Forecast exceeds sellable rooms",IF(AND(A125&lt;TODAY(),AB125=""),"Actual results missing","OK"))))),"")</f>
        <v/>
      </c>
    </row>
    <row r="126">
      <c r="A126" s="24" t="n"/>
      <c r="B126" s="25">
        <f>IFERROR(IF(A126="","",VLOOKUP(MOD(A126,7),'Assumptions'!$E$16:$F$22,2,0)),"")</f>
        <v/>
      </c>
      <c r="C126" s="25">
        <f>IFERROR(IF(A126="","",IF(A126&lt;TODAY(),"Past",IF(A126=TODAY(),"Today","Future"))),"")</f>
        <v/>
      </c>
      <c r="D126" s="26" t="n"/>
      <c r="E126" s="26" t="n"/>
      <c r="F126" s="27" t="n"/>
      <c r="G126" s="27" t="n"/>
      <c r="H126" s="28">
        <f>IFERROR(IF(A126="","",MAX(0,F126-G126)),"")</f>
        <v/>
      </c>
      <c r="I126" s="27" t="n"/>
      <c r="J126" s="27" t="n"/>
      <c r="K126" s="28">
        <f>IFERROR(IF(A126="","",I126+J126),"")</f>
        <v/>
      </c>
      <c r="L126" s="29">
        <f>IFERROR(IF(A126="","",K126/H126),"")</f>
        <v/>
      </c>
      <c r="M126" s="29">
        <f>IFERROR(IF(A126="","",VLOOKUP(B126,'Assumptions'!$A$16:$B$22,2,0)),"")</f>
        <v/>
      </c>
      <c r="N126" s="27" t="n"/>
      <c r="O126" s="27" t="n"/>
      <c r="P126" s="27" t="n"/>
      <c r="Q126" s="28">
        <f>IFERROR(IF(A126="","",MIN(H126,MAX(0,K126,ROUND(H126*M126,0)+N126+O126))),"")</f>
        <v/>
      </c>
      <c r="R126" s="28">
        <f>IFERROR(IF(A126="","",MIN(H126,MAX(0,IF(P126="",Q126,P126)))),"")</f>
        <v/>
      </c>
      <c r="S126" s="28">
        <f>IFERROR(IF(A126="","",MAX(0,R126-K126)),"")</f>
        <v/>
      </c>
      <c r="T126" s="29">
        <f>IFERROR(IF(A126="","",R126/H126),"")</f>
        <v/>
      </c>
      <c r="U126" s="29">
        <f>IFERROR(IF(A126="","",'Assumptions'!$B$5),"")</f>
        <v/>
      </c>
      <c r="V126" s="29">
        <f>IFERROR(IF(A126="","",T126-U126),"")</f>
        <v/>
      </c>
      <c r="W126" s="50" t="n"/>
      <c r="X126" s="50" t="n"/>
      <c r="Y126" s="51">
        <f>IFERROR(IF(A126="","",IF(X126&lt;&gt;"",X126,IF(W126&lt;&gt;"",W126,'Assumptions'!$B$8))),"")</f>
        <v/>
      </c>
      <c r="Z126" s="51">
        <f>IFERROR(IF(A126="","",R126*Y126),"")</f>
        <v/>
      </c>
      <c r="AA126" s="51">
        <f>IFERROR(IF(A126="","",Z126/H126),"")</f>
        <v/>
      </c>
      <c r="AB126" s="32" t="n"/>
      <c r="AC126" s="52" t="n"/>
      <c r="AD126" s="29">
        <f>IFERROR(IF(OR(A126="",AB126=""),"",AB126/H126),"")</f>
        <v/>
      </c>
      <c r="AE126" s="51">
        <f>IFERROR(IF(OR(A126="",AB126="",AC126=""),"",AB126*AC126),"")</f>
        <v/>
      </c>
      <c r="AF126" s="28">
        <f>IFERROR(IF(OR(A126="",AB126=""),"",AB126-R126),"")</f>
        <v/>
      </c>
      <c r="AG126" s="29">
        <f>IFERROR(IF(OR(A126="",AB126=""),"",IF(AD126-T126&lt;0,T126-AD126,AD126-T126)),"")</f>
        <v/>
      </c>
      <c r="AH126" s="51">
        <f>IFERROR(IF(OR(A126="",AE126=""),"",AE126-Z126),"")</f>
        <v/>
      </c>
      <c r="AI126" s="25">
        <f>IFERROR(IF(A126="","",IF(G126&gt;F126,"Check out-of-order rooms",IF(K126&gt;H126,"On the books exceeds sellable rooms",IF(R126&gt;H126,"Forecast exceeds sellable rooms",IF(AND(A126&lt;TODAY(),AB126=""),"Actual results missing","OK"))))),"")</f>
        <v/>
      </c>
    </row>
    <row r="127">
      <c r="A127" s="24" t="n"/>
      <c r="B127" s="25">
        <f>IFERROR(IF(A127="","",VLOOKUP(MOD(A127,7),'Assumptions'!$E$16:$F$22,2,0)),"")</f>
        <v/>
      </c>
      <c r="C127" s="25">
        <f>IFERROR(IF(A127="","",IF(A127&lt;TODAY(),"Past",IF(A127=TODAY(),"Today","Future"))),"")</f>
        <v/>
      </c>
      <c r="D127" s="26" t="n"/>
      <c r="E127" s="26" t="n"/>
      <c r="F127" s="27" t="n"/>
      <c r="G127" s="27" t="n"/>
      <c r="H127" s="28">
        <f>IFERROR(IF(A127="","",MAX(0,F127-G127)),"")</f>
        <v/>
      </c>
      <c r="I127" s="27" t="n"/>
      <c r="J127" s="27" t="n"/>
      <c r="K127" s="28">
        <f>IFERROR(IF(A127="","",I127+J127),"")</f>
        <v/>
      </c>
      <c r="L127" s="29">
        <f>IFERROR(IF(A127="","",K127/H127),"")</f>
        <v/>
      </c>
      <c r="M127" s="29">
        <f>IFERROR(IF(A127="","",VLOOKUP(B127,'Assumptions'!$A$16:$B$22,2,0)),"")</f>
        <v/>
      </c>
      <c r="N127" s="27" t="n"/>
      <c r="O127" s="27" t="n"/>
      <c r="P127" s="27" t="n"/>
      <c r="Q127" s="28">
        <f>IFERROR(IF(A127="","",MIN(H127,MAX(0,K127,ROUND(H127*M127,0)+N127+O127))),"")</f>
        <v/>
      </c>
      <c r="R127" s="28">
        <f>IFERROR(IF(A127="","",MIN(H127,MAX(0,IF(P127="",Q127,P127)))),"")</f>
        <v/>
      </c>
      <c r="S127" s="28">
        <f>IFERROR(IF(A127="","",MAX(0,R127-K127)),"")</f>
        <v/>
      </c>
      <c r="T127" s="29">
        <f>IFERROR(IF(A127="","",R127/H127),"")</f>
        <v/>
      </c>
      <c r="U127" s="29">
        <f>IFERROR(IF(A127="","",'Assumptions'!$B$5),"")</f>
        <v/>
      </c>
      <c r="V127" s="29">
        <f>IFERROR(IF(A127="","",T127-U127),"")</f>
        <v/>
      </c>
      <c r="W127" s="50" t="n"/>
      <c r="X127" s="50" t="n"/>
      <c r="Y127" s="51">
        <f>IFERROR(IF(A127="","",IF(X127&lt;&gt;"",X127,IF(W127&lt;&gt;"",W127,'Assumptions'!$B$8))),"")</f>
        <v/>
      </c>
      <c r="Z127" s="51">
        <f>IFERROR(IF(A127="","",R127*Y127),"")</f>
        <v/>
      </c>
      <c r="AA127" s="51">
        <f>IFERROR(IF(A127="","",Z127/H127),"")</f>
        <v/>
      </c>
      <c r="AB127" s="32" t="n"/>
      <c r="AC127" s="52" t="n"/>
      <c r="AD127" s="29">
        <f>IFERROR(IF(OR(A127="",AB127=""),"",AB127/H127),"")</f>
        <v/>
      </c>
      <c r="AE127" s="51">
        <f>IFERROR(IF(OR(A127="",AB127="",AC127=""),"",AB127*AC127),"")</f>
        <v/>
      </c>
      <c r="AF127" s="28">
        <f>IFERROR(IF(OR(A127="",AB127=""),"",AB127-R127),"")</f>
        <v/>
      </c>
      <c r="AG127" s="29">
        <f>IFERROR(IF(OR(A127="",AB127=""),"",IF(AD127-T127&lt;0,T127-AD127,AD127-T127)),"")</f>
        <v/>
      </c>
      <c r="AH127" s="51">
        <f>IFERROR(IF(OR(A127="",AE127=""),"",AE127-Z127),"")</f>
        <v/>
      </c>
      <c r="AI127" s="25">
        <f>IFERROR(IF(A127="","",IF(G127&gt;F127,"Check out-of-order rooms",IF(K127&gt;H127,"On the books exceeds sellable rooms",IF(R127&gt;H127,"Forecast exceeds sellable rooms",IF(AND(A127&lt;TODAY(),AB127=""),"Actual results missing","OK"))))),"")</f>
        <v/>
      </c>
    </row>
    <row r="128">
      <c r="A128" s="24" t="n"/>
      <c r="B128" s="25">
        <f>IFERROR(IF(A128="","",VLOOKUP(MOD(A128,7),'Assumptions'!$E$16:$F$22,2,0)),"")</f>
        <v/>
      </c>
      <c r="C128" s="25">
        <f>IFERROR(IF(A128="","",IF(A128&lt;TODAY(),"Past",IF(A128=TODAY(),"Today","Future"))),"")</f>
        <v/>
      </c>
      <c r="D128" s="26" t="n"/>
      <c r="E128" s="26" t="n"/>
      <c r="F128" s="27" t="n"/>
      <c r="G128" s="27" t="n"/>
      <c r="H128" s="28">
        <f>IFERROR(IF(A128="","",MAX(0,F128-G128)),"")</f>
        <v/>
      </c>
      <c r="I128" s="27" t="n"/>
      <c r="J128" s="27" t="n"/>
      <c r="K128" s="28">
        <f>IFERROR(IF(A128="","",I128+J128),"")</f>
        <v/>
      </c>
      <c r="L128" s="29">
        <f>IFERROR(IF(A128="","",K128/H128),"")</f>
        <v/>
      </c>
      <c r="M128" s="29">
        <f>IFERROR(IF(A128="","",VLOOKUP(B128,'Assumptions'!$A$16:$B$22,2,0)),"")</f>
        <v/>
      </c>
      <c r="N128" s="27" t="n"/>
      <c r="O128" s="27" t="n"/>
      <c r="P128" s="27" t="n"/>
      <c r="Q128" s="28">
        <f>IFERROR(IF(A128="","",MIN(H128,MAX(0,K128,ROUND(H128*M128,0)+N128+O128))),"")</f>
        <v/>
      </c>
      <c r="R128" s="28">
        <f>IFERROR(IF(A128="","",MIN(H128,MAX(0,IF(P128="",Q128,P128)))),"")</f>
        <v/>
      </c>
      <c r="S128" s="28">
        <f>IFERROR(IF(A128="","",MAX(0,R128-K128)),"")</f>
        <v/>
      </c>
      <c r="T128" s="29">
        <f>IFERROR(IF(A128="","",R128/H128),"")</f>
        <v/>
      </c>
      <c r="U128" s="29">
        <f>IFERROR(IF(A128="","",'Assumptions'!$B$5),"")</f>
        <v/>
      </c>
      <c r="V128" s="29">
        <f>IFERROR(IF(A128="","",T128-U128),"")</f>
        <v/>
      </c>
      <c r="W128" s="50" t="n"/>
      <c r="X128" s="50" t="n"/>
      <c r="Y128" s="51">
        <f>IFERROR(IF(A128="","",IF(X128&lt;&gt;"",X128,IF(W128&lt;&gt;"",W128,'Assumptions'!$B$8))),"")</f>
        <v/>
      </c>
      <c r="Z128" s="51">
        <f>IFERROR(IF(A128="","",R128*Y128),"")</f>
        <v/>
      </c>
      <c r="AA128" s="51">
        <f>IFERROR(IF(A128="","",Z128/H128),"")</f>
        <v/>
      </c>
      <c r="AB128" s="32" t="n"/>
      <c r="AC128" s="52" t="n"/>
      <c r="AD128" s="29">
        <f>IFERROR(IF(OR(A128="",AB128=""),"",AB128/H128),"")</f>
        <v/>
      </c>
      <c r="AE128" s="51">
        <f>IFERROR(IF(OR(A128="",AB128="",AC128=""),"",AB128*AC128),"")</f>
        <v/>
      </c>
      <c r="AF128" s="28">
        <f>IFERROR(IF(OR(A128="",AB128=""),"",AB128-R128),"")</f>
        <v/>
      </c>
      <c r="AG128" s="29">
        <f>IFERROR(IF(OR(A128="",AB128=""),"",IF(AD128-T128&lt;0,T128-AD128,AD128-T128)),"")</f>
        <v/>
      </c>
      <c r="AH128" s="51">
        <f>IFERROR(IF(OR(A128="",AE128=""),"",AE128-Z128),"")</f>
        <v/>
      </c>
      <c r="AI128" s="25">
        <f>IFERROR(IF(A128="","",IF(G128&gt;F128,"Check out-of-order rooms",IF(K128&gt;H128,"On the books exceeds sellable rooms",IF(R128&gt;H128,"Forecast exceeds sellable rooms",IF(AND(A128&lt;TODAY(),AB128=""),"Actual results missing","OK"))))),"")</f>
        <v/>
      </c>
    </row>
    <row r="129">
      <c r="A129" s="24" t="n"/>
      <c r="B129" s="25">
        <f>IFERROR(IF(A129="","",VLOOKUP(MOD(A129,7),'Assumptions'!$E$16:$F$22,2,0)),"")</f>
        <v/>
      </c>
      <c r="C129" s="25">
        <f>IFERROR(IF(A129="","",IF(A129&lt;TODAY(),"Past",IF(A129=TODAY(),"Today","Future"))),"")</f>
        <v/>
      </c>
      <c r="D129" s="26" t="n"/>
      <c r="E129" s="26" t="n"/>
      <c r="F129" s="27" t="n"/>
      <c r="G129" s="27" t="n"/>
      <c r="H129" s="28">
        <f>IFERROR(IF(A129="","",MAX(0,F129-G129)),"")</f>
        <v/>
      </c>
      <c r="I129" s="27" t="n"/>
      <c r="J129" s="27" t="n"/>
      <c r="K129" s="28">
        <f>IFERROR(IF(A129="","",I129+J129),"")</f>
        <v/>
      </c>
      <c r="L129" s="29">
        <f>IFERROR(IF(A129="","",K129/H129),"")</f>
        <v/>
      </c>
      <c r="M129" s="29">
        <f>IFERROR(IF(A129="","",VLOOKUP(B129,'Assumptions'!$A$16:$B$22,2,0)),"")</f>
        <v/>
      </c>
      <c r="N129" s="27" t="n"/>
      <c r="O129" s="27" t="n"/>
      <c r="P129" s="27" t="n"/>
      <c r="Q129" s="28">
        <f>IFERROR(IF(A129="","",MIN(H129,MAX(0,K129,ROUND(H129*M129,0)+N129+O129))),"")</f>
        <v/>
      </c>
      <c r="R129" s="28">
        <f>IFERROR(IF(A129="","",MIN(H129,MAX(0,IF(P129="",Q129,P129)))),"")</f>
        <v/>
      </c>
      <c r="S129" s="28">
        <f>IFERROR(IF(A129="","",MAX(0,R129-K129)),"")</f>
        <v/>
      </c>
      <c r="T129" s="29">
        <f>IFERROR(IF(A129="","",R129/H129),"")</f>
        <v/>
      </c>
      <c r="U129" s="29">
        <f>IFERROR(IF(A129="","",'Assumptions'!$B$5),"")</f>
        <v/>
      </c>
      <c r="V129" s="29">
        <f>IFERROR(IF(A129="","",T129-U129),"")</f>
        <v/>
      </c>
      <c r="W129" s="50" t="n"/>
      <c r="X129" s="50" t="n"/>
      <c r="Y129" s="51">
        <f>IFERROR(IF(A129="","",IF(X129&lt;&gt;"",X129,IF(W129&lt;&gt;"",W129,'Assumptions'!$B$8))),"")</f>
        <v/>
      </c>
      <c r="Z129" s="51">
        <f>IFERROR(IF(A129="","",R129*Y129),"")</f>
        <v/>
      </c>
      <c r="AA129" s="51">
        <f>IFERROR(IF(A129="","",Z129/H129),"")</f>
        <v/>
      </c>
      <c r="AB129" s="32" t="n"/>
      <c r="AC129" s="52" t="n"/>
      <c r="AD129" s="29">
        <f>IFERROR(IF(OR(A129="",AB129=""),"",AB129/H129),"")</f>
        <v/>
      </c>
      <c r="AE129" s="51">
        <f>IFERROR(IF(OR(A129="",AB129="",AC129=""),"",AB129*AC129),"")</f>
        <v/>
      </c>
      <c r="AF129" s="28">
        <f>IFERROR(IF(OR(A129="",AB129=""),"",AB129-R129),"")</f>
        <v/>
      </c>
      <c r="AG129" s="29">
        <f>IFERROR(IF(OR(A129="",AB129=""),"",IF(AD129-T129&lt;0,T129-AD129,AD129-T129)),"")</f>
        <v/>
      </c>
      <c r="AH129" s="51">
        <f>IFERROR(IF(OR(A129="",AE129=""),"",AE129-Z129),"")</f>
        <v/>
      </c>
      <c r="AI129" s="25">
        <f>IFERROR(IF(A129="","",IF(G129&gt;F129,"Check out-of-order rooms",IF(K129&gt;H129,"On the books exceeds sellable rooms",IF(R129&gt;H129,"Forecast exceeds sellable rooms",IF(AND(A129&lt;TODAY(),AB129=""),"Actual results missing","OK"))))),"")</f>
        <v/>
      </c>
    </row>
    <row r="130">
      <c r="A130" s="24" t="n"/>
      <c r="B130" s="25">
        <f>IFERROR(IF(A130="","",VLOOKUP(MOD(A130,7),'Assumptions'!$E$16:$F$22,2,0)),"")</f>
        <v/>
      </c>
      <c r="C130" s="25">
        <f>IFERROR(IF(A130="","",IF(A130&lt;TODAY(),"Past",IF(A130=TODAY(),"Today","Future"))),"")</f>
        <v/>
      </c>
      <c r="D130" s="26" t="n"/>
      <c r="E130" s="26" t="n"/>
      <c r="F130" s="27" t="n"/>
      <c r="G130" s="27" t="n"/>
      <c r="H130" s="28">
        <f>IFERROR(IF(A130="","",MAX(0,F130-G130)),"")</f>
        <v/>
      </c>
      <c r="I130" s="27" t="n"/>
      <c r="J130" s="27" t="n"/>
      <c r="K130" s="28">
        <f>IFERROR(IF(A130="","",I130+J130),"")</f>
        <v/>
      </c>
      <c r="L130" s="29">
        <f>IFERROR(IF(A130="","",K130/H130),"")</f>
        <v/>
      </c>
      <c r="M130" s="29">
        <f>IFERROR(IF(A130="","",VLOOKUP(B130,'Assumptions'!$A$16:$B$22,2,0)),"")</f>
        <v/>
      </c>
      <c r="N130" s="27" t="n"/>
      <c r="O130" s="27" t="n"/>
      <c r="P130" s="27" t="n"/>
      <c r="Q130" s="28">
        <f>IFERROR(IF(A130="","",MIN(H130,MAX(0,K130,ROUND(H130*M130,0)+N130+O130))),"")</f>
        <v/>
      </c>
      <c r="R130" s="28">
        <f>IFERROR(IF(A130="","",MIN(H130,MAX(0,IF(P130="",Q130,P130)))),"")</f>
        <v/>
      </c>
      <c r="S130" s="28">
        <f>IFERROR(IF(A130="","",MAX(0,R130-K130)),"")</f>
        <v/>
      </c>
      <c r="T130" s="29">
        <f>IFERROR(IF(A130="","",R130/H130),"")</f>
        <v/>
      </c>
      <c r="U130" s="29">
        <f>IFERROR(IF(A130="","",'Assumptions'!$B$5),"")</f>
        <v/>
      </c>
      <c r="V130" s="29">
        <f>IFERROR(IF(A130="","",T130-U130),"")</f>
        <v/>
      </c>
      <c r="W130" s="50" t="n"/>
      <c r="X130" s="50" t="n"/>
      <c r="Y130" s="51">
        <f>IFERROR(IF(A130="","",IF(X130&lt;&gt;"",X130,IF(W130&lt;&gt;"",W130,'Assumptions'!$B$8))),"")</f>
        <v/>
      </c>
      <c r="Z130" s="51">
        <f>IFERROR(IF(A130="","",R130*Y130),"")</f>
        <v/>
      </c>
      <c r="AA130" s="51">
        <f>IFERROR(IF(A130="","",Z130/H130),"")</f>
        <v/>
      </c>
      <c r="AB130" s="32" t="n"/>
      <c r="AC130" s="52" t="n"/>
      <c r="AD130" s="29">
        <f>IFERROR(IF(OR(A130="",AB130=""),"",AB130/H130),"")</f>
        <v/>
      </c>
      <c r="AE130" s="51">
        <f>IFERROR(IF(OR(A130="",AB130="",AC130=""),"",AB130*AC130),"")</f>
        <v/>
      </c>
      <c r="AF130" s="28">
        <f>IFERROR(IF(OR(A130="",AB130=""),"",AB130-R130),"")</f>
        <v/>
      </c>
      <c r="AG130" s="29">
        <f>IFERROR(IF(OR(A130="",AB130=""),"",IF(AD130-T130&lt;0,T130-AD130,AD130-T130)),"")</f>
        <v/>
      </c>
      <c r="AH130" s="51">
        <f>IFERROR(IF(OR(A130="",AE130=""),"",AE130-Z130),"")</f>
        <v/>
      </c>
      <c r="AI130" s="25">
        <f>IFERROR(IF(A130="","",IF(G130&gt;F130,"Check out-of-order rooms",IF(K130&gt;H130,"On the books exceeds sellable rooms",IF(R130&gt;H130,"Forecast exceeds sellable rooms",IF(AND(A130&lt;TODAY(),AB130=""),"Actual results missing","OK"))))),"")</f>
        <v/>
      </c>
    </row>
    <row r="131">
      <c r="A131" s="24" t="n"/>
      <c r="B131" s="25">
        <f>IFERROR(IF(A131="","",VLOOKUP(MOD(A131,7),'Assumptions'!$E$16:$F$22,2,0)),"")</f>
        <v/>
      </c>
      <c r="C131" s="25">
        <f>IFERROR(IF(A131="","",IF(A131&lt;TODAY(),"Past",IF(A131=TODAY(),"Today","Future"))),"")</f>
        <v/>
      </c>
      <c r="D131" s="26" t="n"/>
      <c r="E131" s="26" t="n"/>
      <c r="F131" s="27" t="n"/>
      <c r="G131" s="27" t="n"/>
      <c r="H131" s="28">
        <f>IFERROR(IF(A131="","",MAX(0,F131-G131)),"")</f>
        <v/>
      </c>
      <c r="I131" s="27" t="n"/>
      <c r="J131" s="27" t="n"/>
      <c r="K131" s="28">
        <f>IFERROR(IF(A131="","",I131+J131),"")</f>
        <v/>
      </c>
      <c r="L131" s="29">
        <f>IFERROR(IF(A131="","",K131/H131),"")</f>
        <v/>
      </c>
      <c r="M131" s="29">
        <f>IFERROR(IF(A131="","",VLOOKUP(B131,'Assumptions'!$A$16:$B$22,2,0)),"")</f>
        <v/>
      </c>
      <c r="N131" s="27" t="n"/>
      <c r="O131" s="27" t="n"/>
      <c r="P131" s="27" t="n"/>
      <c r="Q131" s="28">
        <f>IFERROR(IF(A131="","",MIN(H131,MAX(0,K131,ROUND(H131*M131,0)+N131+O131))),"")</f>
        <v/>
      </c>
      <c r="R131" s="28">
        <f>IFERROR(IF(A131="","",MIN(H131,MAX(0,IF(P131="",Q131,P131)))),"")</f>
        <v/>
      </c>
      <c r="S131" s="28">
        <f>IFERROR(IF(A131="","",MAX(0,R131-K131)),"")</f>
        <v/>
      </c>
      <c r="T131" s="29">
        <f>IFERROR(IF(A131="","",R131/H131),"")</f>
        <v/>
      </c>
      <c r="U131" s="29">
        <f>IFERROR(IF(A131="","",'Assumptions'!$B$5),"")</f>
        <v/>
      </c>
      <c r="V131" s="29">
        <f>IFERROR(IF(A131="","",T131-U131),"")</f>
        <v/>
      </c>
      <c r="W131" s="50" t="n"/>
      <c r="X131" s="50" t="n"/>
      <c r="Y131" s="51">
        <f>IFERROR(IF(A131="","",IF(X131&lt;&gt;"",X131,IF(W131&lt;&gt;"",W131,'Assumptions'!$B$8))),"")</f>
        <v/>
      </c>
      <c r="Z131" s="51">
        <f>IFERROR(IF(A131="","",R131*Y131),"")</f>
        <v/>
      </c>
      <c r="AA131" s="51">
        <f>IFERROR(IF(A131="","",Z131/H131),"")</f>
        <v/>
      </c>
      <c r="AB131" s="32" t="n"/>
      <c r="AC131" s="52" t="n"/>
      <c r="AD131" s="29">
        <f>IFERROR(IF(OR(A131="",AB131=""),"",AB131/H131),"")</f>
        <v/>
      </c>
      <c r="AE131" s="51">
        <f>IFERROR(IF(OR(A131="",AB131="",AC131=""),"",AB131*AC131),"")</f>
        <v/>
      </c>
      <c r="AF131" s="28">
        <f>IFERROR(IF(OR(A131="",AB131=""),"",AB131-R131),"")</f>
        <v/>
      </c>
      <c r="AG131" s="29">
        <f>IFERROR(IF(OR(A131="",AB131=""),"",IF(AD131-T131&lt;0,T131-AD131,AD131-T131)),"")</f>
        <v/>
      </c>
      <c r="AH131" s="51">
        <f>IFERROR(IF(OR(A131="",AE131=""),"",AE131-Z131),"")</f>
        <v/>
      </c>
      <c r="AI131" s="25">
        <f>IFERROR(IF(A131="","",IF(G131&gt;F131,"Check out-of-order rooms",IF(K131&gt;H131,"On the books exceeds sellable rooms",IF(R131&gt;H131,"Forecast exceeds sellable rooms",IF(AND(A131&lt;TODAY(),AB131=""),"Actual results missing","OK"))))),"")</f>
        <v/>
      </c>
    </row>
    <row r="132">
      <c r="A132" s="24" t="n"/>
      <c r="B132" s="25">
        <f>IFERROR(IF(A132="","",VLOOKUP(MOD(A132,7),'Assumptions'!$E$16:$F$22,2,0)),"")</f>
        <v/>
      </c>
      <c r="C132" s="25">
        <f>IFERROR(IF(A132="","",IF(A132&lt;TODAY(),"Past",IF(A132=TODAY(),"Today","Future"))),"")</f>
        <v/>
      </c>
      <c r="D132" s="26" t="n"/>
      <c r="E132" s="26" t="n"/>
      <c r="F132" s="27" t="n"/>
      <c r="G132" s="27" t="n"/>
      <c r="H132" s="28">
        <f>IFERROR(IF(A132="","",MAX(0,F132-G132)),"")</f>
        <v/>
      </c>
      <c r="I132" s="27" t="n"/>
      <c r="J132" s="27" t="n"/>
      <c r="K132" s="28">
        <f>IFERROR(IF(A132="","",I132+J132),"")</f>
        <v/>
      </c>
      <c r="L132" s="29">
        <f>IFERROR(IF(A132="","",K132/H132),"")</f>
        <v/>
      </c>
      <c r="M132" s="29">
        <f>IFERROR(IF(A132="","",VLOOKUP(B132,'Assumptions'!$A$16:$B$22,2,0)),"")</f>
        <v/>
      </c>
      <c r="N132" s="27" t="n"/>
      <c r="O132" s="27" t="n"/>
      <c r="P132" s="27" t="n"/>
      <c r="Q132" s="28">
        <f>IFERROR(IF(A132="","",MIN(H132,MAX(0,K132,ROUND(H132*M132,0)+N132+O132))),"")</f>
        <v/>
      </c>
      <c r="R132" s="28">
        <f>IFERROR(IF(A132="","",MIN(H132,MAX(0,IF(P132="",Q132,P132)))),"")</f>
        <v/>
      </c>
      <c r="S132" s="28">
        <f>IFERROR(IF(A132="","",MAX(0,R132-K132)),"")</f>
        <v/>
      </c>
      <c r="T132" s="29">
        <f>IFERROR(IF(A132="","",R132/H132),"")</f>
        <v/>
      </c>
      <c r="U132" s="29">
        <f>IFERROR(IF(A132="","",'Assumptions'!$B$5),"")</f>
        <v/>
      </c>
      <c r="V132" s="29">
        <f>IFERROR(IF(A132="","",T132-U132),"")</f>
        <v/>
      </c>
      <c r="W132" s="50" t="n"/>
      <c r="X132" s="50" t="n"/>
      <c r="Y132" s="51">
        <f>IFERROR(IF(A132="","",IF(X132&lt;&gt;"",X132,IF(W132&lt;&gt;"",W132,'Assumptions'!$B$8))),"")</f>
        <v/>
      </c>
      <c r="Z132" s="51">
        <f>IFERROR(IF(A132="","",R132*Y132),"")</f>
        <v/>
      </c>
      <c r="AA132" s="51">
        <f>IFERROR(IF(A132="","",Z132/H132),"")</f>
        <v/>
      </c>
      <c r="AB132" s="32" t="n"/>
      <c r="AC132" s="52" t="n"/>
      <c r="AD132" s="29">
        <f>IFERROR(IF(OR(A132="",AB132=""),"",AB132/H132),"")</f>
        <v/>
      </c>
      <c r="AE132" s="51">
        <f>IFERROR(IF(OR(A132="",AB132="",AC132=""),"",AB132*AC132),"")</f>
        <v/>
      </c>
      <c r="AF132" s="28">
        <f>IFERROR(IF(OR(A132="",AB132=""),"",AB132-R132),"")</f>
        <v/>
      </c>
      <c r="AG132" s="29">
        <f>IFERROR(IF(OR(A132="",AB132=""),"",IF(AD132-T132&lt;0,T132-AD132,AD132-T132)),"")</f>
        <v/>
      </c>
      <c r="AH132" s="51">
        <f>IFERROR(IF(OR(A132="",AE132=""),"",AE132-Z132),"")</f>
        <v/>
      </c>
      <c r="AI132" s="25">
        <f>IFERROR(IF(A132="","",IF(G132&gt;F132,"Check out-of-order rooms",IF(K132&gt;H132,"On the books exceeds sellable rooms",IF(R132&gt;H132,"Forecast exceeds sellable rooms",IF(AND(A132&lt;TODAY(),AB132=""),"Actual results missing","OK"))))),"")</f>
        <v/>
      </c>
    </row>
    <row r="133">
      <c r="A133" s="24" t="n"/>
      <c r="B133" s="25">
        <f>IFERROR(IF(A133="","",VLOOKUP(MOD(A133,7),'Assumptions'!$E$16:$F$22,2,0)),"")</f>
        <v/>
      </c>
      <c r="C133" s="25">
        <f>IFERROR(IF(A133="","",IF(A133&lt;TODAY(),"Past",IF(A133=TODAY(),"Today","Future"))),"")</f>
        <v/>
      </c>
      <c r="D133" s="26" t="n"/>
      <c r="E133" s="26" t="n"/>
      <c r="F133" s="27" t="n"/>
      <c r="G133" s="27" t="n"/>
      <c r="H133" s="28">
        <f>IFERROR(IF(A133="","",MAX(0,F133-G133)),"")</f>
        <v/>
      </c>
      <c r="I133" s="27" t="n"/>
      <c r="J133" s="27" t="n"/>
      <c r="K133" s="28">
        <f>IFERROR(IF(A133="","",I133+J133),"")</f>
        <v/>
      </c>
      <c r="L133" s="29">
        <f>IFERROR(IF(A133="","",K133/H133),"")</f>
        <v/>
      </c>
      <c r="M133" s="29">
        <f>IFERROR(IF(A133="","",VLOOKUP(B133,'Assumptions'!$A$16:$B$22,2,0)),"")</f>
        <v/>
      </c>
      <c r="N133" s="27" t="n"/>
      <c r="O133" s="27" t="n"/>
      <c r="P133" s="27" t="n"/>
      <c r="Q133" s="28">
        <f>IFERROR(IF(A133="","",MIN(H133,MAX(0,K133,ROUND(H133*M133,0)+N133+O133))),"")</f>
        <v/>
      </c>
      <c r="R133" s="28">
        <f>IFERROR(IF(A133="","",MIN(H133,MAX(0,IF(P133="",Q133,P133)))),"")</f>
        <v/>
      </c>
      <c r="S133" s="28">
        <f>IFERROR(IF(A133="","",MAX(0,R133-K133)),"")</f>
        <v/>
      </c>
      <c r="T133" s="29">
        <f>IFERROR(IF(A133="","",R133/H133),"")</f>
        <v/>
      </c>
      <c r="U133" s="29">
        <f>IFERROR(IF(A133="","",'Assumptions'!$B$5),"")</f>
        <v/>
      </c>
      <c r="V133" s="29">
        <f>IFERROR(IF(A133="","",T133-U133),"")</f>
        <v/>
      </c>
      <c r="W133" s="50" t="n"/>
      <c r="X133" s="50" t="n"/>
      <c r="Y133" s="51">
        <f>IFERROR(IF(A133="","",IF(X133&lt;&gt;"",X133,IF(W133&lt;&gt;"",W133,'Assumptions'!$B$8))),"")</f>
        <v/>
      </c>
      <c r="Z133" s="51">
        <f>IFERROR(IF(A133="","",R133*Y133),"")</f>
        <v/>
      </c>
      <c r="AA133" s="51">
        <f>IFERROR(IF(A133="","",Z133/H133),"")</f>
        <v/>
      </c>
      <c r="AB133" s="32" t="n"/>
      <c r="AC133" s="52" t="n"/>
      <c r="AD133" s="29">
        <f>IFERROR(IF(OR(A133="",AB133=""),"",AB133/H133),"")</f>
        <v/>
      </c>
      <c r="AE133" s="51">
        <f>IFERROR(IF(OR(A133="",AB133="",AC133=""),"",AB133*AC133),"")</f>
        <v/>
      </c>
      <c r="AF133" s="28">
        <f>IFERROR(IF(OR(A133="",AB133=""),"",AB133-R133),"")</f>
        <v/>
      </c>
      <c r="AG133" s="29">
        <f>IFERROR(IF(OR(A133="",AB133=""),"",IF(AD133-T133&lt;0,T133-AD133,AD133-T133)),"")</f>
        <v/>
      </c>
      <c r="AH133" s="51">
        <f>IFERROR(IF(OR(A133="",AE133=""),"",AE133-Z133),"")</f>
        <v/>
      </c>
      <c r="AI133" s="25">
        <f>IFERROR(IF(A133="","",IF(G133&gt;F133,"Check out-of-order rooms",IF(K133&gt;H133,"On the books exceeds sellable rooms",IF(R133&gt;H133,"Forecast exceeds sellable rooms",IF(AND(A133&lt;TODAY(),AB133=""),"Actual results missing","OK"))))),"")</f>
        <v/>
      </c>
    </row>
    <row r="134">
      <c r="A134" s="24" t="n"/>
      <c r="B134" s="25">
        <f>IFERROR(IF(A134="","",VLOOKUP(MOD(A134,7),'Assumptions'!$E$16:$F$22,2,0)),"")</f>
        <v/>
      </c>
      <c r="C134" s="25">
        <f>IFERROR(IF(A134="","",IF(A134&lt;TODAY(),"Past",IF(A134=TODAY(),"Today","Future"))),"")</f>
        <v/>
      </c>
      <c r="D134" s="26" t="n"/>
      <c r="E134" s="26" t="n"/>
      <c r="F134" s="27" t="n"/>
      <c r="G134" s="27" t="n"/>
      <c r="H134" s="28">
        <f>IFERROR(IF(A134="","",MAX(0,F134-G134)),"")</f>
        <v/>
      </c>
      <c r="I134" s="27" t="n"/>
      <c r="J134" s="27" t="n"/>
      <c r="K134" s="28">
        <f>IFERROR(IF(A134="","",I134+J134),"")</f>
        <v/>
      </c>
      <c r="L134" s="29">
        <f>IFERROR(IF(A134="","",K134/H134),"")</f>
        <v/>
      </c>
      <c r="M134" s="29">
        <f>IFERROR(IF(A134="","",VLOOKUP(B134,'Assumptions'!$A$16:$B$22,2,0)),"")</f>
        <v/>
      </c>
      <c r="N134" s="27" t="n"/>
      <c r="O134" s="27" t="n"/>
      <c r="P134" s="27" t="n"/>
      <c r="Q134" s="28">
        <f>IFERROR(IF(A134="","",MIN(H134,MAX(0,K134,ROUND(H134*M134,0)+N134+O134))),"")</f>
        <v/>
      </c>
      <c r="R134" s="28">
        <f>IFERROR(IF(A134="","",MIN(H134,MAX(0,IF(P134="",Q134,P134)))),"")</f>
        <v/>
      </c>
      <c r="S134" s="28">
        <f>IFERROR(IF(A134="","",MAX(0,R134-K134)),"")</f>
        <v/>
      </c>
      <c r="T134" s="29">
        <f>IFERROR(IF(A134="","",R134/H134),"")</f>
        <v/>
      </c>
      <c r="U134" s="29">
        <f>IFERROR(IF(A134="","",'Assumptions'!$B$5),"")</f>
        <v/>
      </c>
      <c r="V134" s="29">
        <f>IFERROR(IF(A134="","",T134-U134),"")</f>
        <v/>
      </c>
      <c r="W134" s="50" t="n"/>
      <c r="X134" s="50" t="n"/>
      <c r="Y134" s="51">
        <f>IFERROR(IF(A134="","",IF(X134&lt;&gt;"",X134,IF(W134&lt;&gt;"",W134,'Assumptions'!$B$8))),"")</f>
        <v/>
      </c>
      <c r="Z134" s="51">
        <f>IFERROR(IF(A134="","",R134*Y134),"")</f>
        <v/>
      </c>
      <c r="AA134" s="51">
        <f>IFERROR(IF(A134="","",Z134/H134),"")</f>
        <v/>
      </c>
      <c r="AB134" s="32" t="n"/>
      <c r="AC134" s="52" t="n"/>
      <c r="AD134" s="29">
        <f>IFERROR(IF(OR(A134="",AB134=""),"",AB134/H134),"")</f>
        <v/>
      </c>
      <c r="AE134" s="51">
        <f>IFERROR(IF(OR(A134="",AB134="",AC134=""),"",AB134*AC134),"")</f>
        <v/>
      </c>
      <c r="AF134" s="28">
        <f>IFERROR(IF(OR(A134="",AB134=""),"",AB134-R134),"")</f>
        <v/>
      </c>
      <c r="AG134" s="29">
        <f>IFERROR(IF(OR(A134="",AB134=""),"",IF(AD134-T134&lt;0,T134-AD134,AD134-T134)),"")</f>
        <v/>
      </c>
      <c r="AH134" s="51">
        <f>IFERROR(IF(OR(A134="",AE134=""),"",AE134-Z134),"")</f>
        <v/>
      </c>
      <c r="AI134" s="25">
        <f>IFERROR(IF(A134="","",IF(G134&gt;F134,"Check out-of-order rooms",IF(K134&gt;H134,"On the books exceeds sellable rooms",IF(R134&gt;H134,"Forecast exceeds sellable rooms",IF(AND(A134&lt;TODAY(),AB134=""),"Actual results missing","OK"))))),"")</f>
        <v/>
      </c>
    </row>
    <row r="135">
      <c r="A135" s="24" t="n"/>
      <c r="B135" s="25">
        <f>IFERROR(IF(A135="","",VLOOKUP(MOD(A135,7),'Assumptions'!$E$16:$F$22,2,0)),"")</f>
        <v/>
      </c>
      <c r="C135" s="25">
        <f>IFERROR(IF(A135="","",IF(A135&lt;TODAY(),"Past",IF(A135=TODAY(),"Today","Future"))),"")</f>
        <v/>
      </c>
      <c r="D135" s="26" t="n"/>
      <c r="E135" s="26" t="n"/>
      <c r="F135" s="27" t="n"/>
      <c r="G135" s="27" t="n"/>
      <c r="H135" s="28">
        <f>IFERROR(IF(A135="","",MAX(0,F135-G135)),"")</f>
        <v/>
      </c>
      <c r="I135" s="27" t="n"/>
      <c r="J135" s="27" t="n"/>
      <c r="K135" s="28">
        <f>IFERROR(IF(A135="","",I135+J135),"")</f>
        <v/>
      </c>
      <c r="L135" s="29">
        <f>IFERROR(IF(A135="","",K135/H135),"")</f>
        <v/>
      </c>
      <c r="M135" s="29">
        <f>IFERROR(IF(A135="","",VLOOKUP(B135,'Assumptions'!$A$16:$B$22,2,0)),"")</f>
        <v/>
      </c>
      <c r="N135" s="27" t="n"/>
      <c r="O135" s="27" t="n"/>
      <c r="P135" s="27" t="n"/>
      <c r="Q135" s="28">
        <f>IFERROR(IF(A135="","",MIN(H135,MAX(0,K135,ROUND(H135*M135,0)+N135+O135))),"")</f>
        <v/>
      </c>
      <c r="R135" s="28">
        <f>IFERROR(IF(A135="","",MIN(H135,MAX(0,IF(P135="",Q135,P135)))),"")</f>
        <v/>
      </c>
      <c r="S135" s="28">
        <f>IFERROR(IF(A135="","",MAX(0,R135-K135)),"")</f>
        <v/>
      </c>
      <c r="T135" s="29">
        <f>IFERROR(IF(A135="","",R135/H135),"")</f>
        <v/>
      </c>
      <c r="U135" s="29">
        <f>IFERROR(IF(A135="","",'Assumptions'!$B$5),"")</f>
        <v/>
      </c>
      <c r="V135" s="29">
        <f>IFERROR(IF(A135="","",T135-U135),"")</f>
        <v/>
      </c>
      <c r="W135" s="50" t="n"/>
      <c r="X135" s="50" t="n"/>
      <c r="Y135" s="51">
        <f>IFERROR(IF(A135="","",IF(X135&lt;&gt;"",X135,IF(W135&lt;&gt;"",W135,'Assumptions'!$B$8))),"")</f>
        <v/>
      </c>
      <c r="Z135" s="51">
        <f>IFERROR(IF(A135="","",R135*Y135),"")</f>
        <v/>
      </c>
      <c r="AA135" s="51">
        <f>IFERROR(IF(A135="","",Z135/H135),"")</f>
        <v/>
      </c>
      <c r="AB135" s="32" t="n"/>
      <c r="AC135" s="52" t="n"/>
      <c r="AD135" s="29">
        <f>IFERROR(IF(OR(A135="",AB135=""),"",AB135/H135),"")</f>
        <v/>
      </c>
      <c r="AE135" s="51">
        <f>IFERROR(IF(OR(A135="",AB135="",AC135=""),"",AB135*AC135),"")</f>
        <v/>
      </c>
      <c r="AF135" s="28">
        <f>IFERROR(IF(OR(A135="",AB135=""),"",AB135-R135),"")</f>
        <v/>
      </c>
      <c r="AG135" s="29">
        <f>IFERROR(IF(OR(A135="",AB135=""),"",IF(AD135-T135&lt;0,T135-AD135,AD135-T135)),"")</f>
        <v/>
      </c>
      <c r="AH135" s="51">
        <f>IFERROR(IF(OR(A135="",AE135=""),"",AE135-Z135),"")</f>
        <v/>
      </c>
      <c r="AI135" s="25">
        <f>IFERROR(IF(A135="","",IF(G135&gt;F135,"Check out-of-order rooms",IF(K135&gt;H135,"On the books exceeds sellable rooms",IF(R135&gt;H135,"Forecast exceeds sellable rooms",IF(AND(A135&lt;TODAY(),AB135=""),"Actual results missing","OK"))))),"")</f>
        <v/>
      </c>
    </row>
    <row r="136">
      <c r="A136" s="24" t="n"/>
      <c r="B136" s="25">
        <f>IFERROR(IF(A136="","",VLOOKUP(MOD(A136,7),'Assumptions'!$E$16:$F$22,2,0)),"")</f>
        <v/>
      </c>
      <c r="C136" s="25">
        <f>IFERROR(IF(A136="","",IF(A136&lt;TODAY(),"Past",IF(A136=TODAY(),"Today","Future"))),"")</f>
        <v/>
      </c>
      <c r="D136" s="26" t="n"/>
      <c r="E136" s="26" t="n"/>
      <c r="F136" s="27" t="n"/>
      <c r="G136" s="27" t="n"/>
      <c r="H136" s="28">
        <f>IFERROR(IF(A136="","",MAX(0,F136-G136)),"")</f>
        <v/>
      </c>
      <c r="I136" s="27" t="n"/>
      <c r="J136" s="27" t="n"/>
      <c r="K136" s="28">
        <f>IFERROR(IF(A136="","",I136+J136),"")</f>
        <v/>
      </c>
      <c r="L136" s="29">
        <f>IFERROR(IF(A136="","",K136/H136),"")</f>
        <v/>
      </c>
      <c r="M136" s="29">
        <f>IFERROR(IF(A136="","",VLOOKUP(B136,'Assumptions'!$A$16:$B$22,2,0)),"")</f>
        <v/>
      </c>
      <c r="N136" s="27" t="n"/>
      <c r="O136" s="27" t="n"/>
      <c r="P136" s="27" t="n"/>
      <c r="Q136" s="28">
        <f>IFERROR(IF(A136="","",MIN(H136,MAX(0,K136,ROUND(H136*M136,0)+N136+O136))),"")</f>
        <v/>
      </c>
      <c r="R136" s="28">
        <f>IFERROR(IF(A136="","",MIN(H136,MAX(0,IF(P136="",Q136,P136)))),"")</f>
        <v/>
      </c>
      <c r="S136" s="28">
        <f>IFERROR(IF(A136="","",MAX(0,R136-K136)),"")</f>
        <v/>
      </c>
      <c r="T136" s="29">
        <f>IFERROR(IF(A136="","",R136/H136),"")</f>
        <v/>
      </c>
      <c r="U136" s="29">
        <f>IFERROR(IF(A136="","",'Assumptions'!$B$5),"")</f>
        <v/>
      </c>
      <c r="V136" s="29">
        <f>IFERROR(IF(A136="","",T136-U136),"")</f>
        <v/>
      </c>
      <c r="W136" s="50" t="n"/>
      <c r="X136" s="50" t="n"/>
      <c r="Y136" s="51">
        <f>IFERROR(IF(A136="","",IF(X136&lt;&gt;"",X136,IF(W136&lt;&gt;"",W136,'Assumptions'!$B$8))),"")</f>
        <v/>
      </c>
      <c r="Z136" s="51">
        <f>IFERROR(IF(A136="","",R136*Y136),"")</f>
        <v/>
      </c>
      <c r="AA136" s="51">
        <f>IFERROR(IF(A136="","",Z136/H136),"")</f>
        <v/>
      </c>
      <c r="AB136" s="32" t="n"/>
      <c r="AC136" s="52" t="n"/>
      <c r="AD136" s="29">
        <f>IFERROR(IF(OR(A136="",AB136=""),"",AB136/H136),"")</f>
        <v/>
      </c>
      <c r="AE136" s="51">
        <f>IFERROR(IF(OR(A136="",AB136="",AC136=""),"",AB136*AC136),"")</f>
        <v/>
      </c>
      <c r="AF136" s="28">
        <f>IFERROR(IF(OR(A136="",AB136=""),"",AB136-R136),"")</f>
        <v/>
      </c>
      <c r="AG136" s="29">
        <f>IFERROR(IF(OR(A136="",AB136=""),"",IF(AD136-T136&lt;0,T136-AD136,AD136-T136)),"")</f>
        <v/>
      </c>
      <c r="AH136" s="51">
        <f>IFERROR(IF(OR(A136="",AE136=""),"",AE136-Z136),"")</f>
        <v/>
      </c>
      <c r="AI136" s="25">
        <f>IFERROR(IF(A136="","",IF(G136&gt;F136,"Check out-of-order rooms",IF(K136&gt;H136,"On the books exceeds sellable rooms",IF(R136&gt;H136,"Forecast exceeds sellable rooms",IF(AND(A136&lt;TODAY(),AB136=""),"Actual results missing","OK"))))),"")</f>
        <v/>
      </c>
    </row>
    <row r="137">
      <c r="A137" s="24" t="n"/>
      <c r="B137" s="25">
        <f>IFERROR(IF(A137="","",VLOOKUP(MOD(A137,7),'Assumptions'!$E$16:$F$22,2,0)),"")</f>
        <v/>
      </c>
      <c r="C137" s="25">
        <f>IFERROR(IF(A137="","",IF(A137&lt;TODAY(),"Past",IF(A137=TODAY(),"Today","Future"))),"")</f>
        <v/>
      </c>
      <c r="D137" s="26" t="n"/>
      <c r="E137" s="26" t="n"/>
      <c r="F137" s="27" t="n"/>
      <c r="G137" s="27" t="n"/>
      <c r="H137" s="28">
        <f>IFERROR(IF(A137="","",MAX(0,F137-G137)),"")</f>
        <v/>
      </c>
      <c r="I137" s="27" t="n"/>
      <c r="J137" s="27" t="n"/>
      <c r="K137" s="28">
        <f>IFERROR(IF(A137="","",I137+J137),"")</f>
        <v/>
      </c>
      <c r="L137" s="29">
        <f>IFERROR(IF(A137="","",K137/H137),"")</f>
        <v/>
      </c>
      <c r="M137" s="29">
        <f>IFERROR(IF(A137="","",VLOOKUP(B137,'Assumptions'!$A$16:$B$22,2,0)),"")</f>
        <v/>
      </c>
      <c r="N137" s="27" t="n"/>
      <c r="O137" s="27" t="n"/>
      <c r="P137" s="27" t="n"/>
      <c r="Q137" s="28">
        <f>IFERROR(IF(A137="","",MIN(H137,MAX(0,K137,ROUND(H137*M137,0)+N137+O137))),"")</f>
        <v/>
      </c>
      <c r="R137" s="28">
        <f>IFERROR(IF(A137="","",MIN(H137,MAX(0,IF(P137="",Q137,P137)))),"")</f>
        <v/>
      </c>
      <c r="S137" s="28">
        <f>IFERROR(IF(A137="","",MAX(0,R137-K137)),"")</f>
        <v/>
      </c>
      <c r="T137" s="29">
        <f>IFERROR(IF(A137="","",R137/H137),"")</f>
        <v/>
      </c>
      <c r="U137" s="29">
        <f>IFERROR(IF(A137="","",'Assumptions'!$B$5),"")</f>
        <v/>
      </c>
      <c r="V137" s="29">
        <f>IFERROR(IF(A137="","",T137-U137),"")</f>
        <v/>
      </c>
      <c r="W137" s="50" t="n"/>
      <c r="X137" s="50" t="n"/>
      <c r="Y137" s="51">
        <f>IFERROR(IF(A137="","",IF(X137&lt;&gt;"",X137,IF(W137&lt;&gt;"",W137,'Assumptions'!$B$8))),"")</f>
        <v/>
      </c>
      <c r="Z137" s="51">
        <f>IFERROR(IF(A137="","",R137*Y137),"")</f>
        <v/>
      </c>
      <c r="AA137" s="51">
        <f>IFERROR(IF(A137="","",Z137/H137),"")</f>
        <v/>
      </c>
      <c r="AB137" s="32" t="n"/>
      <c r="AC137" s="52" t="n"/>
      <c r="AD137" s="29">
        <f>IFERROR(IF(OR(A137="",AB137=""),"",AB137/H137),"")</f>
        <v/>
      </c>
      <c r="AE137" s="51">
        <f>IFERROR(IF(OR(A137="",AB137="",AC137=""),"",AB137*AC137),"")</f>
        <v/>
      </c>
      <c r="AF137" s="28">
        <f>IFERROR(IF(OR(A137="",AB137=""),"",AB137-R137),"")</f>
        <v/>
      </c>
      <c r="AG137" s="29">
        <f>IFERROR(IF(OR(A137="",AB137=""),"",IF(AD137-T137&lt;0,T137-AD137,AD137-T137)),"")</f>
        <v/>
      </c>
      <c r="AH137" s="51">
        <f>IFERROR(IF(OR(A137="",AE137=""),"",AE137-Z137),"")</f>
        <v/>
      </c>
      <c r="AI137" s="25">
        <f>IFERROR(IF(A137="","",IF(G137&gt;F137,"Check out-of-order rooms",IF(K137&gt;H137,"On the books exceeds sellable rooms",IF(R137&gt;H137,"Forecast exceeds sellable rooms",IF(AND(A137&lt;TODAY(),AB137=""),"Actual results missing","OK"))))),"")</f>
        <v/>
      </c>
    </row>
    <row r="138">
      <c r="A138" s="24" t="n"/>
      <c r="B138" s="25">
        <f>IFERROR(IF(A138="","",VLOOKUP(MOD(A138,7),'Assumptions'!$E$16:$F$22,2,0)),"")</f>
        <v/>
      </c>
      <c r="C138" s="25">
        <f>IFERROR(IF(A138="","",IF(A138&lt;TODAY(),"Past",IF(A138=TODAY(),"Today","Future"))),"")</f>
        <v/>
      </c>
      <c r="D138" s="26" t="n"/>
      <c r="E138" s="26" t="n"/>
      <c r="F138" s="27" t="n"/>
      <c r="G138" s="27" t="n"/>
      <c r="H138" s="28">
        <f>IFERROR(IF(A138="","",MAX(0,F138-G138)),"")</f>
        <v/>
      </c>
      <c r="I138" s="27" t="n"/>
      <c r="J138" s="27" t="n"/>
      <c r="K138" s="28">
        <f>IFERROR(IF(A138="","",I138+J138),"")</f>
        <v/>
      </c>
      <c r="L138" s="29">
        <f>IFERROR(IF(A138="","",K138/H138),"")</f>
        <v/>
      </c>
      <c r="M138" s="29">
        <f>IFERROR(IF(A138="","",VLOOKUP(B138,'Assumptions'!$A$16:$B$22,2,0)),"")</f>
        <v/>
      </c>
      <c r="N138" s="27" t="n"/>
      <c r="O138" s="27" t="n"/>
      <c r="P138" s="27" t="n"/>
      <c r="Q138" s="28">
        <f>IFERROR(IF(A138="","",MIN(H138,MAX(0,K138,ROUND(H138*M138,0)+N138+O138))),"")</f>
        <v/>
      </c>
      <c r="R138" s="28">
        <f>IFERROR(IF(A138="","",MIN(H138,MAX(0,IF(P138="",Q138,P138)))),"")</f>
        <v/>
      </c>
      <c r="S138" s="28">
        <f>IFERROR(IF(A138="","",MAX(0,R138-K138)),"")</f>
        <v/>
      </c>
      <c r="T138" s="29">
        <f>IFERROR(IF(A138="","",R138/H138),"")</f>
        <v/>
      </c>
      <c r="U138" s="29">
        <f>IFERROR(IF(A138="","",'Assumptions'!$B$5),"")</f>
        <v/>
      </c>
      <c r="V138" s="29">
        <f>IFERROR(IF(A138="","",T138-U138),"")</f>
        <v/>
      </c>
      <c r="W138" s="50" t="n"/>
      <c r="X138" s="50" t="n"/>
      <c r="Y138" s="51">
        <f>IFERROR(IF(A138="","",IF(X138&lt;&gt;"",X138,IF(W138&lt;&gt;"",W138,'Assumptions'!$B$8))),"")</f>
        <v/>
      </c>
      <c r="Z138" s="51">
        <f>IFERROR(IF(A138="","",R138*Y138),"")</f>
        <v/>
      </c>
      <c r="AA138" s="51">
        <f>IFERROR(IF(A138="","",Z138/H138),"")</f>
        <v/>
      </c>
      <c r="AB138" s="32" t="n"/>
      <c r="AC138" s="52" t="n"/>
      <c r="AD138" s="29">
        <f>IFERROR(IF(OR(A138="",AB138=""),"",AB138/H138),"")</f>
        <v/>
      </c>
      <c r="AE138" s="51">
        <f>IFERROR(IF(OR(A138="",AB138="",AC138=""),"",AB138*AC138),"")</f>
        <v/>
      </c>
      <c r="AF138" s="28">
        <f>IFERROR(IF(OR(A138="",AB138=""),"",AB138-R138),"")</f>
        <v/>
      </c>
      <c r="AG138" s="29">
        <f>IFERROR(IF(OR(A138="",AB138=""),"",IF(AD138-T138&lt;0,T138-AD138,AD138-T138)),"")</f>
        <v/>
      </c>
      <c r="AH138" s="51">
        <f>IFERROR(IF(OR(A138="",AE138=""),"",AE138-Z138),"")</f>
        <v/>
      </c>
      <c r="AI138" s="25">
        <f>IFERROR(IF(A138="","",IF(G138&gt;F138,"Check out-of-order rooms",IF(K138&gt;H138,"On the books exceeds sellable rooms",IF(R138&gt;H138,"Forecast exceeds sellable rooms",IF(AND(A138&lt;TODAY(),AB138=""),"Actual results missing","OK"))))),"")</f>
        <v/>
      </c>
    </row>
    <row r="139">
      <c r="A139" s="24" t="n"/>
      <c r="B139" s="25">
        <f>IFERROR(IF(A139="","",VLOOKUP(MOD(A139,7),'Assumptions'!$E$16:$F$22,2,0)),"")</f>
        <v/>
      </c>
      <c r="C139" s="25">
        <f>IFERROR(IF(A139="","",IF(A139&lt;TODAY(),"Past",IF(A139=TODAY(),"Today","Future"))),"")</f>
        <v/>
      </c>
      <c r="D139" s="26" t="n"/>
      <c r="E139" s="26" t="n"/>
      <c r="F139" s="27" t="n"/>
      <c r="G139" s="27" t="n"/>
      <c r="H139" s="28">
        <f>IFERROR(IF(A139="","",MAX(0,F139-G139)),"")</f>
        <v/>
      </c>
      <c r="I139" s="27" t="n"/>
      <c r="J139" s="27" t="n"/>
      <c r="K139" s="28">
        <f>IFERROR(IF(A139="","",I139+J139),"")</f>
        <v/>
      </c>
      <c r="L139" s="29">
        <f>IFERROR(IF(A139="","",K139/H139),"")</f>
        <v/>
      </c>
      <c r="M139" s="29">
        <f>IFERROR(IF(A139="","",VLOOKUP(B139,'Assumptions'!$A$16:$B$22,2,0)),"")</f>
        <v/>
      </c>
      <c r="N139" s="27" t="n"/>
      <c r="O139" s="27" t="n"/>
      <c r="P139" s="27" t="n"/>
      <c r="Q139" s="28">
        <f>IFERROR(IF(A139="","",MIN(H139,MAX(0,K139,ROUND(H139*M139,0)+N139+O139))),"")</f>
        <v/>
      </c>
      <c r="R139" s="28">
        <f>IFERROR(IF(A139="","",MIN(H139,MAX(0,IF(P139="",Q139,P139)))),"")</f>
        <v/>
      </c>
      <c r="S139" s="28">
        <f>IFERROR(IF(A139="","",MAX(0,R139-K139)),"")</f>
        <v/>
      </c>
      <c r="T139" s="29">
        <f>IFERROR(IF(A139="","",R139/H139),"")</f>
        <v/>
      </c>
      <c r="U139" s="29">
        <f>IFERROR(IF(A139="","",'Assumptions'!$B$5),"")</f>
        <v/>
      </c>
      <c r="V139" s="29">
        <f>IFERROR(IF(A139="","",T139-U139),"")</f>
        <v/>
      </c>
      <c r="W139" s="50" t="n"/>
      <c r="X139" s="50" t="n"/>
      <c r="Y139" s="51">
        <f>IFERROR(IF(A139="","",IF(X139&lt;&gt;"",X139,IF(W139&lt;&gt;"",W139,'Assumptions'!$B$8))),"")</f>
        <v/>
      </c>
      <c r="Z139" s="51">
        <f>IFERROR(IF(A139="","",R139*Y139),"")</f>
        <v/>
      </c>
      <c r="AA139" s="51">
        <f>IFERROR(IF(A139="","",Z139/H139),"")</f>
        <v/>
      </c>
      <c r="AB139" s="32" t="n"/>
      <c r="AC139" s="52" t="n"/>
      <c r="AD139" s="29">
        <f>IFERROR(IF(OR(A139="",AB139=""),"",AB139/H139),"")</f>
        <v/>
      </c>
      <c r="AE139" s="51">
        <f>IFERROR(IF(OR(A139="",AB139="",AC139=""),"",AB139*AC139),"")</f>
        <v/>
      </c>
      <c r="AF139" s="28">
        <f>IFERROR(IF(OR(A139="",AB139=""),"",AB139-R139),"")</f>
        <v/>
      </c>
      <c r="AG139" s="29">
        <f>IFERROR(IF(OR(A139="",AB139=""),"",IF(AD139-T139&lt;0,T139-AD139,AD139-T139)),"")</f>
        <v/>
      </c>
      <c r="AH139" s="51">
        <f>IFERROR(IF(OR(A139="",AE139=""),"",AE139-Z139),"")</f>
        <v/>
      </c>
      <c r="AI139" s="25">
        <f>IFERROR(IF(A139="","",IF(G139&gt;F139,"Check out-of-order rooms",IF(K139&gt;H139,"On the books exceeds sellable rooms",IF(R139&gt;H139,"Forecast exceeds sellable rooms",IF(AND(A139&lt;TODAY(),AB139=""),"Actual results missing","OK"))))),"")</f>
        <v/>
      </c>
    </row>
    <row r="140">
      <c r="A140" s="24" t="n"/>
      <c r="B140" s="25">
        <f>IFERROR(IF(A140="","",VLOOKUP(MOD(A140,7),'Assumptions'!$E$16:$F$22,2,0)),"")</f>
        <v/>
      </c>
      <c r="C140" s="25">
        <f>IFERROR(IF(A140="","",IF(A140&lt;TODAY(),"Past",IF(A140=TODAY(),"Today","Future"))),"")</f>
        <v/>
      </c>
      <c r="D140" s="26" t="n"/>
      <c r="E140" s="26" t="n"/>
      <c r="F140" s="27" t="n"/>
      <c r="G140" s="27" t="n"/>
      <c r="H140" s="28">
        <f>IFERROR(IF(A140="","",MAX(0,F140-G140)),"")</f>
        <v/>
      </c>
      <c r="I140" s="27" t="n"/>
      <c r="J140" s="27" t="n"/>
      <c r="K140" s="28">
        <f>IFERROR(IF(A140="","",I140+J140),"")</f>
        <v/>
      </c>
      <c r="L140" s="29">
        <f>IFERROR(IF(A140="","",K140/H140),"")</f>
        <v/>
      </c>
      <c r="M140" s="29">
        <f>IFERROR(IF(A140="","",VLOOKUP(B140,'Assumptions'!$A$16:$B$22,2,0)),"")</f>
        <v/>
      </c>
      <c r="N140" s="27" t="n"/>
      <c r="O140" s="27" t="n"/>
      <c r="P140" s="27" t="n"/>
      <c r="Q140" s="28">
        <f>IFERROR(IF(A140="","",MIN(H140,MAX(0,K140,ROUND(H140*M140,0)+N140+O140))),"")</f>
        <v/>
      </c>
      <c r="R140" s="28">
        <f>IFERROR(IF(A140="","",MIN(H140,MAX(0,IF(P140="",Q140,P140)))),"")</f>
        <v/>
      </c>
      <c r="S140" s="28">
        <f>IFERROR(IF(A140="","",MAX(0,R140-K140)),"")</f>
        <v/>
      </c>
      <c r="T140" s="29">
        <f>IFERROR(IF(A140="","",R140/H140),"")</f>
        <v/>
      </c>
      <c r="U140" s="29">
        <f>IFERROR(IF(A140="","",'Assumptions'!$B$5),"")</f>
        <v/>
      </c>
      <c r="V140" s="29">
        <f>IFERROR(IF(A140="","",T140-U140),"")</f>
        <v/>
      </c>
      <c r="W140" s="50" t="n"/>
      <c r="X140" s="50" t="n"/>
      <c r="Y140" s="51">
        <f>IFERROR(IF(A140="","",IF(X140&lt;&gt;"",X140,IF(W140&lt;&gt;"",W140,'Assumptions'!$B$8))),"")</f>
        <v/>
      </c>
      <c r="Z140" s="51">
        <f>IFERROR(IF(A140="","",R140*Y140),"")</f>
        <v/>
      </c>
      <c r="AA140" s="51">
        <f>IFERROR(IF(A140="","",Z140/H140),"")</f>
        <v/>
      </c>
      <c r="AB140" s="32" t="n"/>
      <c r="AC140" s="52" t="n"/>
      <c r="AD140" s="29">
        <f>IFERROR(IF(OR(A140="",AB140=""),"",AB140/H140),"")</f>
        <v/>
      </c>
      <c r="AE140" s="51">
        <f>IFERROR(IF(OR(A140="",AB140="",AC140=""),"",AB140*AC140),"")</f>
        <v/>
      </c>
      <c r="AF140" s="28">
        <f>IFERROR(IF(OR(A140="",AB140=""),"",AB140-R140),"")</f>
        <v/>
      </c>
      <c r="AG140" s="29">
        <f>IFERROR(IF(OR(A140="",AB140=""),"",IF(AD140-T140&lt;0,T140-AD140,AD140-T140)),"")</f>
        <v/>
      </c>
      <c r="AH140" s="51">
        <f>IFERROR(IF(OR(A140="",AE140=""),"",AE140-Z140),"")</f>
        <v/>
      </c>
      <c r="AI140" s="25">
        <f>IFERROR(IF(A140="","",IF(G140&gt;F140,"Check out-of-order rooms",IF(K140&gt;H140,"On the books exceeds sellable rooms",IF(R140&gt;H140,"Forecast exceeds sellable rooms",IF(AND(A140&lt;TODAY(),AB140=""),"Actual results missing","OK"))))),"")</f>
        <v/>
      </c>
    </row>
    <row r="141">
      <c r="A141" s="24" t="n"/>
      <c r="B141" s="25">
        <f>IFERROR(IF(A141="","",VLOOKUP(MOD(A141,7),'Assumptions'!$E$16:$F$22,2,0)),"")</f>
        <v/>
      </c>
      <c r="C141" s="25">
        <f>IFERROR(IF(A141="","",IF(A141&lt;TODAY(),"Past",IF(A141=TODAY(),"Today","Future"))),"")</f>
        <v/>
      </c>
      <c r="D141" s="26" t="n"/>
      <c r="E141" s="26" t="n"/>
      <c r="F141" s="27" t="n"/>
      <c r="G141" s="27" t="n"/>
      <c r="H141" s="28">
        <f>IFERROR(IF(A141="","",MAX(0,F141-G141)),"")</f>
        <v/>
      </c>
      <c r="I141" s="27" t="n"/>
      <c r="J141" s="27" t="n"/>
      <c r="K141" s="28">
        <f>IFERROR(IF(A141="","",I141+J141),"")</f>
        <v/>
      </c>
      <c r="L141" s="29">
        <f>IFERROR(IF(A141="","",K141/H141),"")</f>
        <v/>
      </c>
      <c r="M141" s="29">
        <f>IFERROR(IF(A141="","",VLOOKUP(B141,'Assumptions'!$A$16:$B$22,2,0)),"")</f>
        <v/>
      </c>
      <c r="N141" s="27" t="n"/>
      <c r="O141" s="27" t="n"/>
      <c r="P141" s="27" t="n"/>
      <c r="Q141" s="28">
        <f>IFERROR(IF(A141="","",MIN(H141,MAX(0,K141,ROUND(H141*M141,0)+N141+O141))),"")</f>
        <v/>
      </c>
      <c r="R141" s="28">
        <f>IFERROR(IF(A141="","",MIN(H141,MAX(0,IF(P141="",Q141,P141)))),"")</f>
        <v/>
      </c>
      <c r="S141" s="28">
        <f>IFERROR(IF(A141="","",MAX(0,R141-K141)),"")</f>
        <v/>
      </c>
      <c r="T141" s="29">
        <f>IFERROR(IF(A141="","",R141/H141),"")</f>
        <v/>
      </c>
      <c r="U141" s="29">
        <f>IFERROR(IF(A141="","",'Assumptions'!$B$5),"")</f>
        <v/>
      </c>
      <c r="V141" s="29">
        <f>IFERROR(IF(A141="","",T141-U141),"")</f>
        <v/>
      </c>
      <c r="W141" s="50" t="n"/>
      <c r="X141" s="50" t="n"/>
      <c r="Y141" s="51">
        <f>IFERROR(IF(A141="","",IF(X141&lt;&gt;"",X141,IF(W141&lt;&gt;"",W141,'Assumptions'!$B$8))),"")</f>
        <v/>
      </c>
      <c r="Z141" s="51">
        <f>IFERROR(IF(A141="","",R141*Y141),"")</f>
        <v/>
      </c>
      <c r="AA141" s="51">
        <f>IFERROR(IF(A141="","",Z141/H141),"")</f>
        <v/>
      </c>
      <c r="AB141" s="32" t="n"/>
      <c r="AC141" s="52" t="n"/>
      <c r="AD141" s="29">
        <f>IFERROR(IF(OR(A141="",AB141=""),"",AB141/H141),"")</f>
        <v/>
      </c>
      <c r="AE141" s="51">
        <f>IFERROR(IF(OR(A141="",AB141="",AC141=""),"",AB141*AC141),"")</f>
        <v/>
      </c>
      <c r="AF141" s="28">
        <f>IFERROR(IF(OR(A141="",AB141=""),"",AB141-R141),"")</f>
        <v/>
      </c>
      <c r="AG141" s="29">
        <f>IFERROR(IF(OR(A141="",AB141=""),"",IF(AD141-T141&lt;0,T141-AD141,AD141-T141)),"")</f>
        <v/>
      </c>
      <c r="AH141" s="51">
        <f>IFERROR(IF(OR(A141="",AE141=""),"",AE141-Z141),"")</f>
        <v/>
      </c>
      <c r="AI141" s="25">
        <f>IFERROR(IF(A141="","",IF(G141&gt;F141,"Check out-of-order rooms",IF(K141&gt;H141,"On the books exceeds sellable rooms",IF(R141&gt;H141,"Forecast exceeds sellable rooms",IF(AND(A141&lt;TODAY(),AB141=""),"Actual results missing","OK"))))),"")</f>
        <v/>
      </c>
    </row>
    <row r="142">
      <c r="A142" s="24" t="n"/>
      <c r="B142" s="25">
        <f>IFERROR(IF(A142="","",VLOOKUP(MOD(A142,7),'Assumptions'!$E$16:$F$22,2,0)),"")</f>
        <v/>
      </c>
      <c r="C142" s="25">
        <f>IFERROR(IF(A142="","",IF(A142&lt;TODAY(),"Past",IF(A142=TODAY(),"Today","Future"))),"")</f>
        <v/>
      </c>
      <c r="D142" s="26" t="n"/>
      <c r="E142" s="26" t="n"/>
      <c r="F142" s="27" t="n"/>
      <c r="G142" s="27" t="n"/>
      <c r="H142" s="28">
        <f>IFERROR(IF(A142="","",MAX(0,F142-G142)),"")</f>
        <v/>
      </c>
      <c r="I142" s="27" t="n"/>
      <c r="J142" s="27" t="n"/>
      <c r="K142" s="28">
        <f>IFERROR(IF(A142="","",I142+J142),"")</f>
        <v/>
      </c>
      <c r="L142" s="29">
        <f>IFERROR(IF(A142="","",K142/H142),"")</f>
        <v/>
      </c>
      <c r="M142" s="29">
        <f>IFERROR(IF(A142="","",VLOOKUP(B142,'Assumptions'!$A$16:$B$22,2,0)),"")</f>
        <v/>
      </c>
      <c r="N142" s="27" t="n"/>
      <c r="O142" s="27" t="n"/>
      <c r="P142" s="27" t="n"/>
      <c r="Q142" s="28">
        <f>IFERROR(IF(A142="","",MIN(H142,MAX(0,K142,ROUND(H142*M142,0)+N142+O142))),"")</f>
        <v/>
      </c>
      <c r="R142" s="28">
        <f>IFERROR(IF(A142="","",MIN(H142,MAX(0,IF(P142="",Q142,P142)))),"")</f>
        <v/>
      </c>
      <c r="S142" s="28">
        <f>IFERROR(IF(A142="","",MAX(0,R142-K142)),"")</f>
        <v/>
      </c>
      <c r="T142" s="29">
        <f>IFERROR(IF(A142="","",R142/H142),"")</f>
        <v/>
      </c>
      <c r="U142" s="29">
        <f>IFERROR(IF(A142="","",'Assumptions'!$B$5),"")</f>
        <v/>
      </c>
      <c r="V142" s="29">
        <f>IFERROR(IF(A142="","",T142-U142),"")</f>
        <v/>
      </c>
      <c r="W142" s="50" t="n"/>
      <c r="X142" s="50" t="n"/>
      <c r="Y142" s="51">
        <f>IFERROR(IF(A142="","",IF(X142&lt;&gt;"",X142,IF(W142&lt;&gt;"",W142,'Assumptions'!$B$8))),"")</f>
        <v/>
      </c>
      <c r="Z142" s="51">
        <f>IFERROR(IF(A142="","",R142*Y142),"")</f>
        <v/>
      </c>
      <c r="AA142" s="51">
        <f>IFERROR(IF(A142="","",Z142/H142),"")</f>
        <v/>
      </c>
      <c r="AB142" s="32" t="n"/>
      <c r="AC142" s="52" t="n"/>
      <c r="AD142" s="29">
        <f>IFERROR(IF(OR(A142="",AB142=""),"",AB142/H142),"")</f>
        <v/>
      </c>
      <c r="AE142" s="51">
        <f>IFERROR(IF(OR(A142="",AB142="",AC142=""),"",AB142*AC142),"")</f>
        <v/>
      </c>
      <c r="AF142" s="28">
        <f>IFERROR(IF(OR(A142="",AB142=""),"",AB142-R142),"")</f>
        <v/>
      </c>
      <c r="AG142" s="29">
        <f>IFERROR(IF(OR(A142="",AB142=""),"",IF(AD142-T142&lt;0,T142-AD142,AD142-T142)),"")</f>
        <v/>
      </c>
      <c r="AH142" s="51">
        <f>IFERROR(IF(OR(A142="",AE142=""),"",AE142-Z142),"")</f>
        <v/>
      </c>
      <c r="AI142" s="25">
        <f>IFERROR(IF(A142="","",IF(G142&gt;F142,"Check out-of-order rooms",IF(K142&gt;H142,"On the books exceeds sellable rooms",IF(R142&gt;H142,"Forecast exceeds sellable rooms",IF(AND(A142&lt;TODAY(),AB142=""),"Actual results missing","OK"))))),"")</f>
        <v/>
      </c>
    </row>
    <row r="143">
      <c r="A143" s="24" t="n"/>
      <c r="B143" s="25">
        <f>IFERROR(IF(A143="","",VLOOKUP(MOD(A143,7),'Assumptions'!$E$16:$F$22,2,0)),"")</f>
        <v/>
      </c>
      <c r="C143" s="25">
        <f>IFERROR(IF(A143="","",IF(A143&lt;TODAY(),"Past",IF(A143=TODAY(),"Today","Future"))),"")</f>
        <v/>
      </c>
      <c r="D143" s="26" t="n"/>
      <c r="E143" s="26" t="n"/>
      <c r="F143" s="27" t="n"/>
      <c r="G143" s="27" t="n"/>
      <c r="H143" s="28">
        <f>IFERROR(IF(A143="","",MAX(0,F143-G143)),"")</f>
        <v/>
      </c>
      <c r="I143" s="27" t="n"/>
      <c r="J143" s="27" t="n"/>
      <c r="K143" s="28">
        <f>IFERROR(IF(A143="","",I143+J143),"")</f>
        <v/>
      </c>
      <c r="L143" s="29">
        <f>IFERROR(IF(A143="","",K143/H143),"")</f>
        <v/>
      </c>
      <c r="M143" s="29">
        <f>IFERROR(IF(A143="","",VLOOKUP(B143,'Assumptions'!$A$16:$B$22,2,0)),"")</f>
        <v/>
      </c>
      <c r="N143" s="27" t="n"/>
      <c r="O143" s="27" t="n"/>
      <c r="P143" s="27" t="n"/>
      <c r="Q143" s="28">
        <f>IFERROR(IF(A143="","",MIN(H143,MAX(0,K143,ROUND(H143*M143,0)+N143+O143))),"")</f>
        <v/>
      </c>
      <c r="R143" s="28">
        <f>IFERROR(IF(A143="","",MIN(H143,MAX(0,IF(P143="",Q143,P143)))),"")</f>
        <v/>
      </c>
      <c r="S143" s="28">
        <f>IFERROR(IF(A143="","",MAX(0,R143-K143)),"")</f>
        <v/>
      </c>
      <c r="T143" s="29">
        <f>IFERROR(IF(A143="","",R143/H143),"")</f>
        <v/>
      </c>
      <c r="U143" s="29">
        <f>IFERROR(IF(A143="","",'Assumptions'!$B$5),"")</f>
        <v/>
      </c>
      <c r="V143" s="29">
        <f>IFERROR(IF(A143="","",T143-U143),"")</f>
        <v/>
      </c>
      <c r="W143" s="50" t="n"/>
      <c r="X143" s="50" t="n"/>
      <c r="Y143" s="51">
        <f>IFERROR(IF(A143="","",IF(X143&lt;&gt;"",X143,IF(W143&lt;&gt;"",W143,'Assumptions'!$B$8))),"")</f>
        <v/>
      </c>
      <c r="Z143" s="51">
        <f>IFERROR(IF(A143="","",R143*Y143),"")</f>
        <v/>
      </c>
      <c r="AA143" s="51">
        <f>IFERROR(IF(A143="","",Z143/H143),"")</f>
        <v/>
      </c>
      <c r="AB143" s="32" t="n"/>
      <c r="AC143" s="52" t="n"/>
      <c r="AD143" s="29">
        <f>IFERROR(IF(OR(A143="",AB143=""),"",AB143/H143),"")</f>
        <v/>
      </c>
      <c r="AE143" s="51">
        <f>IFERROR(IF(OR(A143="",AB143="",AC143=""),"",AB143*AC143),"")</f>
        <v/>
      </c>
      <c r="AF143" s="28">
        <f>IFERROR(IF(OR(A143="",AB143=""),"",AB143-R143),"")</f>
        <v/>
      </c>
      <c r="AG143" s="29">
        <f>IFERROR(IF(OR(A143="",AB143=""),"",IF(AD143-T143&lt;0,T143-AD143,AD143-T143)),"")</f>
        <v/>
      </c>
      <c r="AH143" s="51">
        <f>IFERROR(IF(OR(A143="",AE143=""),"",AE143-Z143),"")</f>
        <v/>
      </c>
      <c r="AI143" s="25">
        <f>IFERROR(IF(A143="","",IF(G143&gt;F143,"Check out-of-order rooms",IF(K143&gt;H143,"On the books exceeds sellable rooms",IF(R143&gt;H143,"Forecast exceeds sellable rooms",IF(AND(A143&lt;TODAY(),AB143=""),"Actual results missing","OK"))))),"")</f>
        <v/>
      </c>
    </row>
    <row r="144">
      <c r="A144" s="24" t="n"/>
      <c r="B144" s="25">
        <f>IFERROR(IF(A144="","",VLOOKUP(MOD(A144,7),'Assumptions'!$E$16:$F$22,2,0)),"")</f>
        <v/>
      </c>
      <c r="C144" s="25">
        <f>IFERROR(IF(A144="","",IF(A144&lt;TODAY(),"Past",IF(A144=TODAY(),"Today","Future"))),"")</f>
        <v/>
      </c>
      <c r="D144" s="26" t="n"/>
      <c r="E144" s="26" t="n"/>
      <c r="F144" s="27" t="n"/>
      <c r="G144" s="27" t="n"/>
      <c r="H144" s="28">
        <f>IFERROR(IF(A144="","",MAX(0,F144-G144)),"")</f>
        <v/>
      </c>
      <c r="I144" s="27" t="n"/>
      <c r="J144" s="27" t="n"/>
      <c r="K144" s="28">
        <f>IFERROR(IF(A144="","",I144+J144),"")</f>
        <v/>
      </c>
      <c r="L144" s="29">
        <f>IFERROR(IF(A144="","",K144/H144),"")</f>
        <v/>
      </c>
      <c r="M144" s="29">
        <f>IFERROR(IF(A144="","",VLOOKUP(B144,'Assumptions'!$A$16:$B$22,2,0)),"")</f>
        <v/>
      </c>
      <c r="N144" s="27" t="n"/>
      <c r="O144" s="27" t="n"/>
      <c r="P144" s="27" t="n"/>
      <c r="Q144" s="28">
        <f>IFERROR(IF(A144="","",MIN(H144,MAX(0,K144,ROUND(H144*M144,0)+N144+O144))),"")</f>
        <v/>
      </c>
      <c r="R144" s="28">
        <f>IFERROR(IF(A144="","",MIN(H144,MAX(0,IF(P144="",Q144,P144)))),"")</f>
        <v/>
      </c>
      <c r="S144" s="28">
        <f>IFERROR(IF(A144="","",MAX(0,R144-K144)),"")</f>
        <v/>
      </c>
      <c r="T144" s="29">
        <f>IFERROR(IF(A144="","",R144/H144),"")</f>
        <v/>
      </c>
      <c r="U144" s="29">
        <f>IFERROR(IF(A144="","",'Assumptions'!$B$5),"")</f>
        <v/>
      </c>
      <c r="V144" s="29">
        <f>IFERROR(IF(A144="","",T144-U144),"")</f>
        <v/>
      </c>
      <c r="W144" s="50" t="n"/>
      <c r="X144" s="50" t="n"/>
      <c r="Y144" s="51">
        <f>IFERROR(IF(A144="","",IF(X144&lt;&gt;"",X144,IF(W144&lt;&gt;"",W144,'Assumptions'!$B$8))),"")</f>
        <v/>
      </c>
      <c r="Z144" s="51">
        <f>IFERROR(IF(A144="","",R144*Y144),"")</f>
        <v/>
      </c>
      <c r="AA144" s="51">
        <f>IFERROR(IF(A144="","",Z144/H144),"")</f>
        <v/>
      </c>
      <c r="AB144" s="32" t="n"/>
      <c r="AC144" s="52" t="n"/>
      <c r="AD144" s="29">
        <f>IFERROR(IF(OR(A144="",AB144=""),"",AB144/H144),"")</f>
        <v/>
      </c>
      <c r="AE144" s="51">
        <f>IFERROR(IF(OR(A144="",AB144="",AC144=""),"",AB144*AC144),"")</f>
        <v/>
      </c>
      <c r="AF144" s="28">
        <f>IFERROR(IF(OR(A144="",AB144=""),"",AB144-R144),"")</f>
        <v/>
      </c>
      <c r="AG144" s="29">
        <f>IFERROR(IF(OR(A144="",AB144=""),"",IF(AD144-T144&lt;0,T144-AD144,AD144-T144)),"")</f>
        <v/>
      </c>
      <c r="AH144" s="51">
        <f>IFERROR(IF(OR(A144="",AE144=""),"",AE144-Z144),"")</f>
        <v/>
      </c>
      <c r="AI144" s="25">
        <f>IFERROR(IF(A144="","",IF(G144&gt;F144,"Check out-of-order rooms",IF(K144&gt;H144,"On the books exceeds sellable rooms",IF(R144&gt;H144,"Forecast exceeds sellable rooms",IF(AND(A144&lt;TODAY(),AB144=""),"Actual results missing","OK"))))),"")</f>
        <v/>
      </c>
    </row>
    <row r="145">
      <c r="A145" s="24" t="n"/>
      <c r="B145" s="25">
        <f>IFERROR(IF(A145="","",VLOOKUP(MOD(A145,7),'Assumptions'!$E$16:$F$22,2,0)),"")</f>
        <v/>
      </c>
      <c r="C145" s="25">
        <f>IFERROR(IF(A145="","",IF(A145&lt;TODAY(),"Past",IF(A145=TODAY(),"Today","Future"))),"")</f>
        <v/>
      </c>
      <c r="D145" s="26" t="n"/>
      <c r="E145" s="26" t="n"/>
      <c r="F145" s="27" t="n"/>
      <c r="G145" s="27" t="n"/>
      <c r="H145" s="28">
        <f>IFERROR(IF(A145="","",MAX(0,F145-G145)),"")</f>
        <v/>
      </c>
      <c r="I145" s="27" t="n"/>
      <c r="J145" s="27" t="n"/>
      <c r="K145" s="28">
        <f>IFERROR(IF(A145="","",I145+J145),"")</f>
        <v/>
      </c>
      <c r="L145" s="29">
        <f>IFERROR(IF(A145="","",K145/H145),"")</f>
        <v/>
      </c>
      <c r="M145" s="29">
        <f>IFERROR(IF(A145="","",VLOOKUP(B145,'Assumptions'!$A$16:$B$22,2,0)),"")</f>
        <v/>
      </c>
      <c r="N145" s="27" t="n"/>
      <c r="O145" s="27" t="n"/>
      <c r="P145" s="27" t="n"/>
      <c r="Q145" s="28">
        <f>IFERROR(IF(A145="","",MIN(H145,MAX(0,K145,ROUND(H145*M145,0)+N145+O145))),"")</f>
        <v/>
      </c>
      <c r="R145" s="28">
        <f>IFERROR(IF(A145="","",MIN(H145,MAX(0,IF(P145="",Q145,P145)))),"")</f>
        <v/>
      </c>
      <c r="S145" s="28">
        <f>IFERROR(IF(A145="","",MAX(0,R145-K145)),"")</f>
        <v/>
      </c>
      <c r="T145" s="29">
        <f>IFERROR(IF(A145="","",R145/H145),"")</f>
        <v/>
      </c>
      <c r="U145" s="29">
        <f>IFERROR(IF(A145="","",'Assumptions'!$B$5),"")</f>
        <v/>
      </c>
      <c r="V145" s="29">
        <f>IFERROR(IF(A145="","",T145-U145),"")</f>
        <v/>
      </c>
      <c r="W145" s="50" t="n"/>
      <c r="X145" s="50" t="n"/>
      <c r="Y145" s="51">
        <f>IFERROR(IF(A145="","",IF(X145&lt;&gt;"",X145,IF(W145&lt;&gt;"",W145,'Assumptions'!$B$8))),"")</f>
        <v/>
      </c>
      <c r="Z145" s="51">
        <f>IFERROR(IF(A145="","",R145*Y145),"")</f>
        <v/>
      </c>
      <c r="AA145" s="51">
        <f>IFERROR(IF(A145="","",Z145/H145),"")</f>
        <v/>
      </c>
      <c r="AB145" s="32" t="n"/>
      <c r="AC145" s="52" t="n"/>
      <c r="AD145" s="29">
        <f>IFERROR(IF(OR(A145="",AB145=""),"",AB145/H145),"")</f>
        <v/>
      </c>
      <c r="AE145" s="51">
        <f>IFERROR(IF(OR(A145="",AB145="",AC145=""),"",AB145*AC145),"")</f>
        <v/>
      </c>
      <c r="AF145" s="28">
        <f>IFERROR(IF(OR(A145="",AB145=""),"",AB145-R145),"")</f>
        <v/>
      </c>
      <c r="AG145" s="29">
        <f>IFERROR(IF(OR(A145="",AB145=""),"",IF(AD145-T145&lt;0,T145-AD145,AD145-T145)),"")</f>
        <v/>
      </c>
      <c r="AH145" s="51">
        <f>IFERROR(IF(OR(A145="",AE145=""),"",AE145-Z145),"")</f>
        <v/>
      </c>
      <c r="AI145" s="25">
        <f>IFERROR(IF(A145="","",IF(G145&gt;F145,"Check out-of-order rooms",IF(K145&gt;H145,"On the books exceeds sellable rooms",IF(R145&gt;H145,"Forecast exceeds sellable rooms",IF(AND(A145&lt;TODAY(),AB145=""),"Actual results missing","OK"))))),"")</f>
        <v/>
      </c>
    </row>
    <row r="146">
      <c r="A146" s="24" t="n"/>
      <c r="B146" s="25">
        <f>IFERROR(IF(A146="","",VLOOKUP(MOD(A146,7),'Assumptions'!$E$16:$F$22,2,0)),"")</f>
        <v/>
      </c>
      <c r="C146" s="25">
        <f>IFERROR(IF(A146="","",IF(A146&lt;TODAY(),"Past",IF(A146=TODAY(),"Today","Future"))),"")</f>
        <v/>
      </c>
      <c r="D146" s="26" t="n"/>
      <c r="E146" s="26" t="n"/>
      <c r="F146" s="27" t="n"/>
      <c r="G146" s="27" t="n"/>
      <c r="H146" s="28">
        <f>IFERROR(IF(A146="","",MAX(0,F146-G146)),"")</f>
        <v/>
      </c>
      <c r="I146" s="27" t="n"/>
      <c r="J146" s="27" t="n"/>
      <c r="K146" s="28">
        <f>IFERROR(IF(A146="","",I146+J146),"")</f>
        <v/>
      </c>
      <c r="L146" s="29">
        <f>IFERROR(IF(A146="","",K146/H146),"")</f>
        <v/>
      </c>
      <c r="M146" s="29">
        <f>IFERROR(IF(A146="","",VLOOKUP(B146,'Assumptions'!$A$16:$B$22,2,0)),"")</f>
        <v/>
      </c>
      <c r="N146" s="27" t="n"/>
      <c r="O146" s="27" t="n"/>
      <c r="P146" s="27" t="n"/>
      <c r="Q146" s="28">
        <f>IFERROR(IF(A146="","",MIN(H146,MAX(0,K146,ROUND(H146*M146,0)+N146+O146))),"")</f>
        <v/>
      </c>
      <c r="R146" s="28">
        <f>IFERROR(IF(A146="","",MIN(H146,MAX(0,IF(P146="",Q146,P146)))),"")</f>
        <v/>
      </c>
      <c r="S146" s="28">
        <f>IFERROR(IF(A146="","",MAX(0,R146-K146)),"")</f>
        <v/>
      </c>
      <c r="T146" s="29">
        <f>IFERROR(IF(A146="","",R146/H146),"")</f>
        <v/>
      </c>
      <c r="U146" s="29">
        <f>IFERROR(IF(A146="","",'Assumptions'!$B$5),"")</f>
        <v/>
      </c>
      <c r="V146" s="29">
        <f>IFERROR(IF(A146="","",T146-U146),"")</f>
        <v/>
      </c>
      <c r="W146" s="50" t="n"/>
      <c r="X146" s="50" t="n"/>
      <c r="Y146" s="51">
        <f>IFERROR(IF(A146="","",IF(X146&lt;&gt;"",X146,IF(W146&lt;&gt;"",W146,'Assumptions'!$B$8))),"")</f>
        <v/>
      </c>
      <c r="Z146" s="51">
        <f>IFERROR(IF(A146="","",R146*Y146),"")</f>
        <v/>
      </c>
      <c r="AA146" s="51">
        <f>IFERROR(IF(A146="","",Z146/H146),"")</f>
        <v/>
      </c>
      <c r="AB146" s="32" t="n"/>
      <c r="AC146" s="52" t="n"/>
      <c r="AD146" s="29">
        <f>IFERROR(IF(OR(A146="",AB146=""),"",AB146/H146),"")</f>
        <v/>
      </c>
      <c r="AE146" s="51">
        <f>IFERROR(IF(OR(A146="",AB146="",AC146=""),"",AB146*AC146),"")</f>
        <v/>
      </c>
      <c r="AF146" s="28">
        <f>IFERROR(IF(OR(A146="",AB146=""),"",AB146-R146),"")</f>
        <v/>
      </c>
      <c r="AG146" s="29">
        <f>IFERROR(IF(OR(A146="",AB146=""),"",IF(AD146-T146&lt;0,T146-AD146,AD146-T146)),"")</f>
        <v/>
      </c>
      <c r="AH146" s="51">
        <f>IFERROR(IF(OR(A146="",AE146=""),"",AE146-Z146),"")</f>
        <v/>
      </c>
      <c r="AI146" s="25">
        <f>IFERROR(IF(A146="","",IF(G146&gt;F146,"Check out-of-order rooms",IF(K146&gt;H146,"On the books exceeds sellable rooms",IF(R146&gt;H146,"Forecast exceeds sellable rooms",IF(AND(A146&lt;TODAY(),AB146=""),"Actual results missing","OK"))))),"")</f>
        <v/>
      </c>
    </row>
    <row r="147">
      <c r="A147" s="24" t="n"/>
      <c r="B147" s="25">
        <f>IFERROR(IF(A147="","",VLOOKUP(MOD(A147,7),'Assumptions'!$E$16:$F$22,2,0)),"")</f>
        <v/>
      </c>
      <c r="C147" s="25">
        <f>IFERROR(IF(A147="","",IF(A147&lt;TODAY(),"Past",IF(A147=TODAY(),"Today","Future"))),"")</f>
        <v/>
      </c>
      <c r="D147" s="26" t="n"/>
      <c r="E147" s="26" t="n"/>
      <c r="F147" s="27" t="n"/>
      <c r="G147" s="27" t="n"/>
      <c r="H147" s="28">
        <f>IFERROR(IF(A147="","",MAX(0,F147-G147)),"")</f>
        <v/>
      </c>
      <c r="I147" s="27" t="n"/>
      <c r="J147" s="27" t="n"/>
      <c r="K147" s="28">
        <f>IFERROR(IF(A147="","",I147+J147),"")</f>
        <v/>
      </c>
      <c r="L147" s="29">
        <f>IFERROR(IF(A147="","",K147/H147),"")</f>
        <v/>
      </c>
      <c r="M147" s="29">
        <f>IFERROR(IF(A147="","",VLOOKUP(B147,'Assumptions'!$A$16:$B$22,2,0)),"")</f>
        <v/>
      </c>
      <c r="N147" s="27" t="n"/>
      <c r="O147" s="27" t="n"/>
      <c r="P147" s="27" t="n"/>
      <c r="Q147" s="28">
        <f>IFERROR(IF(A147="","",MIN(H147,MAX(0,K147,ROUND(H147*M147,0)+N147+O147))),"")</f>
        <v/>
      </c>
      <c r="R147" s="28">
        <f>IFERROR(IF(A147="","",MIN(H147,MAX(0,IF(P147="",Q147,P147)))),"")</f>
        <v/>
      </c>
      <c r="S147" s="28">
        <f>IFERROR(IF(A147="","",MAX(0,R147-K147)),"")</f>
        <v/>
      </c>
      <c r="T147" s="29">
        <f>IFERROR(IF(A147="","",R147/H147),"")</f>
        <v/>
      </c>
      <c r="U147" s="29">
        <f>IFERROR(IF(A147="","",'Assumptions'!$B$5),"")</f>
        <v/>
      </c>
      <c r="V147" s="29">
        <f>IFERROR(IF(A147="","",T147-U147),"")</f>
        <v/>
      </c>
      <c r="W147" s="50" t="n"/>
      <c r="X147" s="50" t="n"/>
      <c r="Y147" s="51">
        <f>IFERROR(IF(A147="","",IF(X147&lt;&gt;"",X147,IF(W147&lt;&gt;"",W147,'Assumptions'!$B$8))),"")</f>
        <v/>
      </c>
      <c r="Z147" s="51">
        <f>IFERROR(IF(A147="","",R147*Y147),"")</f>
        <v/>
      </c>
      <c r="AA147" s="51">
        <f>IFERROR(IF(A147="","",Z147/H147),"")</f>
        <v/>
      </c>
      <c r="AB147" s="32" t="n"/>
      <c r="AC147" s="52" t="n"/>
      <c r="AD147" s="29">
        <f>IFERROR(IF(OR(A147="",AB147=""),"",AB147/H147),"")</f>
        <v/>
      </c>
      <c r="AE147" s="51">
        <f>IFERROR(IF(OR(A147="",AB147="",AC147=""),"",AB147*AC147),"")</f>
        <v/>
      </c>
      <c r="AF147" s="28">
        <f>IFERROR(IF(OR(A147="",AB147=""),"",AB147-R147),"")</f>
        <v/>
      </c>
      <c r="AG147" s="29">
        <f>IFERROR(IF(OR(A147="",AB147=""),"",IF(AD147-T147&lt;0,T147-AD147,AD147-T147)),"")</f>
        <v/>
      </c>
      <c r="AH147" s="51">
        <f>IFERROR(IF(OR(A147="",AE147=""),"",AE147-Z147),"")</f>
        <v/>
      </c>
      <c r="AI147" s="25">
        <f>IFERROR(IF(A147="","",IF(G147&gt;F147,"Check out-of-order rooms",IF(K147&gt;H147,"On the books exceeds sellable rooms",IF(R147&gt;H147,"Forecast exceeds sellable rooms",IF(AND(A147&lt;TODAY(),AB147=""),"Actual results missing","OK"))))),"")</f>
        <v/>
      </c>
    </row>
    <row r="148">
      <c r="A148" s="24" t="n"/>
      <c r="B148" s="25">
        <f>IFERROR(IF(A148="","",VLOOKUP(MOD(A148,7),'Assumptions'!$E$16:$F$22,2,0)),"")</f>
        <v/>
      </c>
      <c r="C148" s="25">
        <f>IFERROR(IF(A148="","",IF(A148&lt;TODAY(),"Past",IF(A148=TODAY(),"Today","Future"))),"")</f>
        <v/>
      </c>
      <c r="D148" s="26" t="n"/>
      <c r="E148" s="26" t="n"/>
      <c r="F148" s="27" t="n"/>
      <c r="G148" s="27" t="n"/>
      <c r="H148" s="28">
        <f>IFERROR(IF(A148="","",MAX(0,F148-G148)),"")</f>
        <v/>
      </c>
      <c r="I148" s="27" t="n"/>
      <c r="J148" s="27" t="n"/>
      <c r="K148" s="28">
        <f>IFERROR(IF(A148="","",I148+J148),"")</f>
        <v/>
      </c>
      <c r="L148" s="29">
        <f>IFERROR(IF(A148="","",K148/H148),"")</f>
        <v/>
      </c>
      <c r="M148" s="29">
        <f>IFERROR(IF(A148="","",VLOOKUP(B148,'Assumptions'!$A$16:$B$22,2,0)),"")</f>
        <v/>
      </c>
      <c r="N148" s="27" t="n"/>
      <c r="O148" s="27" t="n"/>
      <c r="P148" s="27" t="n"/>
      <c r="Q148" s="28">
        <f>IFERROR(IF(A148="","",MIN(H148,MAX(0,K148,ROUND(H148*M148,0)+N148+O148))),"")</f>
        <v/>
      </c>
      <c r="R148" s="28">
        <f>IFERROR(IF(A148="","",MIN(H148,MAX(0,IF(P148="",Q148,P148)))),"")</f>
        <v/>
      </c>
      <c r="S148" s="28">
        <f>IFERROR(IF(A148="","",MAX(0,R148-K148)),"")</f>
        <v/>
      </c>
      <c r="T148" s="29">
        <f>IFERROR(IF(A148="","",R148/H148),"")</f>
        <v/>
      </c>
      <c r="U148" s="29">
        <f>IFERROR(IF(A148="","",'Assumptions'!$B$5),"")</f>
        <v/>
      </c>
      <c r="V148" s="29">
        <f>IFERROR(IF(A148="","",T148-U148),"")</f>
        <v/>
      </c>
      <c r="W148" s="50" t="n"/>
      <c r="X148" s="50" t="n"/>
      <c r="Y148" s="51">
        <f>IFERROR(IF(A148="","",IF(X148&lt;&gt;"",X148,IF(W148&lt;&gt;"",W148,'Assumptions'!$B$8))),"")</f>
        <v/>
      </c>
      <c r="Z148" s="51">
        <f>IFERROR(IF(A148="","",R148*Y148),"")</f>
        <v/>
      </c>
      <c r="AA148" s="51">
        <f>IFERROR(IF(A148="","",Z148/H148),"")</f>
        <v/>
      </c>
      <c r="AB148" s="32" t="n"/>
      <c r="AC148" s="52" t="n"/>
      <c r="AD148" s="29">
        <f>IFERROR(IF(OR(A148="",AB148=""),"",AB148/H148),"")</f>
        <v/>
      </c>
      <c r="AE148" s="51">
        <f>IFERROR(IF(OR(A148="",AB148="",AC148=""),"",AB148*AC148),"")</f>
        <v/>
      </c>
      <c r="AF148" s="28">
        <f>IFERROR(IF(OR(A148="",AB148=""),"",AB148-R148),"")</f>
        <v/>
      </c>
      <c r="AG148" s="29">
        <f>IFERROR(IF(OR(A148="",AB148=""),"",IF(AD148-T148&lt;0,T148-AD148,AD148-T148)),"")</f>
        <v/>
      </c>
      <c r="AH148" s="51">
        <f>IFERROR(IF(OR(A148="",AE148=""),"",AE148-Z148),"")</f>
        <v/>
      </c>
      <c r="AI148" s="25">
        <f>IFERROR(IF(A148="","",IF(G148&gt;F148,"Check out-of-order rooms",IF(K148&gt;H148,"On the books exceeds sellable rooms",IF(R148&gt;H148,"Forecast exceeds sellable rooms",IF(AND(A148&lt;TODAY(),AB148=""),"Actual results missing","OK"))))),"")</f>
        <v/>
      </c>
    </row>
    <row r="149">
      <c r="A149" s="24" t="n"/>
      <c r="B149" s="25">
        <f>IFERROR(IF(A149="","",VLOOKUP(MOD(A149,7),'Assumptions'!$E$16:$F$22,2,0)),"")</f>
        <v/>
      </c>
      <c r="C149" s="25">
        <f>IFERROR(IF(A149="","",IF(A149&lt;TODAY(),"Past",IF(A149=TODAY(),"Today","Future"))),"")</f>
        <v/>
      </c>
      <c r="D149" s="26" t="n"/>
      <c r="E149" s="26" t="n"/>
      <c r="F149" s="27" t="n"/>
      <c r="G149" s="27" t="n"/>
      <c r="H149" s="28">
        <f>IFERROR(IF(A149="","",MAX(0,F149-G149)),"")</f>
        <v/>
      </c>
      <c r="I149" s="27" t="n"/>
      <c r="J149" s="27" t="n"/>
      <c r="K149" s="28">
        <f>IFERROR(IF(A149="","",I149+J149),"")</f>
        <v/>
      </c>
      <c r="L149" s="29">
        <f>IFERROR(IF(A149="","",K149/H149),"")</f>
        <v/>
      </c>
      <c r="M149" s="29">
        <f>IFERROR(IF(A149="","",VLOOKUP(B149,'Assumptions'!$A$16:$B$22,2,0)),"")</f>
        <v/>
      </c>
      <c r="N149" s="27" t="n"/>
      <c r="O149" s="27" t="n"/>
      <c r="P149" s="27" t="n"/>
      <c r="Q149" s="28">
        <f>IFERROR(IF(A149="","",MIN(H149,MAX(0,K149,ROUND(H149*M149,0)+N149+O149))),"")</f>
        <v/>
      </c>
      <c r="R149" s="28">
        <f>IFERROR(IF(A149="","",MIN(H149,MAX(0,IF(P149="",Q149,P149)))),"")</f>
        <v/>
      </c>
      <c r="S149" s="28">
        <f>IFERROR(IF(A149="","",MAX(0,R149-K149)),"")</f>
        <v/>
      </c>
      <c r="T149" s="29">
        <f>IFERROR(IF(A149="","",R149/H149),"")</f>
        <v/>
      </c>
      <c r="U149" s="29">
        <f>IFERROR(IF(A149="","",'Assumptions'!$B$5),"")</f>
        <v/>
      </c>
      <c r="V149" s="29">
        <f>IFERROR(IF(A149="","",T149-U149),"")</f>
        <v/>
      </c>
      <c r="W149" s="50" t="n"/>
      <c r="X149" s="50" t="n"/>
      <c r="Y149" s="51">
        <f>IFERROR(IF(A149="","",IF(X149&lt;&gt;"",X149,IF(W149&lt;&gt;"",W149,'Assumptions'!$B$8))),"")</f>
        <v/>
      </c>
      <c r="Z149" s="51">
        <f>IFERROR(IF(A149="","",R149*Y149),"")</f>
        <v/>
      </c>
      <c r="AA149" s="51">
        <f>IFERROR(IF(A149="","",Z149/H149),"")</f>
        <v/>
      </c>
      <c r="AB149" s="32" t="n"/>
      <c r="AC149" s="52" t="n"/>
      <c r="AD149" s="29">
        <f>IFERROR(IF(OR(A149="",AB149=""),"",AB149/H149),"")</f>
        <v/>
      </c>
      <c r="AE149" s="51">
        <f>IFERROR(IF(OR(A149="",AB149="",AC149=""),"",AB149*AC149),"")</f>
        <v/>
      </c>
      <c r="AF149" s="28">
        <f>IFERROR(IF(OR(A149="",AB149=""),"",AB149-R149),"")</f>
        <v/>
      </c>
      <c r="AG149" s="29">
        <f>IFERROR(IF(OR(A149="",AB149=""),"",IF(AD149-T149&lt;0,T149-AD149,AD149-T149)),"")</f>
        <v/>
      </c>
      <c r="AH149" s="51">
        <f>IFERROR(IF(OR(A149="",AE149=""),"",AE149-Z149),"")</f>
        <v/>
      </c>
      <c r="AI149" s="25">
        <f>IFERROR(IF(A149="","",IF(G149&gt;F149,"Check out-of-order rooms",IF(K149&gt;H149,"On the books exceeds sellable rooms",IF(R149&gt;H149,"Forecast exceeds sellable rooms",IF(AND(A149&lt;TODAY(),AB149=""),"Actual results missing","OK"))))),"")</f>
        <v/>
      </c>
    </row>
    <row r="150">
      <c r="A150" s="24" t="n"/>
      <c r="B150" s="25">
        <f>IFERROR(IF(A150="","",VLOOKUP(MOD(A150,7),'Assumptions'!$E$16:$F$22,2,0)),"")</f>
        <v/>
      </c>
      <c r="C150" s="25">
        <f>IFERROR(IF(A150="","",IF(A150&lt;TODAY(),"Past",IF(A150=TODAY(),"Today","Future"))),"")</f>
        <v/>
      </c>
      <c r="D150" s="26" t="n"/>
      <c r="E150" s="26" t="n"/>
      <c r="F150" s="27" t="n"/>
      <c r="G150" s="27" t="n"/>
      <c r="H150" s="28">
        <f>IFERROR(IF(A150="","",MAX(0,F150-G150)),"")</f>
        <v/>
      </c>
      <c r="I150" s="27" t="n"/>
      <c r="J150" s="27" t="n"/>
      <c r="K150" s="28">
        <f>IFERROR(IF(A150="","",I150+J150),"")</f>
        <v/>
      </c>
      <c r="L150" s="29">
        <f>IFERROR(IF(A150="","",K150/H150),"")</f>
        <v/>
      </c>
      <c r="M150" s="29">
        <f>IFERROR(IF(A150="","",VLOOKUP(B150,'Assumptions'!$A$16:$B$22,2,0)),"")</f>
        <v/>
      </c>
      <c r="N150" s="27" t="n"/>
      <c r="O150" s="27" t="n"/>
      <c r="P150" s="27" t="n"/>
      <c r="Q150" s="28">
        <f>IFERROR(IF(A150="","",MIN(H150,MAX(0,K150,ROUND(H150*M150,0)+N150+O150))),"")</f>
        <v/>
      </c>
      <c r="R150" s="28">
        <f>IFERROR(IF(A150="","",MIN(H150,MAX(0,IF(P150="",Q150,P150)))),"")</f>
        <v/>
      </c>
      <c r="S150" s="28">
        <f>IFERROR(IF(A150="","",MAX(0,R150-K150)),"")</f>
        <v/>
      </c>
      <c r="T150" s="29">
        <f>IFERROR(IF(A150="","",R150/H150),"")</f>
        <v/>
      </c>
      <c r="U150" s="29">
        <f>IFERROR(IF(A150="","",'Assumptions'!$B$5),"")</f>
        <v/>
      </c>
      <c r="V150" s="29">
        <f>IFERROR(IF(A150="","",T150-U150),"")</f>
        <v/>
      </c>
      <c r="W150" s="50" t="n"/>
      <c r="X150" s="50" t="n"/>
      <c r="Y150" s="51">
        <f>IFERROR(IF(A150="","",IF(X150&lt;&gt;"",X150,IF(W150&lt;&gt;"",W150,'Assumptions'!$B$8))),"")</f>
        <v/>
      </c>
      <c r="Z150" s="51">
        <f>IFERROR(IF(A150="","",R150*Y150),"")</f>
        <v/>
      </c>
      <c r="AA150" s="51">
        <f>IFERROR(IF(A150="","",Z150/H150),"")</f>
        <v/>
      </c>
      <c r="AB150" s="32" t="n"/>
      <c r="AC150" s="52" t="n"/>
      <c r="AD150" s="29">
        <f>IFERROR(IF(OR(A150="",AB150=""),"",AB150/H150),"")</f>
        <v/>
      </c>
      <c r="AE150" s="51">
        <f>IFERROR(IF(OR(A150="",AB150="",AC150=""),"",AB150*AC150),"")</f>
        <v/>
      </c>
      <c r="AF150" s="28">
        <f>IFERROR(IF(OR(A150="",AB150=""),"",AB150-R150),"")</f>
        <v/>
      </c>
      <c r="AG150" s="29">
        <f>IFERROR(IF(OR(A150="",AB150=""),"",IF(AD150-T150&lt;0,T150-AD150,AD150-T150)),"")</f>
        <v/>
      </c>
      <c r="AH150" s="51">
        <f>IFERROR(IF(OR(A150="",AE150=""),"",AE150-Z150),"")</f>
        <v/>
      </c>
      <c r="AI150" s="25">
        <f>IFERROR(IF(A150="","",IF(G150&gt;F150,"Check out-of-order rooms",IF(K150&gt;H150,"On the books exceeds sellable rooms",IF(R150&gt;H150,"Forecast exceeds sellable rooms",IF(AND(A150&lt;TODAY(),AB150=""),"Actual results missing","OK"))))),"")</f>
        <v/>
      </c>
    </row>
    <row r="151">
      <c r="A151" s="24" t="n"/>
      <c r="B151" s="25">
        <f>IFERROR(IF(A151="","",VLOOKUP(MOD(A151,7),'Assumptions'!$E$16:$F$22,2,0)),"")</f>
        <v/>
      </c>
      <c r="C151" s="25">
        <f>IFERROR(IF(A151="","",IF(A151&lt;TODAY(),"Past",IF(A151=TODAY(),"Today","Future"))),"")</f>
        <v/>
      </c>
      <c r="D151" s="26" t="n"/>
      <c r="E151" s="26" t="n"/>
      <c r="F151" s="27" t="n"/>
      <c r="G151" s="27" t="n"/>
      <c r="H151" s="28">
        <f>IFERROR(IF(A151="","",MAX(0,F151-G151)),"")</f>
        <v/>
      </c>
      <c r="I151" s="27" t="n"/>
      <c r="J151" s="27" t="n"/>
      <c r="K151" s="28">
        <f>IFERROR(IF(A151="","",I151+J151),"")</f>
        <v/>
      </c>
      <c r="L151" s="29">
        <f>IFERROR(IF(A151="","",K151/H151),"")</f>
        <v/>
      </c>
      <c r="M151" s="29">
        <f>IFERROR(IF(A151="","",VLOOKUP(B151,'Assumptions'!$A$16:$B$22,2,0)),"")</f>
        <v/>
      </c>
      <c r="N151" s="27" t="n"/>
      <c r="O151" s="27" t="n"/>
      <c r="P151" s="27" t="n"/>
      <c r="Q151" s="28">
        <f>IFERROR(IF(A151="","",MIN(H151,MAX(0,K151,ROUND(H151*M151,0)+N151+O151))),"")</f>
        <v/>
      </c>
      <c r="R151" s="28">
        <f>IFERROR(IF(A151="","",MIN(H151,MAX(0,IF(P151="",Q151,P151)))),"")</f>
        <v/>
      </c>
      <c r="S151" s="28">
        <f>IFERROR(IF(A151="","",MAX(0,R151-K151)),"")</f>
        <v/>
      </c>
      <c r="T151" s="29">
        <f>IFERROR(IF(A151="","",R151/H151),"")</f>
        <v/>
      </c>
      <c r="U151" s="29">
        <f>IFERROR(IF(A151="","",'Assumptions'!$B$5),"")</f>
        <v/>
      </c>
      <c r="V151" s="29">
        <f>IFERROR(IF(A151="","",T151-U151),"")</f>
        <v/>
      </c>
      <c r="W151" s="50" t="n"/>
      <c r="X151" s="50" t="n"/>
      <c r="Y151" s="51">
        <f>IFERROR(IF(A151="","",IF(X151&lt;&gt;"",X151,IF(W151&lt;&gt;"",W151,'Assumptions'!$B$8))),"")</f>
        <v/>
      </c>
      <c r="Z151" s="51">
        <f>IFERROR(IF(A151="","",R151*Y151),"")</f>
        <v/>
      </c>
      <c r="AA151" s="51">
        <f>IFERROR(IF(A151="","",Z151/H151),"")</f>
        <v/>
      </c>
      <c r="AB151" s="32" t="n"/>
      <c r="AC151" s="52" t="n"/>
      <c r="AD151" s="29">
        <f>IFERROR(IF(OR(A151="",AB151=""),"",AB151/H151),"")</f>
        <v/>
      </c>
      <c r="AE151" s="51">
        <f>IFERROR(IF(OR(A151="",AB151="",AC151=""),"",AB151*AC151),"")</f>
        <v/>
      </c>
      <c r="AF151" s="28">
        <f>IFERROR(IF(OR(A151="",AB151=""),"",AB151-R151),"")</f>
        <v/>
      </c>
      <c r="AG151" s="29">
        <f>IFERROR(IF(OR(A151="",AB151=""),"",IF(AD151-T151&lt;0,T151-AD151,AD151-T151)),"")</f>
        <v/>
      </c>
      <c r="AH151" s="51">
        <f>IFERROR(IF(OR(A151="",AE151=""),"",AE151-Z151),"")</f>
        <v/>
      </c>
      <c r="AI151" s="25">
        <f>IFERROR(IF(A151="","",IF(G151&gt;F151,"Check out-of-order rooms",IF(K151&gt;H151,"On the books exceeds sellable rooms",IF(R151&gt;H151,"Forecast exceeds sellable rooms",IF(AND(A151&lt;TODAY(),AB151=""),"Actual results missing","OK"))))),"")</f>
        <v/>
      </c>
    </row>
    <row r="152">
      <c r="A152" s="24" t="n"/>
      <c r="B152" s="25">
        <f>IFERROR(IF(A152="","",VLOOKUP(MOD(A152,7),'Assumptions'!$E$16:$F$22,2,0)),"")</f>
        <v/>
      </c>
      <c r="C152" s="25">
        <f>IFERROR(IF(A152="","",IF(A152&lt;TODAY(),"Past",IF(A152=TODAY(),"Today","Future"))),"")</f>
        <v/>
      </c>
      <c r="D152" s="26" t="n"/>
      <c r="E152" s="26" t="n"/>
      <c r="F152" s="27" t="n"/>
      <c r="G152" s="27" t="n"/>
      <c r="H152" s="28">
        <f>IFERROR(IF(A152="","",MAX(0,F152-G152)),"")</f>
        <v/>
      </c>
      <c r="I152" s="27" t="n"/>
      <c r="J152" s="27" t="n"/>
      <c r="K152" s="28">
        <f>IFERROR(IF(A152="","",I152+J152),"")</f>
        <v/>
      </c>
      <c r="L152" s="29">
        <f>IFERROR(IF(A152="","",K152/H152),"")</f>
        <v/>
      </c>
      <c r="M152" s="29">
        <f>IFERROR(IF(A152="","",VLOOKUP(B152,'Assumptions'!$A$16:$B$22,2,0)),"")</f>
        <v/>
      </c>
      <c r="N152" s="27" t="n"/>
      <c r="O152" s="27" t="n"/>
      <c r="P152" s="27" t="n"/>
      <c r="Q152" s="28">
        <f>IFERROR(IF(A152="","",MIN(H152,MAX(0,K152,ROUND(H152*M152,0)+N152+O152))),"")</f>
        <v/>
      </c>
      <c r="R152" s="28">
        <f>IFERROR(IF(A152="","",MIN(H152,MAX(0,IF(P152="",Q152,P152)))),"")</f>
        <v/>
      </c>
      <c r="S152" s="28">
        <f>IFERROR(IF(A152="","",MAX(0,R152-K152)),"")</f>
        <v/>
      </c>
      <c r="T152" s="29">
        <f>IFERROR(IF(A152="","",R152/H152),"")</f>
        <v/>
      </c>
      <c r="U152" s="29">
        <f>IFERROR(IF(A152="","",'Assumptions'!$B$5),"")</f>
        <v/>
      </c>
      <c r="V152" s="29">
        <f>IFERROR(IF(A152="","",T152-U152),"")</f>
        <v/>
      </c>
      <c r="W152" s="50" t="n"/>
      <c r="X152" s="50" t="n"/>
      <c r="Y152" s="51">
        <f>IFERROR(IF(A152="","",IF(X152&lt;&gt;"",X152,IF(W152&lt;&gt;"",W152,'Assumptions'!$B$8))),"")</f>
        <v/>
      </c>
      <c r="Z152" s="51">
        <f>IFERROR(IF(A152="","",R152*Y152),"")</f>
        <v/>
      </c>
      <c r="AA152" s="51">
        <f>IFERROR(IF(A152="","",Z152/H152),"")</f>
        <v/>
      </c>
      <c r="AB152" s="32" t="n"/>
      <c r="AC152" s="52" t="n"/>
      <c r="AD152" s="29">
        <f>IFERROR(IF(OR(A152="",AB152=""),"",AB152/H152),"")</f>
        <v/>
      </c>
      <c r="AE152" s="51">
        <f>IFERROR(IF(OR(A152="",AB152="",AC152=""),"",AB152*AC152),"")</f>
        <v/>
      </c>
      <c r="AF152" s="28">
        <f>IFERROR(IF(OR(A152="",AB152=""),"",AB152-R152),"")</f>
        <v/>
      </c>
      <c r="AG152" s="29">
        <f>IFERROR(IF(OR(A152="",AB152=""),"",IF(AD152-T152&lt;0,T152-AD152,AD152-T152)),"")</f>
        <v/>
      </c>
      <c r="AH152" s="51">
        <f>IFERROR(IF(OR(A152="",AE152=""),"",AE152-Z152),"")</f>
        <v/>
      </c>
      <c r="AI152" s="25">
        <f>IFERROR(IF(A152="","",IF(G152&gt;F152,"Check out-of-order rooms",IF(K152&gt;H152,"On the books exceeds sellable rooms",IF(R152&gt;H152,"Forecast exceeds sellable rooms",IF(AND(A152&lt;TODAY(),AB152=""),"Actual results missing","OK"))))),"")</f>
        <v/>
      </c>
    </row>
    <row r="153">
      <c r="A153" s="24" t="n"/>
      <c r="B153" s="25">
        <f>IFERROR(IF(A153="","",VLOOKUP(MOD(A153,7),'Assumptions'!$E$16:$F$22,2,0)),"")</f>
        <v/>
      </c>
      <c r="C153" s="25">
        <f>IFERROR(IF(A153="","",IF(A153&lt;TODAY(),"Past",IF(A153=TODAY(),"Today","Future"))),"")</f>
        <v/>
      </c>
      <c r="D153" s="26" t="n"/>
      <c r="E153" s="26" t="n"/>
      <c r="F153" s="27" t="n"/>
      <c r="G153" s="27" t="n"/>
      <c r="H153" s="28">
        <f>IFERROR(IF(A153="","",MAX(0,F153-G153)),"")</f>
        <v/>
      </c>
      <c r="I153" s="27" t="n"/>
      <c r="J153" s="27" t="n"/>
      <c r="K153" s="28">
        <f>IFERROR(IF(A153="","",I153+J153),"")</f>
        <v/>
      </c>
      <c r="L153" s="29">
        <f>IFERROR(IF(A153="","",K153/H153),"")</f>
        <v/>
      </c>
      <c r="M153" s="29">
        <f>IFERROR(IF(A153="","",VLOOKUP(B153,'Assumptions'!$A$16:$B$22,2,0)),"")</f>
        <v/>
      </c>
      <c r="N153" s="27" t="n"/>
      <c r="O153" s="27" t="n"/>
      <c r="P153" s="27" t="n"/>
      <c r="Q153" s="28">
        <f>IFERROR(IF(A153="","",MIN(H153,MAX(0,K153,ROUND(H153*M153,0)+N153+O153))),"")</f>
        <v/>
      </c>
      <c r="R153" s="28">
        <f>IFERROR(IF(A153="","",MIN(H153,MAX(0,IF(P153="",Q153,P153)))),"")</f>
        <v/>
      </c>
      <c r="S153" s="28">
        <f>IFERROR(IF(A153="","",MAX(0,R153-K153)),"")</f>
        <v/>
      </c>
      <c r="T153" s="29">
        <f>IFERROR(IF(A153="","",R153/H153),"")</f>
        <v/>
      </c>
      <c r="U153" s="29">
        <f>IFERROR(IF(A153="","",'Assumptions'!$B$5),"")</f>
        <v/>
      </c>
      <c r="V153" s="29">
        <f>IFERROR(IF(A153="","",T153-U153),"")</f>
        <v/>
      </c>
      <c r="W153" s="50" t="n"/>
      <c r="X153" s="50" t="n"/>
      <c r="Y153" s="51">
        <f>IFERROR(IF(A153="","",IF(X153&lt;&gt;"",X153,IF(W153&lt;&gt;"",W153,'Assumptions'!$B$8))),"")</f>
        <v/>
      </c>
      <c r="Z153" s="51">
        <f>IFERROR(IF(A153="","",R153*Y153),"")</f>
        <v/>
      </c>
      <c r="AA153" s="51">
        <f>IFERROR(IF(A153="","",Z153/H153),"")</f>
        <v/>
      </c>
      <c r="AB153" s="32" t="n"/>
      <c r="AC153" s="52" t="n"/>
      <c r="AD153" s="29">
        <f>IFERROR(IF(OR(A153="",AB153=""),"",AB153/H153),"")</f>
        <v/>
      </c>
      <c r="AE153" s="51">
        <f>IFERROR(IF(OR(A153="",AB153="",AC153=""),"",AB153*AC153),"")</f>
        <v/>
      </c>
      <c r="AF153" s="28">
        <f>IFERROR(IF(OR(A153="",AB153=""),"",AB153-R153),"")</f>
        <v/>
      </c>
      <c r="AG153" s="29">
        <f>IFERROR(IF(OR(A153="",AB153=""),"",IF(AD153-T153&lt;0,T153-AD153,AD153-T153)),"")</f>
        <v/>
      </c>
      <c r="AH153" s="51">
        <f>IFERROR(IF(OR(A153="",AE153=""),"",AE153-Z153),"")</f>
        <v/>
      </c>
      <c r="AI153" s="25">
        <f>IFERROR(IF(A153="","",IF(G153&gt;F153,"Check out-of-order rooms",IF(K153&gt;H153,"On the books exceeds sellable rooms",IF(R153&gt;H153,"Forecast exceeds sellable rooms",IF(AND(A153&lt;TODAY(),AB153=""),"Actual results missing","OK"))))),"")</f>
        <v/>
      </c>
    </row>
    <row r="154">
      <c r="A154" s="24" t="n"/>
      <c r="B154" s="25">
        <f>IFERROR(IF(A154="","",VLOOKUP(MOD(A154,7),'Assumptions'!$E$16:$F$22,2,0)),"")</f>
        <v/>
      </c>
      <c r="C154" s="25">
        <f>IFERROR(IF(A154="","",IF(A154&lt;TODAY(),"Past",IF(A154=TODAY(),"Today","Future"))),"")</f>
        <v/>
      </c>
      <c r="D154" s="26" t="n"/>
      <c r="E154" s="26" t="n"/>
      <c r="F154" s="27" t="n"/>
      <c r="G154" s="27" t="n"/>
      <c r="H154" s="28">
        <f>IFERROR(IF(A154="","",MAX(0,F154-G154)),"")</f>
        <v/>
      </c>
      <c r="I154" s="27" t="n"/>
      <c r="J154" s="27" t="n"/>
      <c r="K154" s="28">
        <f>IFERROR(IF(A154="","",I154+J154),"")</f>
        <v/>
      </c>
      <c r="L154" s="29">
        <f>IFERROR(IF(A154="","",K154/H154),"")</f>
        <v/>
      </c>
      <c r="M154" s="29">
        <f>IFERROR(IF(A154="","",VLOOKUP(B154,'Assumptions'!$A$16:$B$22,2,0)),"")</f>
        <v/>
      </c>
      <c r="N154" s="27" t="n"/>
      <c r="O154" s="27" t="n"/>
      <c r="P154" s="27" t="n"/>
      <c r="Q154" s="28">
        <f>IFERROR(IF(A154="","",MIN(H154,MAX(0,K154,ROUND(H154*M154,0)+N154+O154))),"")</f>
        <v/>
      </c>
      <c r="R154" s="28">
        <f>IFERROR(IF(A154="","",MIN(H154,MAX(0,IF(P154="",Q154,P154)))),"")</f>
        <v/>
      </c>
      <c r="S154" s="28">
        <f>IFERROR(IF(A154="","",MAX(0,R154-K154)),"")</f>
        <v/>
      </c>
      <c r="T154" s="29">
        <f>IFERROR(IF(A154="","",R154/H154),"")</f>
        <v/>
      </c>
      <c r="U154" s="29">
        <f>IFERROR(IF(A154="","",'Assumptions'!$B$5),"")</f>
        <v/>
      </c>
      <c r="V154" s="29">
        <f>IFERROR(IF(A154="","",T154-U154),"")</f>
        <v/>
      </c>
      <c r="W154" s="50" t="n"/>
      <c r="X154" s="50" t="n"/>
      <c r="Y154" s="51">
        <f>IFERROR(IF(A154="","",IF(X154&lt;&gt;"",X154,IF(W154&lt;&gt;"",W154,'Assumptions'!$B$8))),"")</f>
        <v/>
      </c>
      <c r="Z154" s="51">
        <f>IFERROR(IF(A154="","",R154*Y154),"")</f>
        <v/>
      </c>
      <c r="AA154" s="51">
        <f>IFERROR(IF(A154="","",Z154/H154),"")</f>
        <v/>
      </c>
      <c r="AB154" s="32" t="n"/>
      <c r="AC154" s="52" t="n"/>
      <c r="AD154" s="29">
        <f>IFERROR(IF(OR(A154="",AB154=""),"",AB154/H154),"")</f>
        <v/>
      </c>
      <c r="AE154" s="51">
        <f>IFERROR(IF(OR(A154="",AB154="",AC154=""),"",AB154*AC154),"")</f>
        <v/>
      </c>
      <c r="AF154" s="28">
        <f>IFERROR(IF(OR(A154="",AB154=""),"",AB154-R154),"")</f>
        <v/>
      </c>
      <c r="AG154" s="29">
        <f>IFERROR(IF(OR(A154="",AB154=""),"",IF(AD154-T154&lt;0,T154-AD154,AD154-T154)),"")</f>
        <v/>
      </c>
      <c r="AH154" s="51">
        <f>IFERROR(IF(OR(A154="",AE154=""),"",AE154-Z154),"")</f>
        <v/>
      </c>
      <c r="AI154" s="25">
        <f>IFERROR(IF(A154="","",IF(G154&gt;F154,"Check out-of-order rooms",IF(K154&gt;H154,"On the books exceeds sellable rooms",IF(R154&gt;H154,"Forecast exceeds sellable rooms",IF(AND(A154&lt;TODAY(),AB154=""),"Actual results missing","OK"))))),"")</f>
        <v/>
      </c>
    </row>
    <row r="155">
      <c r="A155" s="24" t="n"/>
      <c r="B155" s="25">
        <f>IFERROR(IF(A155="","",VLOOKUP(MOD(A155,7),'Assumptions'!$E$16:$F$22,2,0)),"")</f>
        <v/>
      </c>
      <c r="C155" s="25">
        <f>IFERROR(IF(A155="","",IF(A155&lt;TODAY(),"Past",IF(A155=TODAY(),"Today","Future"))),"")</f>
        <v/>
      </c>
      <c r="D155" s="26" t="n"/>
      <c r="E155" s="26" t="n"/>
      <c r="F155" s="27" t="n"/>
      <c r="G155" s="27" t="n"/>
      <c r="H155" s="28">
        <f>IFERROR(IF(A155="","",MAX(0,F155-G155)),"")</f>
        <v/>
      </c>
      <c r="I155" s="27" t="n"/>
      <c r="J155" s="27" t="n"/>
      <c r="K155" s="28">
        <f>IFERROR(IF(A155="","",I155+J155),"")</f>
        <v/>
      </c>
      <c r="L155" s="29">
        <f>IFERROR(IF(A155="","",K155/H155),"")</f>
        <v/>
      </c>
      <c r="M155" s="29">
        <f>IFERROR(IF(A155="","",VLOOKUP(B155,'Assumptions'!$A$16:$B$22,2,0)),"")</f>
        <v/>
      </c>
      <c r="N155" s="27" t="n"/>
      <c r="O155" s="27" t="n"/>
      <c r="P155" s="27" t="n"/>
      <c r="Q155" s="28">
        <f>IFERROR(IF(A155="","",MIN(H155,MAX(0,K155,ROUND(H155*M155,0)+N155+O155))),"")</f>
        <v/>
      </c>
      <c r="R155" s="28">
        <f>IFERROR(IF(A155="","",MIN(H155,MAX(0,IF(P155="",Q155,P155)))),"")</f>
        <v/>
      </c>
      <c r="S155" s="28">
        <f>IFERROR(IF(A155="","",MAX(0,R155-K155)),"")</f>
        <v/>
      </c>
      <c r="T155" s="29">
        <f>IFERROR(IF(A155="","",R155/H155),"")</f>
        <v/>
      </c>
      <c r="U155" s="29">
        <f>IFERROR(IF(A155="","",'Assumptions'!$B$5),"")</f>
        <v/>
      </c>
      <c r="V155" s="29">
        <f>IFERROR(IF(A155="","",T155-U155),"")</f>
        <v/>
      </c>
      <c r="W155" s="50" t="n"/>
      <c r="X155" s="50" t="n"/>
      <c r="Y155" s="51">
        <f>IFERROR(IF(A155="","",IF(X155&lt;&gt;"",X155,IF(W155&lt;&gt;"",W155,'Assumptions'!$B$8))),"")</f>
        <v/>
      </c>
      <c r="Z155" s="51">
        <f>IFERROR(IF(A155="","",R155*Y155),"")</f>
        <v/>
      </c>
      <c r="AA155" s="51">
        <f>IFERROR(IF(A155="","",Z155/H155),"")</f>
        <v/>
      </c>
      <c r="AB155" s="32" t="n"/>
      <c r="AC155" s="52" t="n"/>
      <c r="AD155" s="29">
        <f>IFERROR(IF(OR(A155="",AB155=""),"",AB155/H155),"")</f>
        <v/>
      </c>
      <c r="AE155" s="51">
        <f>IFERROR(IF(OR(A155="",AB155="",AC155=""),"",AB155*AC155),"")</f>
        <v/>
      </c>
      <c r="AF155" s="28">
        <f>IFERROR(IF(OR(A155="",AB155=""),"",AB155-R155),"")</f>
        <v/>
      </c>
      <c r="AG155" s="29">
        <f>IFERROR(IF(OR(A155="",AB155=""),"",IF(AD155-T155&lt;0,T155-AD155,AD155-T155)),"")</f>
        <v/>
      </c>
      <c r="AH155" s="51">
        <f>IFERROR(IF(OR(A155="",AE155=""),"",AE155-Z155),"")</f>
        <v/>
      </c>
      <c r="AI155" s="25">
        <f>IFERROR(IF(A155="","",IF(G155&gt;F155,"Check out-of-order rooms",IF(K155&gt;H155,"On the books exceeds sellable rooms",IF(R155&gt;H155,"Forecast exceeds sellable rooms",IF(AND(A155&lt;TODAY(),AB155=""),"Actual results missing","OK"))))),"")</f>
        <v/>
      </c>
    </row>
    <row r="156">
      <c r="A156" s="24" t="n"/>
      <c r="B156" s="25">
        <f>IFERROR(IF(A156="","",VLOOKUP(MOD(A156,7),'Assumptions'!$E$16:$F$22,2,0)),"")</f>
        <v/>
      </c>
      <c r="C156" s="25">
        <f>IFERROR(IF(A156="","",IF(A156&lt;TODAY(),"Past",IF(A156=TODAY(),"Today","Future"))),"")</f>
        <v/>
      </c>
      <c r="D156" s="26" t="n"/>
      <c r="E156" s="26" t="n"/>
      <c r="F156" s="27" t="n"/>
      <c r="G156" s="27" t="n"/>
      <c r="H156" s="28">
        <f>IFERROR(IF(A156="","",MAX(0,F156-G156)),"")</f>
        <v/>
      </c>
      <c r="I156" s="27" t="n"/>
      <c r="J156" s="27" t="n"/>
      <c r="K156" s="28">
        <f>IFERROR(IF(A156="","",I156+J156),"")</f>
        <v/>
      </c>
      <c r="L156" s="29">
        <f>IFERROR(IF(A156="","",K156/H156),"")</f>
        <v/>
      </c>
      <c r="M156" s="29">
        <f>IFERROR(IF(A156="","",VLOOKUP(B156,'Assumptions'!$A$16:$B$22,2,0)),"")</f>
        <v/>
      </c>
      <c r="N156" s="27" t="n"/>
      <c r="O156" s="27" t="n"/>
      <c r="P156" s="27" t="n"/>
      <c r="Q156" s="28">
        <f>IFERROR(IF(A156="","",MIN(H156,MAX(0,K156,ROUND(H156*M156,0)+N156+O156))),"")</f>
        <v/>
      </c>
      <c r="R156" s="28">
        <f>IFERROR(IF(A156="","",MIN(H156,MAX(0,IF(P156="",Q156,P156)))),"")</f>
        <v/>
      </c>
      <c r="S156" s="28">
        <f>IFERROR(IF(A156="","",MAX(0,R156-K156)),"")</f>
        <v/>
      </c>
      <c r="T156" s="29">
        <f>IFERROR(IF(A156="","",R156/H156),"")</f>
        <v/>
      </c>
      <c r="U156" s="29">
        <f>IFERROR(IF(A156="","",'Assumptions'!$B$5),"")</f>
        <v/>
      </c>
      <c r="V156" s="29">
        <f>IFERROR(IF(A156="","",T156-U156),"")</f>
        <v/>
      </c>
      <c r="W156" s="50" t="n"/>
      <c r="X156" s="50" t="n"/>
      <c r="Y156" s="51">
        <f>IFERROR(IF(A156="","",IF(X156&lt;&gt;"",X156,IF(W156&lt;&gt;"",W156,'Assumptions'!$B$8))),"")</f>
        <v/>
      </c>
      <c r="Z156" s="51">
        <f>IFERROR(IF(A156="","",R156*Y156),"")</f>
        <v/>
      </c>
      <c r="AA156" s="51">
        <f>IFERROR(IF(A156="","",Z156/H156),"")</f>
        <v/>
      </c>
      <c r="AB156" s="32" t="n"/>
      <c r="AC156" s="52" t="n"/>
      <c r="AD156" s="29">
        <f>IFERROR(IF(OR(A156="",AB156=""),"",AB156/H156),"")</f>
        <v/>
      </c>
      <c r="AE156" s="51">
        <f>IFERROR(IF(OR(A156="",AB156="",AC156=""),"",AB156*AC156),"")</f>
        <v/>
      </c>
      <c r="AF156" s="28">
        <f>IFERROR(IF(OR(A156="",AB156=""),"",AB156-R156),"")</f>
        <v/>
      </c>
      <c r="AG156" s="29">
        <f>IFERROR(IF(OR(A156="",AB156=""),"",IF(AD156-T156&lt;0,T156-AD156,AD156-T156)),"")</f>
        <v/>
      </c>
      <c r="AH156" s="51">
        <f>IFERROR(IF(OR(A156="",AE156=""),"",AE156-Z156),"")</f>
        <v/>
      </c>
      <c r="AI156" s="25">
        <f>IFERROR(IF(A156="","",IF(G156&gt;F156,"Check out-of-order rooms",IF(K156&gt;H156,"On the books exceeds sellable rooms",IF(R156&gt;H156,"Forecast exceeds sellable rooms",IF(AND(A156&lt;TODAY(),AB156=""),"Actual results missing","OK"))))),"")</f>
        <v/>
      </c>
    </row>
    <row r="157">
      <c r="A157" s="24" t="n"/>
      <c r="B157" s="25">
        <f>IFERROR(IF(A157="","",VLOOKUP(MOD(A157,7),'Assumptions'!$E$16:$F$22,2,0)),"")</f>
        <v/>
      </c>
      <c r="C157" s="25">
        <f>IFERROR(IF(A157="","",IF(A157&lt;TODAY(),"Past",IF(A157=TODAY(),"Today","Future"))),"")</f>
        <v/>
      </c>
      <c r="D157" s="26" t="n"/>
      <c r="E157" s="26" t="n"/>
      <c r="F157" s="27" t="n"/>
      <c r="G157" s="27" t="n"/>
      <c r="H157" s="28">
        <f>IFERROR(IF(A157="","",MAX(0,F157-G157)),"")</f>
        <v/>
      </c>
      <c r="I157" s="27" t="n"/>
      <c r="J157" s="27" t="n"/>
      <c r="K157" s="28">
        <f>IFERROR(IF(A157="","",I157+J157),"")</f>
        <v/>
      </c>
      <c r="L157" s="29">
        <f>IFERROR(IF(A157="","",K157/H157),"")</f>
        <v/>
      </c>
      <c r="M157" s="29">
        <f>IFERROR(IF(A157="","",VLOOKUP(B157,'Assumptions'!$A$16:$B$22,2,0)),"")</f>
        <v/>
      </c>
      <c r="N157" s="27" t="n"/>
      <c r="O157" s="27" t="n"/>
      <c r="P157" s="27" t="n"/>
      <c r="Q157" s="28">
        <f>IFERROR(IF(A157="","",MIN(H157,MAX(0,K157,ROUND(H157*M157,0)+N157+O157))),"")</f>
        <v/>
      </c>
      <c r="R157" s="28">
        <f>IFERROR(IF(A157="","",MIN(H157,MAX(0,IF(P157="",Q157,P157)))),"")</f>
        <v/>
      </c>
      <c r="S157" s="28">
        <f>IFERROR(IF(A157="","",MAX(0,R157-K157)),"")</f>
        <v/>
      </c>
      <c r="T157" s="29">
        <f>IFERROR(IF(A157="","",R157/H157),"")</f>
        <v/>
      </c>
      <c r="U157" s="29">
        <f>IFERROR(IF(A157="","",'Assumptions'!$B$5),"")</f>
        <v/>
      </c>
      <c r="V157" s="29">
        <f>IFERROR(IF(A157="","",T157-U157),"")</f>
        <v/>
      </c>
      <c r="W157" s="50" t="n"/>
      <c r="X157" s="50" t="n"/>
      <c r="Y157" s="51">
        <f>IFERROR(IF(A157="","",IF(X157&lt;&gt;"",X157,IF(W157&lt;&gt;"",W157,'Assumptions'!$B$8))),"")</f>
        <v/>
      </c>
      <c r="Z157" s="51">
        <f>IFERROR(IF(A157="","",R157*Y157),"")</f>
        <v/>
      </c>
      <c r="AA157" s="51">
        <f>IFERROR(IF(A157="","",Z157/H157),"")</f>
        <v/>
      </c>
      <c r="AB157" s="32" t="n"/>
      <c r="AC157" s="52" t="n"/>
      <c r="AD157" s="29">
        <f>IFERROR(IF(OR(A157="",AB157=""),"",AB157/H157),"")</f>
        <v/>
      </c>
      <c r="AE157" s="51">
        <f>IFERROR(IF(OR(A157="",AB157="",AC157=""),"",AB157*AC157),"")</f>
        <v/>
      </c>
      <c r="AF157" s="28">
        <f>IFERROR(IF(OR(A157="",AB157=""),"",AB157-R157),"")</f>
        <v/>
      </c>
      <c r="AG157" s="29">
        <f>IFERROR(IF(OR(A157="",AB157=""),"",IF(AD157-T157&lt;0,T157-AD157,AD157-T157)),"")</f>
        <v/>
      </c>
      <c r="AH157" s="51">
        <f>IFERROR(IF(OR(A157="",AE157=""),"",AE157-Z157),"")</f>
        <v/>
      </c>
      <c r="AI157" s="25">
        <f>IFERROR(IF(A157="","",IF(G157&gt;F157,"Check out-of-order rooms",IF(K157&gt;H157,"On the books exceeds sellable rooms",IF(R157&gt;H157,"Forecast exceeds sellable rooms",IF(AND(A157&lt;TODAY(),AB157=""),"Actual results missing","OK"))))),"")</f>
        <v/>
      </c>
    </row>
    <row r="158">
      <c r="A158" s="24" t="n"/>
      <c r="B158" s="25">
        <f>IFERROR(IF(A158="","",VLOOKUP(MOD(A158,7),'Assumptions'!$E$16:$F$22,2,0)),"")</f>
        <v/>
      </c>
      <c r="C158" s="25">
        <f>IFERROR(IF(A158="","",IF(A158&lt;TODAY(),"Past",IF(A158=TODAY(),"Today","Future"))),"")</f>
        <v/>
      </c>
      <c r="D158" s="26" t="n"/>
      <c r="E158" s="26" t="n"/>
      <c r="F158" s="27" t="n"/>
      <c r="G158" s="27" t="n"/>
      <c r="H158" s="28">
        <f>IFERROR(IF(A158="","",MAX(0,F158-G158)),"")</f>
        <v/>
      </c>
      <c r="I158" s="27" t="n"/>
      <c r="J158" s="27" t="n"/>
      <c r="K158" s="28">
        <f>IFERROR(IF(A158="","",I158+J158),"")</f>
        <v/>
      </c>
      <c r="L158" s="29">
        <f>IFERROR(IF(A158="","",K158/H158),"")</f>
        <v/>
      </c>
      <c r="M158" s="29">
        <f>IFERROR(IF(A158="","",VLOOKUP(B158,'Assumptions'!$A$16:$B$22,2,0)),"")</f>
        <v/>
      </c>
      <c r="N158" s="27" t="n"/>
      <c r="O158" s="27" t="n"/>
      <c r="P158" s="27" t="n"/>
      <c r="Q158" s="28">
        <f>IFERROR(IF(A158="","",MIN(H158,MAX(0,K158,ROUND(H158*M158,0)+N158+O158))),"")</f>
        <v/>
      </c>
      <c r="R158" s="28">
        <f>IFERROR(IF(A158="","",MIN(H158,MAX(0,IF(P158="",Q158,P158)))),"")</f>
        <v/>
      </c>
      <c r="S158" s="28">
        <f>IFERROR(IF(A158="","",MAX(0,R158-K158)),"")</f>
        <v/>
      </c>
      <c r="T158" s="29">
        <f>IFERROR(IF(A158="","",R158/H158),"")</f>
        <v/>
      </c>
      <c r="U158" s="29">
        <f>IFERROR(IF(A158="","",'Assumptions'!$B$5),"")</f>
        <v/>
      </c>
      <c r="V158" s="29">
        <f>IFERROR(IF(A158="","",T158-U158),"")</f>
        <v/>
      </c>
      <c r="W158" s="50" t="n"/>
      <c r="X158" s="50" t="n"/>
      <c r="Y158" s="51">
        <f>IFERROR(IF(A158="","",IF(X158&lt;&gt;"",X158,IF(W158&lt;&gt;"",W158,'Assumptions'!$B$8))),"")</f>
        <v/>
      </c>
      <c r="Z158" s="51">
        <f>IFERROR(IF(A158="","",R158*Y158),"")</f>
        <v/>
      </c>
      <c r="AA158" s="51">
        <f>IFERROR(IF(A158="","",Z158/H158),"")</f>
        <v/>
      </c>
      <c r="AB158" s="32" t="n"/>
      <c r="AC158" s="52" t="n"/>
      <c r="AD158" s="29">
        <f>IFERROR(IF(OR(A158="",AB158=""),"",AB158/H158),"")</f>
        <v/>
      </c>
      <c r="AE158" s="51">
        <f>IFERROR(IF(OR(A158="",AB158="",AC158=""),"",AB158*AC158),"")</f>
        <v/>
      </c>
      <c r="AF158" s="28">
        <f>IFERROR(IF(OR(A158="",AB158=""),"",AB158-R158),"")</f>
        <v/>
      </c>
      <c r="AG158" s="29">
        <f>IFERROR(IF(OR(A158="",AB158=""),"",IF(AD158-T158&lt;0,T158-AD158,AD158-T158)),"")</f>
        <v/>
      </c>
      <c r="AH158" s="51">
        <f>IFERROR(IF(OR(A158="",AE158=""),"",AE158-Z158),"")</f>
        <v/>
      </c>
      <c r="AI158" s="25">
        <f>IFERROR(IF(A158="","",IF(G158&gt;F158,"Check out-of-order rooms",IF(K158&gt;H158,"On the books exceeds sellable rooms",IF(R158&gt;H158,"Forecast exceeds sellable rooms",IF(AND(A158&lt;TODAY(),AB158=""),"Actual results missing","OK"))))),"")</f>
        <v/>
      </c>
    </row>
    <row r="159">
      <c r="A159" s="24" t="n"/>
      <c r="B159" s="25">
        <f>IFERROR(IF(A159="","",VLOOKUP(MOD(A159,7),'Assumptions'!$E$16:$F$22,2,0)),"")</f>
        <v/>
      </c>
      <c r="C159" s="25">
        <f>IFERROR(IF(A159="","",IF(A159&lt;TODAY(),"Past",IF(A159=TODAY(),"Today","Future"))),"")</f>
        <v/>
      </c>
      <c r="D159" s="26" t="n"/>
      <c r="E159" s="26" t="n"/>
      <c r="F159" s="27" t="n"/>
      <c r="G159" s="27" t="n"/>
      <c r="H159" s="28">
        <f>IFERROR(IF(A159="","",MAX(0,F159-G159)),"")</f>
        <v/>
      </c>
      <c r="I159" s="27" t="n"/>
      <c r="J159" s="27" t="n"/>
      <c r="K159" s="28">
        <f>IFERROR(IF(A159="","",I159+J159),"")</f>
        <v/>
      </c>
      <c r="L159" s="29">
        <f>IFERROR(IF(A159="","",K159/H159),"")</f>
        <v/>
      </c>
      <c r="M159" s="29">
        <f>IFERROR(IF(A159="","",VLOOKUP(B159,'Assumptions'!$A$16:$B$22,2,0)),"")</f>
        <v/>
      </c>
      <c r="N159" s="27" t="n"/>
      <c r="O159" s="27" t="n"/>
      <c r="P159" s="27" t="n"/>
      <c r="Q159" s="28">
        <f>IFERROR(IF(A159="","",MIN(H159,MAX(0,K159,ROUND(H159*M159,0)+N159+O159))),"")</f>
        <v/>
      </c>
      <c r="R159" s="28">
        <f>IFERROR(IF(A159="","",MIN(H159,MAX(0,IF(P159="",Q159,P159)))),"")</f>
        <v/>
      </c>
      <c r="S159" s="28">
        <f>IFERROR(IF(A159="","",MAX(0,R159-K159)),"")</f>
        <v/>
      </c>
      <c r="T159" s="29">
        <f>IFERROR(IF(A159="","",R159/H159),"")</f>
        <v/>
      </c>
      <c r="U159" s="29">
        <f>IFERROR(IF(A159="","",'Assumptions'!$B$5),"")</f>
        <v/>
      </c>
      <c r="V159" s="29">
        <f>IFERROR(IF(A159="","",T159-U159),"")</f>
        <v/>
      </c>
      <c r="W159" s="50" t="n"/>
      <c r="X159" s="50" t="n"/>
      <c r="Y159" s="51">
        <f>IFERROR(IF(A159="","",IF(X159&lt;&gt;"",X159,IF(W159&lt;&gt;"",W159,'Assumptions'!$B$8))),"")</f>
        <v/>
      </c>
      <c r="Z159" s="51">
        <f>IFERROR(IF(A159="","",R159*Y159),"")</f>
        <v/>
      </c>
      <c r="AA159" s="51">
        <f>IFERROR(IF(A159="","",Z159/H159),"")</f>
        <v/>
      </c>
      <c r="AB159" s="32" t="n"/>
      <c r="AC159" s="52" t="n"/>
      <c r="AD159" s="29">
        <f>IFERROR(IF(OR(A159="",AB159=""),"",AB159/H159),"")</f>
        <v/>
      </c>
      <c r="AE159" s="51">
        <f>IFERROR(IF(OR(A159="",AB159="",AC159=""),"",AB159*AC159),"")</f>
        <v/>
      </c>
      <c r="AF159" s="28">
        <f>IFERROR(IF(OR(A159="",AB159=""),"",AB159-R159),"")</f>
        <v/>
      </c>
      <c r="AG159" s="29">
        <f>IFERROR(IF(OR(A159="",AB159=""),"",IF(AD159-T159&lt;0,T159-AD159,AD159-T159)),"")</f>
        <v/>
      </c>
      <c r="AH159" s="51">
        <f>IFERROR(IF(OR(A159="",AE159=""),"",AE159-Z159),"")</f>
        <v/>
      </c>
      <c r="AI159" s="25">
        <f>IFERROR(IF(A159="","",IF(G159&gt;F159,"Check out-of-order rooms",IF(K159&gt;H159,"On the books exceeds sellable rooms",IF(R159&gt;H159,"Forecast exceeds sellable rooms",IF(AND(A159&lt;TODAY(),AB159=""),"Actual results missing","OK"))))),"")</f>
        <v/>
      </c>
    </row>
    <row r="160">
      <c r="A160" s="24" t="n"/>
      <c r="B160" s="25">
        <f>IFERROR(IF(A160="","",VLOOKUP(MOD(A160,7),'Assumptions'!$E$16:$F$22,2,0)),"")</f>
        <v/>
      </c>
      <c r="C160" s="25">
        <f>IFERROR(IF(A160="","",IF(A160&lt;TODAY(),"Past",IF(A160=TODAY(),"Today","Future"))),"")</f>
        <v/>
      </c>
      <c r="D160" s="26" t="n"/>
      <c r="E160" s="26" t="n"/>
      <c r="F160" s="27" t="n"/>
      <c r="G160" s="27" t="n"/>
      <c r="H160" s="28">
        <f>IFERROR(IF(A160="","",MAX(0,F160-G160)),"")</f>
        <v/>
      </c>
      <c r="I160" s="27" t="n"/>
      <c r="J160" s="27" t="n"/>
      <c r="K160" s="28">
        <f>IFERROR(IF(A160="","",I160+J160),"")</f>
        <v/>
      </c>
      <c r="L160" s="29">
        <f>IFERROR(IF(A160="","",K160/H160),"")</f>
        <v/>
      </c>
      <c r="M160" s="29">
        <f>IFERROR(IF(A160="","",VLOOKUP(B160,'Assumptions'!$A$16:$B$22,2,0)),"")</f>
        <v/>
      </c>
      <c r="N160" s="27" t="n"/>
      <c r="O160" s="27" t="n"/>
      <c r="P160" s="27" t="n"/>
      <c r="Q160" s="28">
        <f>IFERROR(IF(A160="","",MIN(H160,MAX(0,K160,ROUND(H160*M160,0)+N160+O160))),"")</f>
        <v/>
      </c>
      <c r="R160" s="28">
        <f>IFERROR(IF(A160="","",MIN(H160,MAX(0,IF(P160="",Q160,P160)))),"")</f>
        <v/>
      </c>
      <c r="S160" s="28">
        <f>IFERROR(IF(A160="","",MAX(0,R160-K160)),"")</f>
        <v/>
      </c>
      <c r="T160" s="29">
        <f>IFERROR(IF(A160="","",R160/H160),"")</f>
        <v/>
      </c>
      <c r="U160" s="29">
        <f>IFERROR(IF(A160="","",'Assumptions'!$B$5),"")</f>
        <v/>
      </c>
      <c r="V160" s="29">
        <f>IFERROR(IF(A160="","",T160-U160),"")</f>
        <v/>
      </c>
      <c r="W160" s="50" t="n"/>
      <c r="X160" s="50" t="n"/>
      <c r="Y160" s="51">
        <f>IFERROR(IF(A160="","",IF(X160&lt;&gt;"",X160,IF(W160&lt;&gt;"",W160,'Assumptions'!$B$8))),"")</f>
        <v/>
      </c>
      <c r="Z160" s="51">
        <f>IFERROR(IF(A160="","",R160*Y160),"")</f>
        <v/>
      </c>
      <c r="AA160" s="51">
        <f>IFERROR(IF(A160="","",Z160/H160),"")</f>
        <v/>
      </c>
      <c r="AB160" s="32" t="n"/>
      <c r="AC160" s="52" t="n"/>
      <c r="AD160" s="29">
        <f>IFERROR(IF(OR(A160="",AB160=""),"",AB160/H160),"")</f>
        <v/>
      </c>
      <c r="AE160" s="51">
        <f>IFERROR(IF(OR(A160="",AB160="",AC160=""),"",AB160*AC160),"")</f>
        <v/>
      </c>
      <c r="AF160" s="28">
        <f>IFERROR(IF(OR(A160="",AB160=""),"",AB160-R160),"")</f>
        <v/>
      </c>
      <c r="AG160" s="29">
        <f>IFERROR(IF(OR(A160="",AB160=""),"",IF(AD160-T160&lt;0,T160-AD160,AD160-T160)),"")</f>
        <v/>
      </c>
      <c r="AH160" s="51">
        <f>IFERROR(IF(OR(A160="",AE160=""),"",AE160-Z160),"")</f>
        <v/>
      </c>
      <c r="AI160" s="25">
        <f>IFERROR(IF(A160="","",IF(G160&gt;F160,"Check out-of-order rooms",IF(K160&gt;H160,"On the books exceeds sellable rooms",IF(R160&gt;H160,"Forecast exceeds sellable rooms",IF(AND(A160&lt;TODAY(),AB160=""),"Actual results missing","OK"))))),"")</f>
        <v/>
      </c>
    </row>
    <row r="161">
      <c r="A161" s="24" t="n"/>
      <c r="B161" s="25">
        <f>IFERROR(IF(A161="","",VLOOKUP(MOD(A161,7),'Assumptions'!$E$16:$F$22,2,0)),"")</f>
        <v/>
      </c>
      <c r="C161" s="25">
        <f>IFERROR(IF(A161="","",IF(A161&lt;TODAY(),"Past",IF(A161=TODAY(),"Today","Future"))),"")</f>
        <v/>
      </c>
      <c r="D161" s="26" t="n"/>
      <c r="E161" s="26" t="n"/>
      <c r="F161" s="27" t="n"/>
      <c r="G161" s="27" t="n"/>
      <c r="H161" s="28">
        <f>IFERROR(IF(A161="","",MAX(0,F161-G161)),"")</f>
        <v/>
      </c>
      <c r="I161" s="27" t="n"/>
      <c r="J161" s="27" t="n"/>
      <c r="K161" s="28">
        <f>IFERROR(IF(A161="","",I161+J161),"")</f>
        <v/>
      </c>
      <c r="L161" s="29">
        <f>IFERROR(IF(A161="","",K161/H161),"")</f>
        <v/>
      </c>
      <c r="M161" s="29">
        <f>IFERROR(IF(A161="","",VLOOKUP(B161,'Assumptions'!$A$16:$B$22,2,0)),"")</f>
        <v/>
      </c>
      <c r="N161" s="27" t="n"/>
      <c r="O161" s="27" t="n"/>
      <c r="P161" s="27" t="n"/>
      <c r="Q161" s="28">
        <f>IFERROR(IF(A161="","",MIN(H161,MAX(0,K161,ROUND(H161*M161,0)+N161+O161))),"")</f>
        <v/>
      </c>
      <c r="R161" s="28">
        <f>IFERROR(IF(A161="","",MIN(H161,MAX(0,IF(P161="",Q161,P161)))),"")</f>
        <v/>
      </c>
      <c r="S161" s="28">
        <f>IFERROR(IF(A161="","",MAX(0,R161-K161)),"")</f>
        <v/>
      </c>
      <c r="T161" s="29">
        <f>IFERROR(IF(A161="","",R161/H161),"")</f>
        <v/>
      </c>
      <c r="U161" s="29">
        <f>IFERROR(IF(A161="","",'Assumptions'!$B$5),"")</f>
        <v/>
      </c>
      <c r="V161" s="29">
        <f>IFERROR(IF(A161="","",T161-U161),"")</f>
        <v/>
      </c>
      <c r="W161" s="50" t="n"/>
      <c r="X161" s="50" t="n"/>
      <c r="Y161" s="51">
        <f>IFERROR(IF(A161="","",IF(X161&lt;&gt;"",X161,IF(W161&lt;&gt;"",W161,'Assumptions'!$B$8))),"")</f>
        <v/>
      </c>
      <c r="Z161" s="51">
        <f>IFERROR(IF(A161="","",R161*Y161),"")</f>
        <v/>
      </c>
      <c r="AA161" s="51">
        <f>IFERROR(IF(A161="","",Z161/H161),"")</f>
        <v/>
      </c>
      <c r="AB161" s="32" t="n"/>
      <c r="AC161" s="52" t="n"/>
      <c r="AD161" s="29">
        <f>IFERROR(IF(OR(A161="",AB161=""),"",AB161/H161),"")</f>
        <v/>
      </c>
      <c r="AE161" s="51">
        <f>IFERROR(IF(OR(A161="",AB161="",AC161=""),"",AB161*AC161),"")</f>
        <v/>
      </c>
      <c r="AF161" s="28">
        <f>IFERROR(IF(OR(A161="",AB161=""),"",AB161-R161),"")</f>
        <v/>
      </c>
      <c r="AG161" s="29">
        <f>IFERROR(IF(OR(A161="",AB161=""),"",IF(AD161-T161&lt;0,T161-AD161,AD161-T161)),"")</f>
        <v/>
      </c>
      <c r="AH161" s="51">
        <f>IFERROR(IF(OR(A161="",AE161=""),"",AE161-Z161),"")</f>
        <v/>
      </c>
      <c r="AI161" s="25">
        <f>IFERROR(IF(A161="","",IF(G161&gt;F161,"Check out-of-order rooms",IF(K161&gt;H161,"On the books exceeds sellable rooms",IF(R161&gt;H161,"Forecast exceeds sellable rooms",IF(AND(A161&lt;TODAY(),AB161=""),"Actual results missing","OK"))))),"")</f>
        <v/>
      </c>
    </row>
    <row r="162">
      <c r="A162" s="24" t="n"/>
      <c r="B162" s="25">
        <f>IFERROR(IF(A162="","",VLOOKUP(MOD(A162,7),'Assumptions'!$E$16:$F$22,2,0)),"")</f>
        <v/>
      </c>
      <c r="C162" s="25">
        <f>IFERROR(IF(A162="","",IF(A162&lt;TODAY(),"Past",IF(A162=TODAY(),"Today","Future"))),"")</f>
        <v/>
      </c>
      <c r="D162" s="26" t="n"/>
      <c r="E162" s="26" t="n"/>
      <c r="F162" s="27" t="n"/>
      <c r="G162" s="27" t="n"/>
      <c r="H162" s="28">
        <f>IFERROR(IF(A162="","",MAX(0,F162-G162)),"")</f>
        <v/>
      </c>
      <c r="I162" s="27" t="n"/>
      <c r="J162" s="27" t="n"/>
      <c r="K162" s="28">
        <f>IFERROR(IF(A162="","",I162+J162),"")</f>
        <v/>
      </c>
      <c r="L162" s="29">
        <f>IFERROR(IF(A162="","",K162/H162),"")</f>
        <v/>
      </c>
      <c r="M162" s="29">
        <f>IFERROR(IF(A162="","",VLOOKUP(B162,'Assumptions'!$A$16:$B$22,2,0)),"")</f>
        <v/>
      </c>
      <c r="N162" s="27" t="n"/>
      <c r="O162" s="27" t="n"/>
      <c r="P162" s="27" t="n"/>
      <c r="Q162" s="28">
        <f>IFERROR(IF(A162="","",MIN(H162,MAX(0,K162,ROUND(H162*M162,0)+N162+O162))),"")</f>
        <v/>
      </c>
      <c r="R162" s="28">
        <f>IFERROR(IF(A162="","",MIN(H162,MAX(0,IF(P162="",Q162,P162)))),"")</f>
        <v/>
      </c>
      <c r="S162" s="28">
        <f>IFERROR(IF(A162="","",MAX(0,R162-K162)),"")</f>
        <v/>
      </c>
      <c r="T162" s="29">
        <f>IFERROR(IF(A162="","",R162/H162),"")</f>
        <v/>
      </c>
      <c r="U162" s="29">
        <f>IFERROR(IF(A162="","",'Assumptions'!$B$5),"")</f>
        <v/>
      </c>
      <c r="V162" s="29">
        <f>IFERROR(IF(A162="","",T162-U162),"")</f>
        <v/>
      </c>
      <c r="W162" s="50" t="n"/>
      <c r="X162" s="50" t="n"/>
      <c r="Y162" s="51">
        <f>IFERROR(IF(A162="","",IF(X162&lt;&gt;"",X162,IF(W162&lt;&gt;"",W162,'Assumptions'!$B$8))),"")</f>
        <v/>
      </c>
      <c r="Z162" s="51">
        <f>IFERROR(IF(A162="","",R162*Y162),"")</f>
        <v/>
      </c>
      <c r="AA162" s="51">
        <f>IFERROR(IF(A162="","",Z162/H162),"")</f>
        <v/>
      </c>
      <c r="AB162" s="32" t="n"/>
      <c r="AC162" s="52" t="n"/>
      <c r="AD162" s="29">
        <f>IFERROR(IF(OR(A162="",AB162=""),"",AB162/H162),"")</f>
        <v/>
      </c>
      <c r="AE162" s="51">
        <f>IFERROR(IF(OR(A162="",AB162="",AC162=""),"",AB162*AC162),"")</f>
        <v/>
      </c>
      <c r="AF162" s="28">
        <f>IFERROR(IF(OR(A162="",AB162=""),"",AB162-R162),"")</f>
        <v/>
      </c>
      <c r="AG162" s="29">
        <f>IFERROR(IF(OR(A162="",AB162=""),"",IF(AD162-T162&lt;0,T162-AD162,AD162-T162)),"")</f>
        <v/>
      </c>
      <c r="AH162" s="51">
        <f>IFERROR(IF(OR(A162="",AE162=""),"",AE162-Z162),"")</f>
        <v/>
      </c>
      <c r="AI162" s="25">
        <f>IFERROR(IF(A162="","",IF(G162&gt;F162,"Check out-of-order rooms",IF(K162&gt;H162,"On the books exceeds sellable rooms",IF(R162&gt;H162,"Forecast exceeds sellable rooms",IF(AND(A162&lt;TODAY(),AB162=""),"Actual results missing","OK"))))),"")</f>
        <v/>
      </c>
    </row>
    <row r="163">
      <c r="A163" s="24" t="n"/>
      <c r="B163" s="25">
        <f>IFERROR(IF(A163="","",VLOOKUP(MOD(A163,7),'Assumptions'!$E$16:$F$22,2,0)),"")</f>
        <v/>
      </c>
      <c r="C163" s="25">
        <f>IFERROR(IF(A163="","",IF(A163&lt;TODAY(),"Past",IF(A163=TODAY(),"Today","Future"))),"")</f>
        <v/>
      </c>
      <c r="D163" s="26" t="n"/>
      <c r="E163" s="26" t="n"/>
      <c r="F163" s="27" t="n"/>
      <c r="G163" s="27" t="n"/>
      <c r="H163" s="28">
        <f>IFERROR(IF(A163="","",MAX(0,F163-G163)),"")</f>
        <v/>
      </c>
      <c r="I163" s="27" t="n"/>
      <c r="J163" s="27" t="n"/>
      <c r="K163" s="28">
        <f>IFERROR(IF(A163="","",I163+J163),"")</f>
        <v/>
      </c>
      <c r="L163" s="29">
        <f>IFERROR(IF(A163="","",K163/H163),"")</f>
        <v/>
      </c>
      <c r="M163" s="29">
        <f>IFERROR(IF(A163="","",VLOOKUP(B163,'Assumptions'!$A$16:$B$22,2,0)),"")</f>
        <v/>
      </c>
      <c r="N163" s="27" t="n"/>
      <c r="O163" s="27" t="n"/>
      <c r="P163" s="27" t="n"/>
      <c r="Q163" s="28">
        <f>IFERROR(IF(A163="","",MIN(H163,MAX(0,K163,ROUND(H163*M163,0)+N163+O163))),"")</f>
        <v/>
      </c>
      <c r="R163" s="28">
        <f>IFERROR(IF(A163="","",MIN(H163,MAX(0,IF(P163="",Q163,P163)))),"")</f>
        <v/>
      </c>
      <c r="S163" s="28">
        <f>IFERROR(IF(A163="","",MAX(0,R163-K163)),"")</f>
        <v/>
      </c>
      <c r="T163" s="29">
        <f>IFERROR(IF(A163="","",R163/H163),"")</f>
        <v/>
      </c>
      <c r="U163" s="29">
        <f>IFERROR(IF(A163="","",'Assumptions'!$B$5),"")</f>
        <v/>
      </c>
      <c r="V163" s="29">
        <f>IFERROR(IF(A163="","",T163-U163),"")</f>
        <v/>
      </c>
      <c r="W163" s="50" t="n"/>
      <c r="X163" s="50" t="n"/>
      <c r="Y163" s="51">
        <f>IFERROR(IF(A163="","",IF(X163&lt;&gt;"",X163,IF(W163&lt;&gt;"",W163,'Assumptions'!$B$8))),"")</f>
        <v/>
      </c>
      <c r="Z163" s="51">
        <f>IFERROR(IF(A163="","",R163*Y163),"")</f>
        <v/>
      </c>
      <c r="AA163" s="51">
        <f>IFERROR(IF(A163="","",Z163/H163),"")</f>
        <v/>
      </c>
      <c r="AB163" s="32" t="n"/>
      <c r="AC163" s="52" t="n"/>
      <c r="AD163" s="29">
        <f>IFERROR(IF(OR(A163="",AB163=""),"",AB163/H163),"")</f>
        <v/>
      </c>
      <c r="AE163" s="51">
        <f>IFERROR(IF(OR(A163="",AB163="",AC163=""),"",AB163*AC163),"")</f>
        <v/>
      </c>
      <c r="AF163" s="28">
        <f>IFERROR(IF(OR(A163="",AB163=""),"",AB163-R163),"")</f>
        <v/>
      </c>
      <c r="AG163" s="29">
        <f>IFERROR(IF(OR(A163="",AB163=""),"",IF(AD163-T163&lt;0,T163-AD163,AD163-T163)),"")</f>
        <v/>
      </c>
      <c r="AH163" s="51">
        <f>IFERROR(IF(OR(A163="",AE163=""),"",AE163-Z163),"")</f>
        <v/>
      </c>
      <c r="AI163" s="25">
        <f>IFERROR(IF(A163="","",IF(G163&gt;F163,"Check out-of-order rooms",IF(K163&gt;H163,"On the books exceeds sellable rooms",IF(R163&gt;H163,"Forecast exceeds sellable rooms",IF(AND(A163&lt;TODAY(),AB163=""),"Actual results missing","OK"))))),"")</f>
        <v/>
      </c>
    </row>
    <row r="164">
      <c r="A164" s="24" t="n"/>
      <c r="B164" s="25">
        <f>IFERROR(IF(A164="","",VLOOKUP(MOD(A164,7),'Assumptions'!$E$16:$F$22,2,0)),"")</f>
        <v/>
      </c>
      <c r="C164" s="25">
        <f>IFERROR(IF(A164="","",IF(A164&lt;TODAY(),"Past",IF(A164=TODAY(),"Today","Future"))),"")</f>
        <v/>
      </c>
      <c r="D164" s="26" t="n"/>
      <c r="E164" s="26" t="n"/>
      <c r="F164" s="27" t="n"/>
      <c r="G164" s="27" t="n"/>
      <c r="H164" s="28">
        <f>IFERROR(IF(A164="","",MAX(0,F164-G164)),"")</f>
        <v/>
      </c>
      <c r="I164" s="27" t="n"/>
      <c r="J164" s="27" t="n"/>
      <c r="K164" s="28">
        <f>IFERROR(IF(A164="","",I164+J164),"")</f>
        <v/>
      </c>
      <c r="L164" s="29">
        <f>IFERROR(IF(A164="","",K164/H164),"")</f>
        <v/>
      </c>
      <c r="M164" s="29">
        <f>IFERROR(IF(A164="","",VLOOKUP(B164,'Assumptions'!$A$16:$B$22,2,0)),"")</f>
        <v/>
      </c>
      <c r="N164" s="27" t="n"/>
      <c r="O164" s="27" t="n"/>
      <c r="P164" s="27" t="n"/>
      <c r="Q164" s="28">
        <f>IFERROR(IF(A164="","",MIN(H164,MAX(0,K164,ROUND(H164*M164,0)+N164+O164))),"")</f>
        <v/>
      </c>
      <c r="R164" s="28">
        <f>IFERROR(IF(A164="","",MIN(H164,MAX(0,IF(P164="",Q164,P164)))),"")</f>
        <v/>
      </c>
      <c r="S164" s="28">
        <f>IFERROR(IF(A164="","",MAX(0,R164-K164)),"")</f>
        <v/>
      </c>
      <c r="T164" s="29">
        <f>IFERROR(IF(A164="","",R164/H164),"")</f>
        <v/>
      </c>
      <c r="U164" s="29">
        <f>IFERROR(IF(A164="","",'Assumptions'!$B$5),"")</f>
        <v/>
      </c>
      <c r="V164" s="29">
        <f>IFERROR(IF(A164="","",T164-U164),"")</f>
        <v/>
      </c>
      <c r="W164" s="50" t="n"/>
      <c r="X164" s="50" t="n"/>
      <c r="Y164" s="51">
        <f>IFERROR(IF(A164="","",IF(X164&lt;&gt;"",X164,IF(W164&lt;&gt;"",W164,'Assumptions'!$B$8))),"")</f>
        <v/>
      </c>
      <c r="Z164" s="51">
        <f>IFERROR(IF(A164="","",R164*Y164),"")</f>
        <v/>
      </c>
      <c r="AA164" s="51">
        <f>IFERROR(IF(A164="","",Z164/H164),"")</f>
        <v/>
      </c>
      <c r="AB164" s="32" t="n"/>
      <c r="AC164" s="52" t="n"/>
      <c r="AD164" s="29">
        <f>IFERROR(IF(OR(A164="",AB164=""),"",AB164/H164),"")</f>
        <v/>
      </c>
      <c r="AE164" s="51">
        <f>IFERROR(IF(OR(A164="",AB164="",AC164=""),"",AB164*AC164),"")</f>
        <v/>
      </c>
      <c r="AF164" s="28">
        <f>IFERROR(IF(OR(A164="",AB164=""),"",AB164-R164),"")</f>
        <v/>
      </c>
      <c r="AG164" s="29">
        <f>IFERROR(IF(OR(A164="",AB164=""),"",IF(AD164-T164&lt;0,T164-AD164,AD164-T164)),"")</f>
        <v/>
      </c>
      <c r="AH164" s="51">
        <f>IFERROR(IF(OR(A164="",AE164=""),"",AE164-Z164),"")</f>
        <v/>
      </c>
      <c r="AI164" s="25">
        <f>IFERROR(IF(A164="","",IF(G164&gt;F164,"Check out-of-order rooms",IF(K164&gt;H164,"On the books exceeds sellable rooms",IF(R164&gt;H164,"Forecast exceeds sellable rooms",IF(AND(A164&lt;TODAY(),AB164=""),"Actual results missing","OK"))))),"")</f>
        <v/>
      </c>
    </row>
    <row r="165">
      <c r="A165" s="24" t="n"/>
      <c r="B165" s="25">
        <f>IFERROR(IF(A165="","",VLOOKUP(MOD(A165,7),'Assumptions'!$E$16:$F$22,2,0)),"")</f>
        <v/>
      </c>
      <c r="C165" s="25">
        <f>IFERROR(IF(A165="","",IF(A165&lt;TODAY(),"Past",IF(A165=TODAY(),"Today","Future"))),"")</f>
        <v/>
      </c>
      <c r="D165" s="26" t="n"/>
      <c r="E165" s="26" t="n"/>
      <c r="F165" s="27" t="n"/>
      <c r="G165" s="27" t="n"/>
      <c r="H165" s="28">
        <f>IFERROR(IF(A165="","",MAX(0,F165-G165)),"")</f>
        <v/>
      </c>
      <c r="I165" s="27" t="n"/>
      <c r="J165" s="27" t="n"/>
      <c r="K165" s="28">
        <f>IFERROR(IF(A165="","",I165+J165),"")</f>
        <v/>
      </c>
      <c r="L165" s="29">
        <f>IFERROR(IF(A165="","",K165/H165),"")</f>
        <v/>
      </c>
      <c r="M165" s="29">
        <f>IFERROR(IF(A165="","",VLOOKUP(B165,'Assumptions'!$A$16:$B$22,2,0)),"")</f>
        <v/>
      </c>
      <c r="N165" s="27" t="n"/>
      <c r="O165" s="27" t="n"/>
      <c r="P165" s="27" t="n"/>
      <c r="Q165" s="28">
        <f>IFERROR(IF(A165="","",MIN(H165,MAX(0,K165,ROUND(H165*M165,0)+N165+O165))),"")</f>
        <v/>
      </c>
      <c r="R165" s="28">
        <f>IFERROR(IF(A165="","",MIN(H165,MAX(0,IF(P165="",Q165,P165)))),"")</f>
        <v/>
      </c>
      <c r="S165" s="28">
        <f>IFERROR(IF(A165="","",MAX(0,R165-K165)),"")</f>
        <v/>
      </c>
      <c r="T165" s="29">
        <f>IFERROR(IF(A165="","",R165/H165),"")</f>
        <v/>
      </c>
      <c r="U165" s="29">
        <f>IFERROR(IF(A165="","",'Assumptions'!$B$5),"")</f>
        <v/>
      </c>
      <c r="V165" s="29">
        <f>IFERROR(IF(A165="","",T165-U165),"")</f>
        <v/>
      </c>
      <c r="W165" s="50" t="n"/>
      <c r="X165" s="50" t="n"/>
      <c r="Y165" s="51">
        <f>IFERROR(IF(A165="","",IF(X165&lt;&gt;"",X165,IF(W165&lt;&gt;"",W165,'Assumptions'!$B$8))),"")</f>
        <v/>
      </c>
      <c r="Z165" s="51">
        <f>IFERROR(IF(A165="","",R165*Y165),"")</f>
        <v/>
      </c>
      <c r="AA165" s="51">
        <f>IFERROR(IF(A165="","",Z165/H165),"")</f>
        <v/>
      </c>
      <c r="AB165" s="32" t="n"/>
      <c r="AC165" s="52" t="n"/>
      <c r="AD165" s="29">
        <f>IFERROR(IF(OR(A165="",AB165=""),"",AB165/H165),"")</f>
        <v/>
      </c>
      <c r="AE165" s="51">
        <f>IFERROR(IF(OR(A165="",AB165="",AC165=""),"",AB165*AC165),"")</f>
        <v/>
      </c>
      <c r="AF165" s="28">
        <f>IFERROR(IF(OR(A165="",AB165=""),"",AB165-R165),"")</f>
        <v/>
      </c>
      <c r="AG165" s="29">
        <f>IFERROR(IF(OR(A165="",AB165=""),"",IF(AD165-T165&lt;0,T165-AD165,AD165-T165)),"")</f>
        <v/>
      </c>
      <c r="AH165" s="51">
        <f>IFERROR(IF(OR(A165="",AE165=""),"",AE165-Z165),"")</f>
        <v/>
      </c>
      <c r="AI165" s="25">
        <f>IFERROR(IF(A165="","",IF(G165&gt;F165,"Check out-of-order rooms",IF(K165&gt;H165,"On the books exceeds sellable rooms",IF(R165&gt;H165,"Forecast exceeds sellable rooms",IF(AND(A165&lt;TODAY(),AB165=""),"Actual results missing","OK"))))),"")</f>
        <v/>
      </c>
    </row>
    <row r="166">
      <c r="A166" s="24" t="n"/>
      <c r="B166" s="25">
        <f>IFERROR(IF(A166="","",VLOOKUP(MOD(A166,7),'Assumptions'!$E$16:$F$22,2,0)),"")</f>
        <v/>
      </c>
      <c r="C166" s="25">
        <f>IFERROR(IF(A166="","",IF(A166&lt;TODAY(),"Past",IF(A166=TODAY(),"Today","Future"))),"")</f>
        <v/>
      </c>
      <c r="D166" s="26" t="n"/>
      <c r="E166" s="26" t="n"/>
      <c r="F166" s="27" t="n"/>
      <c r="G166" s="27" t="n"/>
      <c r="H166" s="28">
        <f>IFERROR(IF(A166="","",MAX(0,F166-G166)),"")</f>
        <v/>
      </c>
      <c r="I166" s="27" t="n"/>
      <c r="J166" s="27" t="n"/>
      <c r="K166" s="28">
        <f>IFERROR(IF(A166="","",I166+J166),"")</f>
        <v/>
      </c>
      <c r="L166" s="29">
        <f>IFERROR(IF(A166="","",K166/H166),"")</f>
        <v/>
      </c>
      <c r="M166" s="29">
        <f>IFERROR(IF(A166="","",VLOOKUP(B166,'Assumptions'!$A$16:$B$22,2,0)),"")</f>
        <v/>
      </c>
      <c r="N166" s="27" t="n"/>
      <c r="O166" s="27" t="n"/>
      <c r="P166" s="27" t="n"/>
      <c r="Q166" s="28">
        <f>IFERROR(IF(A166="","",MIN(H166,MAX(0,K166,ROUND(H166*M166,0)+N166+O166))),"")</f>
        <v/>
      </c>
      <c r="R166" s="28">
        <f>IFERROR(IF(A166="","",MIN(H166,MAX(0,IF(P166="",Q166,P166)))),"")</f>
        <v/>
      </c>
      <c r="S166" s="28">
        <f>IFERROR(IF(A166="","",MAX(0,R166-K166)),"")</f>
        <v/>
      </c>
      <c r="T166" s="29">
        <f>IFERROR(IF(A166="","",R166/H166),"")</f>
        <v/>
      </c>
      <c r="U166" s="29">
        <f>IFERROR(IF(A166="","",'Assumptions'!$B$5),"")</f>
        <v/>
      </c>
      <c r="V166" s="29">
        <f>IFERROR(IF(A166="","",T166-U166),"")</f>
        <v/>
      </c>
      <c r="W166" s="50" t="n"/>
      <c r="X166" s="50" t="n"/>
      <c r="Y166" s="51">
        <f>IFERROR(IF(A166="","",IF(X166&lt;&gt;"",X166,IF(W166&lt;&gt;"",W166,'Assumptions'!$B$8))),"")</f>
        <v/>
      </c>
      <c r="Z166" s="51">
        <f>IFERROR(IF(A166="","",R166*Y166),"")</f>
        <v/>
      </c>
      <c r="AA166" s="51">
        <f>IFERROR(IF(A166="","",Z166/H166),"")</f>
        <v/>
      </c>
      <c r="AB166" s="32" t="n"/>
      <c r="AC166" s="52" t="n"/>
      <c r="AD166" s="29">
        <f>IFERROR(IF(OR(A166="",AB166=""),"",AB166/H166),"")</f>
        <v/>
      </c>
      <c r="AE166" s="51">
        <f>IFERROR(IF(OR(A166="",AB166="",AC166=""),"",AB166*AC166),"")</f>
        <v/>
      </c>
      <c r="AF166" s="28">
        <f>IFERROR(IF(OR(A166="",AB166=""),"",AB166-R166),"")</f>
        <v/>
      </c>
      <c r="AG166" s="29">
        <f>IFERROR(IF(OR(A166="",AB166=""),"",IF(AD166-T166&lt;0,T166-AD166,AD166-T166)),"")</f>
        <v/>
      </c>
      <c r="AH166" s="51">
        <f>IFERROR(IF(OR(A166="",AE166=""),"",AE166-Z166),"")</f>
        <v/>
      </c>
      <c r="AI166" s="25">
        <f>IFERROR(IF(A166="","",IF(G166&gt;F166,"Check out-of-order rooms",IF(K166&gt;H166,"On the books exceeds sellable rooms",IF(R166&gt;H166,"Forecast exceeds sellable rooms",IF(AND(A166&lt;TODAY(),AB166=""),"Actual results missing","OK"))))),"")</f>
        <v/>
      </c>
    </row>
    <row r="167">
      <c r="A167" s="24" t="n"/>
      <c r="B167" s="25">
        <f>IFERROR(IF(A167="","",VLOOKUP(MOD(A167,7),'Assumptions'!$E$16:$F$22,2,0)),"")</f>
        <v/>
      </c>
      <c r="C167" s="25">
        <f>IFERROR(IF(A167="","",IF(A167&lt;TODAY(),"Past",IF(A167=TODAY(),"Today","Future"))),"")</f>
        <v/>
      </c>
      <c r="D167" s="26" t="n"/>
      <c r="E167" s="26" t="n"/>
      <c r="F167" s="27" t="n"/>
      <c r="G167" s="27" t="n"/>
      <c r="H167" s="28">
        <f>IFERROR(IF(A167="","",MAX(0,F167-G167)),"")</f>
        <v/>
      </c>
      <c r="I167" s="27" t="n"/>
      <c r="J167" s="27" t="n"/>
      <c r="K167" s="28">
        <f>IFERROR(IF(A167="","",I167+J167),"")</f>
        <v/>
      </c>
      <c r="L167" s="29">
        <f>IFERROR(IF(A167="","",K167/H167),"")</f>
        <v/>
      </c>
      <c r="M167" s="29">
        <f>IFERROR(IF(A167="","",VLOOKUP(B167,'Assumptions'!$A$16:$B$22,2,0)),"")</f>
        <v/>
      </c>
      <c r="N167" s="27" t="n"/>
      <c r="O167" s="27" t="n"/>
      <c r="P167" s="27" t="n"/>
      <c r="Q167" s="28">
        <f>IFERROR(IF(A167="","",MIN(H167,MAX(0,K167,ROUND(H167*M167,0)+N167+O167))),"")</f>
        <v/>
      </c>
      <c r="R167" s="28">
        <f>IFERROR(IF(A167="","",MIN(H167,MAX(0,IF(P167="",Q167,P167)))),"")</f>
        <v/>
      </c>
      <c r="S167" s="28">
        <f>IFERROR(IF(A167="","",MAX(0,R167-K167)),"")</f>
        <v/>
      </c>
      <c r="T167" s="29">
        <f>IFERROR(IF(A167="","",R167/H167),"")</f>
        <v/>
      </c>
      <c r="U167" s="29">
        <f>IFERROR(IF(A167="","",'Assumptions'!$B$5),"")</f>
        <v/>
      </c>
      <c r="V167" s="29">
        <f>IFERROR(IF(A167="","",T167-U167),"")</f>
        <v/>
      </c>
      <c r="W167" s="50" t="n"/>
      <c r="X167" s="50" t="n"/>
      <c r="Y167" s="51">
        <f>IFERROR(IF(A167="","",IF(X167&lt;&gt;"",X167,IF(W167&lt;&gt;"",W167,'Assumptions'!$B$8))),"")</f>
        <v/>
      </c>
      <c r="Z167" s="51">
        <f>IFERROR(IF(A167="","",R167*Y167),"")</f>
        <v/>
      </c>
      <c r="AA167" s="51">
        <f>IFERROR(IF(A167="","",Z167/H167),"")</f>
        <v/>
      </c>
      <c r="AB167" s="32" t="n"/>
      <c r="AC167" s="52" t="n"/>
      <c r="AD167" s="29">
        <f>IFERROR(IF(OR(A167="",AB167=""),"",AB167/H167),"")</f>
        <v/>
      </c>
      <c r="AE167" s="51">
        <f>IFERROR(IF(OR(A167="",AB167="",AC167=""),"",AB167*AC167),"")</f>
        <v/>
      </c>
      <c r="AF167" s="28">
        <f>IFERROR(IF(OR(A167="",AB167=""),"",AB167-R167),"")</f>
        <v/>
      </c>
      <c r="AG167" s="29">
        <f>IFERROR(IF(OR(A167="",AB167=""),"",IF(AD167-T167&lt;0,T167-AD167,AD167-T167)),"")</f>
        <v/>
      </c>
      <c r="AH167" s="51">
        <f>IFERROR(IF(OR(A167="",AE167=""),"",AE167-Z167),"")</f>
        <v/>
      </c>
      <c r="AI167" s="25">
        <f>IFERROR(IF(A167="","",IF(G167&gt;F167,"Check out-of-order rooms",IF(K167&gt;H167,"On the books exceeds sellable rooms",IF(R167&gt;H167,"Forecast exceeds sellable rooms",IF(AND(A167&lt;TODAY(),AB167=""),"Actual results missing","OK"))))),"")</f>
        <v/>
      </c>
    </row>
    <row r="168">
      <c r="A168" s="24" t="n"/>
      <c r="B168" s="25">
        <f>IFERROR(IF(A168="","",VLOOKUP(MOD(A168,7),'Assumptions'!$E$16:$F$22,2,0)),"")</f>
        <v/>
      </c>
      <c r="C168" s="25">
        <f>IFERROR(IF(A168="","",IF(A168&lt;TODAY(),"Past",IF(A168=TODAY(),"Today","Future"))),"")</f>
        <v/>
      </c>
      <c r="D168" s="26" t="n"/>
      <c r="E168" s="26" t="n"/>
      <c r="F168" s="27" t="n"/>
      <c r="G168" s="27" t="n"/>
      <c r="H168" s="28">
        <f>IFERROR(IF(A168="","",MAX(0,F168-G168)),"")</f>
        <v/>
      </c>
      <c r="I168" s="27" t="n"/>
      <c r="J168" s="27" t="n"/>
      <c r="K168" s="28">
        <f>IFERROR(IF(A168="","",I168+J168),"")</f>
        <v/>
      </c>
      <c r="L168" s="29">
        <f>IFERROR(IF(A168="","",K168/H168),"")</f>
        <v/>
      </c>
      <c r="M168" s="29">
        <f>IFERROR(IF(A168="","",VLOOKUP(B168,'Assumptions'!$A$16:$B$22,2,0)),"")</f>
        <v/>
      </c>
      <c r="N168" s="27" t="n"/>
      <c r="O168" s="27" t="n"/>
      <c r="P168" s="27" t="n"/>
      <c r="Q168" s="28">
        <f>IFERROR(IF(A168="","",MIN(H168,MAX(0,K168,ROUND(H168*M168,0)+N168+O168))),"")</f>
        <v/>
      </c>
      <c r="R168" s="28">
        <f>IFERROR(IF(A168="","",MIN(H168,MAX(0,IF(P168="",Q168,P168)))),"")</f>
        <v/>
      </c>
      <c r="S168" s="28">
        <f>IFERROR(IF(A168="","",MAX(0,R168-K168)),"")</f>
        <v/>
      </c>
      <c r="T168" s="29">
        <f>IFERROR(IF(A168="","",R168/H168),"")</f>
        <v/>
      </c>
      <c r="U168" s="29">
        <f>IFERROR(IF(A168="","",'Assumptions'!$B$5),"")</f>
        <v/>
      </c>
      <c r="V168" s="29">
        <f>IFERROR(IF(A168="","",T168-U168),"")</f>
        <v/>
      </c>
      <c r="W168" s="50" t="n"/>
      <c r="X168" s="50" t="n"/>
      <c r="Y168" s="51">
        <f>IFERROR(IF(A168="","",IF(X168&lt;&gt;"",X168,IF(W168&lt;&gt;"",W168,'Assumptions'!$B$8))),"")</f>
        <v/>
      </c>
      <c r="Z168" s="51">
        <f>IFERROR(IF(A168="","",R168*Y168),"")</f>
        <v/>
      </c>
      <c r="AA168" s="51">
        <f>IFERROR(IF(A168="","",Z168/H168),"")</f>
        <v/>
      </c>
      <c r="AB168" s="32" t="n"/>
      <c r="AC168" s="52" t="n"/>
      <c r="AD168" s="29">
        <f>IFERROR(IF(OR(A168="",AB168=""),"",AB168/H168),"")</f>
        <v/>
      </c>
      <c r="AE168" s="51">
        <f>IFERROR(IF(OR(A168="",AB168="",AC168=""),"",AB168*AC168),"")</f>
        <v/>
      </c>
      <c r="AF168" s="28">
        <f>IFERROR(IF(OR(A168="",AB168=""),"",AB168-R168),"")</f>
        <v/>
      </c>
      <c r="AG168" s="29">
        <f>IFERROR(IF(OR(A168="",AB168=""),"",IF(AD168-T168&lt;0,T168-AD168,AD168-T168)),"")</f>
        <v/>
      </c>
      <c r="AH168" s="51">
        <f>IFERROR(IF(OR(A168="",AE168=""),"",AE168-Z168),"")</f>
        <v/>
      </c>
      <c r="AI168" s="25">
        <f>IFERROR(IF(A168="","",IF(G168&gt;F168,"Check out-of-order rooms",IF(K168&gt;H168,"On the books exceeds sellable rooms",IF(R168&gt;H168,"Forecast exceeds sellable rooms",IF(AND(A168&lt;TODAY(),AB168=""),"Actual results missing","OK"))))),"")</f>
        <v/>
      </c>
    </row>
    <row r="169">
      <c r="A169" s="24" t="n"/>
      <c r="B169" s="25">
        <f>IFERROR(IF(A169="","",VLOOKUP(MOD(A169,7),'Assumptions'!$E$16:$F$22,2,0)),"")</f>
        <v/>
      </c>
      <c r="C169" s="25">
        <f>IFERROR(IF(A169="","",IF(A169&lt;TODAY(),"Past",IF(A169=TODAY(),"Today","Future"))),"")</f>
        <v/>
      </c>
      <c r="D169" s="26" t="n"/>
      <c r="E169" s="26" t="n"/>
      <c r="F169" s="27" t="n"/>
      <c r="G169" s="27" t="n"/>
      <c r="H169" s="28">
        <f>IFERROR(IF(A169="","",MAX(0,F169-G169)),"")</f>
        <v/>
      </c>
      <c r="I169" s="27" t="n"/>
      <c r="J169" s="27" t="n"/>
      <c r="K169" s="28">
        <f>IFERROR(IF(A169="","",I169+J169),"")</f>
        <v/>
      </c>
      <c r="L169" s="29">
        <f>IFERROR(IF(A169="","",K169/H169),"")</f>
        <v/>
      </c>
      <c r="M169" s="29">
        <f>IFERROR(IF(A169="","",VLOOKUP(B169,'Assumptions'!$A$16:$B$22,2,0)),"")</f>
        <v/>
      </c>
      <c r="N169" s="27" t="n"/>
      <c r="O169" s="27" t="n"/>
      <c r="P169" s="27" t="n"/>
      <c r="Q169" s="28">
        <f>IFERROR(IF(A169="","",MIN(H169,MAX(0,K169,ROUND(H169*M169,0)+N169+O169))),"")</f>
        <v/>
      </c>
      <c r="R169" s="28">
        <f>IFERROR(IF(A169="","",MIN(H169,MAX(0,IF(P169="",Q169,P169)))),"")</f>
        <v/>
      </c>
      <c r="S169" s="28">
        <f>IFERROR(IF(A169="","",MAX(0,R169-K169)),"")</f>
        <v/>
      </c>
      <c r="T169" s="29">
        <f>IFERROR(IF(A169="","",R169/H169),"")</f>
        <v/>
      </c>
      <c r="U169" s="29">
        <f>IFERROR(IF(A169="","",'Assumptions'!$B$5),"")</f>
        <v/>
      </c>
      <c r="V169" s="29">
        <f>IFERROR(IF(A169="","",T169-U169),"")</f>
        <v/>
      </c>
      <c r="W169" s="50" t="n"/>
      <c r="X169" s="50" t="n"/>
      <c r="Y169" s="51">
        <f>IFERROR(IF(A169="","",IF(X169&lt;&gt;"",X169,IF(W169&lt;&gt;"",W169,'Assumptions'!$B$8))),"")</f>
        <v/>
      </c>
      <c r="Z169" s="51">
        <f>IFERROR(IF(A169="","",R169*Y169),"")</f>
        <v/>
      </c>
      <c r="AA169" s="51">
        <f>IFERROR(IF(A169="","",Z169/H169),"")</f>
        <v/>
      </c>
      <c r="AB169" s="32" t="n"/>
      <c r="AC169" s="52" t="n"/>
      <c r="AD169" s="29">
        <f>IFERROR(IF(OR(A169="",AB169=""),"",AB169/H169),"")</f>
        <v/>
      </c>
      <c r="AE169" s="51">
        <f>IFERROR(IF(OR(A169="",AB169="",AC169=""),"",AB169*AC169),"")</f>
        <v/>
      </c>
      <c r="AF169" s="28">
        <f>IFERROR(IF(OR(A169="",AB169=""),"",AB169-R169),"")</f>
        <v/>
      </c>
      <c r="AG169" s="29">
        <f>IFERROR(IF(OR(A169="",AB169=""),"",IF(AD169-T169&lt;0,T169-AD169,AD169-T169)),"")</f>
        <v/>
      </c>
      <c r="AH169" s="51">
        <f>IFERROR(IF(OR(A169="",AE169=""),"",AE169-Z169),"")</f>
        <v/>
      </c>
      <c r="AI169" s="25">
        <f>IFERROR(IF(A169="","",IF(G169&gt;F169,"Check out-of-order rooms",IF(K169&gt;H169,"On the books exceeds sellable rooms",IF(R169&gt;H169,"Forecast exceeds sellable rooms",IF(AND(A169&lt;TODAY(),AB169=""),"Actual results missing","OK"))))),"")</f>
        <v/>
      </c>
    </row>
    <row r="170">
      <c r="A170" s="24" t="n"/>
      <c r="B170" s="25">
        <f>IFERROR(IF(A170="","",VLOOKUP(MOD(A170,7),'Assumptions'!$E$16:$F$22,2,0)),"")</f>
        <v/>
      </c>
      <c r="C170" s="25">
        <f>IFERROR(IF(A170="","",IF(A170&lt;TODAY(),"Past",IF(A170=TODAY(),"Today","Future"))),"")</f>
        <v/>
      </c>
      <c r="D170" s="26" t="n"/>
      <c r="E170" s="26" t="n"/>
      <c r="F170" s="27" t="n"/>
      <c r="G170" s="27" t="n"/>
      <c r="H170" s="28">
        <f>IFERROR(IF(A170="","",MAX(0,F170-G170)),"")</f>
        <v/>
      </c>
      <c r="I170" s="27" t="n"/>
      <c r="J170" s="27" t="n"/>
      <c r="K170" s="28">
        <f>IFERROR(IF(A170="","",I170+J170),"")</f>
        <v/>
      </c>
      <c r="L170" s="29">
        <f>IFERROR(IF(A170="","",K170/H170),"")</f>
        <v/>
      </c>
      <c r="M170" s="29">
        <f>IFERROR(IF(A170="","",VLOOKUP(B170,'Assumptions'!$A$16:$B$22,2,0)),"")</f>
        <v/>
      </c>
      <c r="N170" s="27" t="n"/>
      <c r="O170" s="27" t="n"/>
      <c r="P170" s="27" t="n"/>
      <c r="Q170" s="28">
        <f>IFERROR(IF(A170="","",MIN(H170,MAX(0,K170,ROUND(H170*M170,0)+N170+O170))),"")</f>
        <v/>
      </c>
      <c r="R170" s="28">
        <f>IFERROR(IF(A170="","",MIN(H170,MAX(0,IF(P170="",Q170,P170)))),"")</f>
        <v/>
      </c>
      <c r="S170" s="28">
        <f>IFERROR(IF(A170="","",MAX(0,R170-K170)),"")</f>
        <v/>
      </c>
      <c r="T170" s="29">
        <f>IFERROR(IF(A170="","",R170/H170),"")</f>
        <v/>
      </c>
      <c r="U170" s="29">
        <f>IFERROR(IF(A170="","",'Assumptions'!$B$5),"")</f>
        <v/>
      </c>
      <c r="V170" s="29">
        <f>IFERROR(IF(A170="","",T170-U170),"")</f>
        <v/>
      </c>
      <c r="W170" s="50" t="n"/>
      <c r="X170" s="50" t="n"/>
      <c r="Y170" s="51">
        <f>IFERROR(IF(A170="","",IF(X170&lt;&gt;"",X170,IF(W170&lt;&gt;"",W170,'Assumptions'!$B$8))),"")</f>
        <v/>
      </c>
      <c r="Z170" s="51">
        <f>IFERROR(IF(A170="","",R170*Y170),"")</f>
        <v/>
      </c>
      <c r="AA170" s="51">
        <f>IFERROR(IF(A170="","",Z170/H170),"")</f>
        <v/>
      </c>
      <c r="AB170" s="32" t="n"/>
      <c r="AC170" s="52" t="n"/>
      <c r="AD170" s="29">
        <f>IFERROR(IF(OR(A170="",AB170=""),"",AB170/H170),"")</f>
        <v/>
      </c>
      <c r="AE170" s="51">
        <f>IFERROR(IF(OR(A170="",AB170="",AC170=""),"",AB170*AC170),"")</f>
        <v/>
      </c>
      <c r="AF170" s="28">
        <f>IFERROR(IF(OR(A170="",AB170=""),"",AB170-R170),"")</f>
        <v/>
      </c>
      <c r="AG170" s="29">
        <f>IFERROR(IF(OR(A170="",AB170=""),"",IF(AD170-T170&lt;0,T170-AD170,AD170-T170)),"")</f>
        <v/>
      </c>
      <c r="AH170" s="51">
        <f>IFERROR(IF(OR(A170="",AE170=""),"",AE170-Z170),"")</f>
        <v/>
      </c>
      <c r="AI170" s="25">
        <f>IFERROR(IF(A170="","",IF(G170&gt;F170,"Check out-of-order rooms",IF(K170&gt;H170,"On the books exceeds sellable rooms",IF(R170&gt;H170,"Forecast exceeds sellable rooms",IF(AND(A170&lt;TODAY(),AB170=""),"Actual results missing","OK"))))),"")</f>
        <v/>
      </c>
    </row>
    <row r="171">
      <c r="A171" s="24" t="n"/>
      <c r="B171" s="25">
        <f>IFERROR(IF(A171="","",VLOOKUP(MOD(A171,7),'Assumptions'!$E$16:$F$22,2,0)),"")</f>
        <v/>
      </c>
      <c r="C171" s="25">
        <f>IFERROR(IF(A171="","",IF(A171&lt;TODAY(),"Past",IF(A171=TODAY(),"Today","Future"))),"")</f>
        <v/>
      </c>
      <c r="D171" s="26" t="n"/>
      <c r="E171" s="26" t="n"/>
      <c r="F171" s="27" t="n"/>
      <c r="G171" s="27" t="n"/>
      <c r="H171" s="28">
        <f>IFERROR(IF(A171="","",MAX(0,F171-G171)),"")</f>
        <v/>
      </c>
      <c r="I171" s="27" t="n"/>
      <c r="J171" s="27" t="n"/>
      <c r="K171" s="28">
        <f>IFERROR(IF(A171="","",I171+J171),"")</f>
        <v/>
      </c>
      <c r="L171" s="29">
        <f>IFERROR(IF(A171="","",K171/H171),"")</f>
        <v/>
      </c>
      <c r="M171" s="29">
        <f>IFERROR(IF(A171="","",VLOOKUP(B171,'Assumptions'!$A$16:$B$22,2,0)),"")</f>
        <v/>
      </c>
      <c r="N171" s="27" t="n"/>
      <c r="O171" s="27" t="n"/>
      <c r="P171" s="27" t="n"/>
      <c r="Q171" s="28">
        <f>IFERROR(IF(A171="","",MIN(H171,MAX(0,K171,ROUND(H171*M171,0)+N171+O171))),"")</f>
        <v/>
      </c>
      <c r="R171" s="28">
        <f>IFERROR(IF(A171="","",MIN(H171,MAX(0,IF(P171="",Q171,P171)))),"")</f>
        <v/>
      </c>
      <c r="S171" s="28">
        <f>IFERROR(IF(A171="","",MAX(0,R171-K171)),"")</f>
        <v/>
      </c>
      <c r="T171" s="29">
        <f>IFERROR(IF(A171="","",R171/H171),"")</f>
        <v/>
      </c>
      <c r="U171" s="29">
        <f>IFERROR(IF(A171="","",'Assumptions'!$B$5),"")</f>
        <v/>
      </c>
      <c r="V171" s="29">
        <f>IFERROR(IF(A171="","",T171-U171),"")</f>
        <v/>
      </c>
      <c r="W171" s="50" t="n"/>
      <c r="X171" s="50" t="n"/>
      <c r="Y171" s="51">
        <f>IFERROR(IF(A171="","",IF(X171&lt;&gt;"",X171,IF(W171&lt;&gt;"",W171,'Assumptions'!$B$8))),"")</f>
        <v/>
      </c>
      <c r="Z171" s="51">
        <f>IFERROR(IF(A171="","",R171*Y171),"")</f>
        <v/>
      </c>
      <c r="AA171" s="51">
        <f>IFERROR(IF(A171="","",Z171/H171),"")</f>
        <v/>
      </c>
      <c r="AB171" s="32" t="n"/>
      <c r="AC171" s="52" t="n"/>
      <c r="AD171" s="29">
        <f>IFERROR(IF(OR(A171="",AB171=""),"",AB171/H171),"")</f>
        <v/>
      </c>
      <c r="AE171" s="51">
        <f>IFERROR(IF(OR(A171="",AB171="",AC171=""),"",AB171*AC171),"")</f>
        <v/>
      </c>
      <c r="AF171" s="28">
        <f>IFERROR(IF(OR(A171="",AB171=""),"",AB171-R171),"")</f>
        <v/>
      </c>
      <c r="AG171" s="29">
        <f>IFERROR(IF(OR(A171="",AB171=""),"",IF(AD171-T171&lt;0,T171-AD171,AD171-T171)),"")</f>
        <v/>
      </c>
      <c r="AH171" s="51">
        <f>IFERROR(IF(OR(A171="",AE171=""),"",AE171-Z171),"")</f>
        <v/>
      </c>
      <c r="AI171" s="25">
        <f>IFERROR(IF(A171="","",IF(G171&gt;F171,"Check out-of-order rooms",IF(K171&gt;H171,"On the books exceeds sellable rooms",IF(R171&gt;H171,"Forecast exceeds sellable rooms",IF(AND(A171&lt;TODAY(),AB171=""),"Actual results missing","OK"))))),"")</f>
        <v/>
      </c>
    </row>
    <row r="172">
      <c r="A172" s="24" t="n"/>
      <c r="B172" s="25">
        <f>IFERROR(IF(A172="","",VLOOKUP(MOD(A172,7),'Assumptions'!$E$16:$F$22,2,0)),"")</f>
        <v/>
      </c>
      <c r="C172" s="25">
        <f>IFERROR(IF(A172="","",IF(A172&lt;TODAY(),"Past",IF(A172=TODAY(),"Today","Future"))),"")</f>
        <v/>
      </c>
      <c r="D172" s="26" t="n"/>
      <c r="E172" s="26" t="n"/>
      <c r="F172" s="27" t="n"/>
      <c r="G172" s="27" t="n"/>
      <c r="H172" s="28">
        <f>IFERROR(IF(A172="","",MAX(0,F172-G172)),"")</f>
        <v/>
      </c>
      <c r="I172" s="27" t="n"/>
      <c r="J172" s="27" t="n"/>
      <c r="K172" s="28">
        <f>IFERROR(IF(A172="","",I172+J172),"")</f>
        <v/>
      </c>
      <c r="L172" s="29">
        <f>IFERROR(IF(A172="","",K172/H172),"")</f>
        <v/>
      </c>
      <c r="M172" s="29">
        <f>IFERROR(IF(A172="","",VLOOKUP(B172,'Assumptions'!$A$16:$B$22,2,0)),"")</f>
        <v/>
      </c>
      <c r="N172" s="27" t="n"/>
      <c r="O172" s="27" t="n"/>
      <c r="P172" s="27" t="n"/>
      <c r="Q172" s="28">
        <f>IFERROR(IF(A172="","",MIN(H172,MAX(0,K172,ROUND(H172*M172,0)+N172+O172))),"")</f>
        <v/>
      </c>
      <c r="R172" s="28">
        <f>IFERROR(IF(A172="","",MIN(H172,MAX(0,IF(P172="",Q172,P172)))),"")</f>
        <v/>
      </c>
      <c r="S172" s="28">
        <f>IFERROR(IF(A172="","",MAX(0,R172-K172)),"")</f>
        <v/>
      </c>
      <c r="T172" s="29">
        <f>IFERROR(IF(A172="","",R172/H172),"")</f>
        <v/>
      </c>
      <c r="U172" s="29">
        <f>IFERROR(IF(A172="","",'Assumptions'!$B$5),"")</f>
        <v/>
      </c>
      <c r="V172" s="29">
        <f>IFERROR(IF(A172="","",T172-U172),"")</f>
        <v/>
      </c>
      <c r="W172" s="50" t="n"/>
      <c r="X172" s="50" t="n"/>
      <c r="Y172" s="51">
        <f>IFERROR(IF(A172="","",IF(X172&lt;&gt;"",X172,IF(W172&lt;&gt;"",W172,'Assumptions'!$B$8))),"")</f>
        <v/>
      </c>
      <c r="Z172" s="51">
        <f>IFERROR(IF(A172="","",R172*Y172),"")</f>
        <v/>
      </c>
      <c r="AA172" s="51">
        <f>IFERROR(IF(A172="","",Z172/H172),"")</f>
        <v/>
      </c>
      <c r="AB172" s="32" t="n"/>
      <c r="AC172" s="52" t="n"/>
      <c r="AD172" s="29">
        <f>IFERROR(IF(OR(A172="",AB172=""),"",AB172/H172),"")</f>
        <v/>
      </c>
      <c r="AE172" s="51">
        <f>IFERROR(IF(OR(A172="",AB172="",AC172=""),"",AB172*AC172),"")</f>
        <v/>
      </c>
      <c r="AF172" s="28">
        <f>IFERROR(IF(OR(A172="",AB172=""),"",AB172-R172),"")</f>
        <v/>
      </c>
      <c r="AG172" s="29">
        <f>IFERROR(IF(OR(A172="",AB172=""),"",IF(AD172-T172&lt;0,T172-AD172,AD172-T172)),"")</f>
        <v/>
      </c>
      <c r="AH172" s="51">
        <f>IFERROR(IF(OR(A172="",AE172=""),"",AE172-Z172),"")</f>
        <v/>
      </c>
      <c r="AI172" s="25">
        <f>IFERROR(IF(A172="","",IF(G172&gt;F172,"Check out-of-order rooms",IF(K172&gt;H172,"On the books exceeds sellable rooms",IF(R172&gt;H172,"Forecast exceeds sellable rooms",IF(AND(A172&lt;TODAY(),AB172=""),"Actual results missing","OK"))))),"")</f>
        <v/>
      </c>
    </row>
    <row r="173">
      <c r="A173" s="24" t="n"/>
      <c r="B173" s="25">
        <f>IFERROR(IF(A173="","",VLOOKUP(MOD(A173,7),'Assumptions'!$E$16:$F$22,2,0)),"")</f>
        <v/>
      </c>
      <c r="C173" s="25">
        <f>IFERROR(IF(A173="","",IF(A173&lt;TODAY(),"Past",IF(A173=TODAY(),"Today","Future"))),"")</f>
        <v/>
      </c>
      <c r="D173" s="26" t="n"/>
      <c r="E173" s="26" t="n"/>
      <c r="F173" s="27" t="n"/>
      <c r="G173" s="27" t="n"/>
      <c r="H173" s="28">
        <f>IFERROR(IF(A173="","",MAX(0,F173-G173)),"")</f>
        <v/>
      </c>
      <c r="I173" s="27" t="n"/>
      <c r="J173" s="27" t="n"/>
      <c r="K173" s="28">
        <f>IFERROR(IF(A173="","",I173+J173),"")</f>
        <v/>
      </c>
      <c r="L173" s="29">
        <f>IFERROR(IF(A173="","",K173/H173),"")</f>
        <v/>
      </c>
      <c r="M173" s="29">
        <f>IFERROR(IF(A173="","",VLOOKUP(B173,'Assumptions'!$A$16:$B$22,2,0)),"")</f>
        <v/>
      </c>
      <c r="N173" s="27" t="n"/>
      <c r="O173" s="27" t="n"/>
      <c r="P173" s="27" t="n"/>
      <c r="Q173" s="28">
        <f>IFERROR(IF(A173="","",MIN(H173,MAX(0,K173,ROUND(H173*M173,0)+N173+O173))),"")</f>
        <v/>
      </c>
      <c r="R173" s="28">
        <f>IFERROR(IF(A173="","",MIN(H173,MAX(0,IF(P173="",Q173,P173)))),"")</f>
        <v/>
      </c>
      <c r="S173" s="28">
        <f>IFERROR(IF(A173="","",MAX(0,R173-K173)),"")</f>
        <v/>
      </c>
      <c r="T173" s="29">
        <f>IFERROR(IF(A173="","",R173/H173),"")</f>
        <v/>
      </c>
      <c r="U173" s="29">
        <f>IFERROR(IF(A173="","",'Assumptions'!$B$5),"")</f>
        <v/>
      </c>
      <c r="V173" s="29">
        <f>IFERROR(IF(A173="","",T173-U173),"")</f>
        <v/>
      </c>
      <c r="W173" s="50" t="n"/>
      <c r="X173" s="50" t="n"/>
      <c r="Y173" s="51">
        <f>IFERROR(IF(A173="","",IF(X173&lt;&gt;"",X173,IF(W173&lt;&gt;"",W173,'Assumptions'!$B$8))),"")</f>
        <v/>
      </c>
      <c r="Z173" s="51">
        <f>IFERROR(IF(A173="","",R173*Y173),"")</f>
        <v/>
      </c>
      <c r="AA173" s="51">
        <f>IFERROR(IF(A173="","",Z173/H173),"")</f>
        <v/>
      </c>
      <c r="AB173" s="32" t="n"/>
      <c r="AC173" s="52" t="n"/>
      <c r="AD173" s="29">
        <f>IFERROR(IF(OR(A173="",AB173=""),"",AB173/H173),"")</f>
        <v/>
      </c>
      <c r="AE173" s="51">
        <f>IFERROR(IF(OR(A173="",AB173="",AC173=""),"",AB173*AC173),"")</f>
        <v/>
      </c>
      <c r="AF173" s="28">
        <f>IFERROR(IF(OR(A173="",AB173=""),"",AB173-R173),"")</f>
        <v/>
      </c>
      <c r="AG173" s="29">
        <f>IFERROR(IF(OR(A173="",AB173=""),"",IF(AD173-T173&lt;0,T173-AD173,AD173-T173)),"")</f>
        <v/>
      </c>
      <c r="AH173" s="51">
        <f>IFERROR(IF(OR(A173="",AE173=""),"",AE173-Z173),"")</f>
        <v/>
      </c>
      <c r="AI173" s="25">
        <f>IFERROR(IF(A173="","",IF(G173&gt;F173,"Check out-of-order rooms",IF(K173&gt;H173,"On the books exceeds sellable rooms",IF(R173&gt;H173,"Forecast exceeds sellable rooms",IF(AND(A173&lt;TODAY(),AB173=""),"Actual results missing","OK"))))),"")</f>
        <v/>
      </c>
    </row>
    <row r="174">
      <c r="A174" s="24" t="n"/>
      <c r="B174" s="25">
        <f>IFERROR(IF(A174="","",VLOOKUP(MOD(A174,7),'Assumptions'!$E$16:$F$22,2,0)),"")</f>
        <v/>
      </c>
      <c r="C174" s="25">
        <f>IFERROR(IF(A174="","",IF(A174&lt;TODAY(),"Past",IF(A174=TODAY(),"Today","Future"))),"")</f>
        <v/>
      </c>
      <c r="D174" s="26" t="n"/>
      <c r="E174" s="26" t="n"/>
      <c r="F174" s="27" t="n"/>
      <c r="G174" s="27" t="n"/>
      <c r="H174" s="28">
        <f>IFERROR(IF(A174="","",MAX(0,F174-G174)),"")</f>
        <v/>
      </c>
      <c r="I174" s="27" t="n"/>
      <c r="J174" s="27" t="n"/>
      <c r="K174" s="28">
        <f>IFERROR(IF(A174="","",I174+J174),"")</f>
        <v/>
      </c>
      <c r="L174" s="29">
        <f>IFERROR(IF(A174="","",K174/H174),"")</f>
        <v/>
      </c>
      <c r="M174" s="29">
        <f>IFERROR(IF(A174="","",VLOOKUP(B174,'Assumptions'!$A$16:$B$22,2,0)),"")</f>
        <v/>
      </c>
      <c r="N174" s="27" t="n"/>
      <c r="O174" s="27" t="n"/>
      <c r="P174" s="27" t="n"/>
      <c r="Q174" s="28">
        <f>IFERROR(IF(A174="","",MIN(H174,MAX(0,K174,ROUND(H174*M174,0)+N174+O174))),"")</f>
        <v/>
      </c>
      <c r="R174" s="28">
        <f>IFERROR(IF(A174="","",MIN(H174,MAX(0,IF(P174="",Q174,P174)))),"")</f>
        <v/>
      </c>
      <c r="S174" s="28">
        <f>IFERROR(IF(A174="","",MAX(0,R174-K174)),"")</f>
        <v/>
      </c>
      <c r="T174" s="29">
        <f>IFERROR(IF(A174="","",R174/H174),"")</f>
        <v/>
      </c>
      <c r="U174" s="29">
        <f>IFERROR(IF(A174="","",'Assumptions'!$B$5),"")</f>
        <v/>
      </c>
      <c r="V174" s="29">
        <f>IFERROR(IF(A174="","",T174-U174),"")</f>
        <v/>
      </c>
      <c r="W174" s="50" t="n"/>
      <c r="X174" s="50" t="n"/>
      <c r="Y174" s="51">
        <f>IFERROR(IF(A174="","",IF(X174&lt;&gt;"",X174,IF(W174&lt;&gt;"",W174,'Assumptions'!$B$8))),"")</f>
        <v/>
      </c>
      <c r="Z174" s="51">
        <f>IFERROR(IF(A174="","",R174*Y174),"")</f>
        <v/>
      </c>
      <c r="AA174" s="51">
        <f>IFERROR(IF(A174="","",Z174/H174),"")</f>
        <v/>
      </c>
      <c r="AB174" s="32" t="n"/>
      <c r="AC174" s="52" t="n"/>
      <c r="AD174" s="29">
        <f>IFERROR(IF(OR(A174="",AB174=""),"",AB174/H174),"")</f>
        <v/>
      </c>
      <c r="AE174" s="51">
        <f>IFERROR(IF(OR(A174="",AB174="",AC174=""),"",AB174*AC174),"")</f>
        <v/>
      </c>
      <c r="AF174" s="28">
        <f>IFERROR(IF(OR(A174="",AB174=""),"",AB174-R174),"")</f>
        <v/>
      </c>
      <c r="AG174" s="29">
        <f>IFERROR(IF(OR(A174="",AB174=""),"",IF(AD174-T174&lt;0,T174-AD174,AD174-T174)),"")</f>
        <v/>
      </c>
      <c r="AH174" s="51">
        <f>IFERROR(IF(OR(A174="",AE174=""),"",AE174-Z174),"")</f>
        <v/>
      </c>
      <c r="AI174" s="25">
        <f>IFERROR(IF(A174="","",IF(G174&gt;F174,"Check out-of-order rooms",IF(K174&gt;H174,"On the books exceeds sellable rooms",IF(R174&gt;H174,"Forecast exceeds sellable rooms",IF(AND(A174&lt;TODAY(),AB174=""),"Actual results missing","OK"))))),"")</f>
        <v/>
      </c>
    </row>
    <row r="175">
      <c r="A175" s="24" t="n"/>
      <c r="B175" s="25">
        <f>IFERROR(IF(A175="","",VLOOKUP(MOD(A175,7),'Assumptions'!$E$16:$F$22,2,0)),"")</f>
        <v/>
      </c>
      <c r="C175" s="25">
        <f>IFERROR(IF(A175="","",IF(A175&lt;TODAY(),"Past",IF(A175=TODAY(),"Today","Future"))),"")</f>
        <v/>
      </c>
      <c r="D175" s="26" t="n"/>
      <c r="E175" s="26" t="n"/>
      <c r="F175" s="27" t="n"/>
      <c r="G175" s="27" t="n"/>
      <c r="H175" s="28">
        <f>IFERROR(IF(A175="","",MAX(0,F175-G175)),"")</f>
        <v/>
      </c>
      <c r="I175" s="27" t="n"/>
      <c r="J175" s="27" t="n"/>
      <c r="K175" s="28">
        <f>IFERROR(IF(A175="","",I175+J175),"")</f>
        <v/>
      </c>
      <c r="L175" s="29">
        <f>IFERROR(IF(A175="","",K175/H175),"")</f>
        <v/>
      </c>
      <c r="M175" s="29">
        <f>IFERROR(IF(A175="","",VLOOKUP(B175,'Assumptions'!$A$16:$B$22,2,0)),"")</f>
        <v/>
      </c>
      <c r="N175" s="27" t="n"/>
      <c r="O175" s="27" t="n"/>
      <c r="P175" s="27" t="n"/>
      <c r="Q175" s="28">
        <f>IFERROR(IF(A175="","",MIN(H175,MAX(0,K175,ROUND(H175*M175,0)+N175+O175))),"")</f>
        <v/>
      </c>
      <c r="R175" s="28">
        <f>IFERROR(IF(A175="","",MIN(H175,MAX(0,IF(P175="",Q175,P175)))),"")</f>
        <v/>
      </c>
      <c r="S175" s="28">
        <f>IFERROR(IF(A175="","",MAX(0,R175-K175)),"")</f>
        <v/>
      </c>
      <c r="T175" s="29">
        <f>IFERROR(IF(A175="","",R175/H175),"")</f>
        <v/>
      </c>
      <c r="U175" s="29">
        <f>IFERROR(IF(A175="","",'Assumptions'!$B$5),"")</f>
        <v/>
      </c>
      <c r="V175" s="29">
        <f>IFERROR(IF(A175="","",T175-U175),"")</f>
        <v/>
      </c>
      <c r="W175" s="50" t="n"/>
      <c r="X175" s="50" t="n"/>
      <c r="Y175" s="51">
        <f>IFERROR(IF(A175="","",IF(X175&lt;&gt;"",X175,IF(W175&lt;&gt;"",W175,'Assumptions'!$B$8))),"")</f>
        <v/>
      </c>
      <c r="Z175" s="51">
        <f>IFERROR(IF(A175="","",R175*Y175),"")</f>
        <v/>
      </c>
      <c r="AA175" s="51">
        <f>IFERROR(IF(A175="","",Z175/H175),"")</f>
        <v/>
      </c>
      <c r="AB175" s="32" t="n"/>
      <c r="AC175" s="52" t="n"/>
      <c r="AD175" s="29">
        <f>IFERROR(IF(OR(A175="",AB175=""),"",AB175/H175),"")</f>
        <v/>
      </c>
      <c r="AE175" s="51">
        <f>IFERROR(IF(OR(A175="",AB175="",AC175=""),"",AB175*AC175),"")</f>
        <v/>
      </c>
      <c r="AF175" s="28">
        <f>IFERROR(IF(OR(A175="",AB175=""),"",AB175-R175),"")</f>
        <v/>
      </c>
      <c r="AG175" s="29">
        <f>IFERROR(IF(OR(A175="",AB175=""),"",IF(AD175-T175&lt;0,T175-AD175,AD175-T175)),"")</f>
        <v/>
      </c>
      <c r="AH175" s="51">
        <f>IFERROR(IF(OR(A175="",AE175=""),"",AE175-Z175),"")</f>
        <v/>
      </c>
      <c r="AI175" s="25">
        <f>IFERROR(IF(A175="","",IF(G175&gt;F175,"Check out-of-order rooms",IF(K175&gt;H175,"On the books exceeds sellable rooms",IF(R175&gt;H175,"Forecast exceeds sellable rooms",IF(AND(A175&lt;TODAY(),AB175=""),"Actual results missing","OK"))))),"")</f>
        <v/>
      </c>
    </row>
    <row r="176">
      <c r="A176" s="24" t="n"/>
      <c r="B176" s="25">
        <f>IFERROR(IF(A176="","",VLOOKUP(MOD(A176,7),'Assumptions'!$E$16:$F$22,2,0)),"")</f>
        <v/>
      </c>
      <c r="C176" s="25">
        <f>IFERROR(IF(A176="","",IF(A176&lt;TODAY(),"Past",IF(A176=TODAY(),"Today","Future"))),"")</f>
        <v/>
      </c>
      <c r="D176" s="26" t="n"/>
      <c r="E176" s="26" t="n"/>
      <c r="F176" s="27" t="n"/>
      <c r="G176" s="27" t="n"/>
      <c r="H176" s="28">
        <f>IFERROR(IF(A176="","",MAX(0,F176-G176)),"")</f>
        <v/>
      </c>
      <c r="I176" s="27" t="n"/>
      <c r="J176" s="27" t="n"/>
      <c r="K176" s="28">
        <f>IFERROR(IF(A176="","",I176+J176),"")</f>
        <v/>
      </c>
      <c r="L176" s="29">
        <f>IFERROR(IF(A176="","",K176/H176),"")</f>
        <v/>
      </c>
      <c r="M176" s="29">
        <f>IFERROR(IF(A176="","",VLOOKUP(B176,'Assumptions'!$A$16:$B$22,2,0)),"")</f>
        <v/>
      </c>
      <c r="N176" s="27" t="n"/>
      <c r="O176" s="27" t="n"/>
      <c r="P176" s="27" t="n"/>
      <c r="Q176" s="28">
        <f>IFERROR(IF(A176="","",MIN(H176,MAX(0,K176,ROUND(H176*M176,0)+N176+O176))),"")</f>
        <v/>
      </c>
      <c r="R176" s="28">
        <f>IFERROR(IF(A176="","",MIN(H176,MAX(0,IF(P176="",Q176,P176)))),"")</f>
        <v/>
      </c>
      <c r="S176" s="28">
        <f>IFERROR(IF(A176="","",MAX(0,R176-K176)),"")</f>
        <v/>
      </c>
      <c r="T176" s="29">
        <f>IFERROR(IF(A176="","",R176/H176),"")</f>
        <v/>
      </c>
      <c r="U176" s="29">
        <f>IFERROR(IF(A176="","",'Assumptions'!$B$5),"")</f>
        <v/>
      </c>
      <c r="V176" s="29">
        <f>IFERROR(IF(A176="","",T176-U176),"")</f>
        <v/>
      </c>
      <c r="W176" s="50" t="n"/>
      <c r="X176" s="50" t="n"/>
      <c r="Y176" s="51">
        <f>IFERROR(IF(A176="","",IF(X176&lt;&gt;"",X176,IF(W176&lt;&gt;"",W176,'Assumptions'!$B$8))),"")</f>
        <v/>
      </c>
      <c r="Z176" s="51">
        <f>IFERROR(IF(A176="","",R176*Y176),"")</f>
        <v/>
      </c>
      <c r="AA176" s="51">
        <f>IFERROR(IF(A176="","",Z176/H176),"")</f>
        <v/>
      </c>
      <c r="AB176" s="32" t="n"/>
      <c r="AC176" s="52" t="n"/>
      <c r="AD176" s="29">
        <f>IFERROR(IF(OR(A176="",AB176=""),"",AB176/H176),"")</f>
        <v/>
      </c>
      <c r="AE176" s="51">
        <f>IFERROR(IF(OR(A176="",AB176="",AC176=""),"",AB176*AC176),"")</f>
        <v/>
      </c>
      <c r="AF176" s="28">
        <f>IFERROR(IF(OR(A176="",AB176=""),"",AB176-R176),"")</f>
        <v/>
      </c>
      <c r="AG176" s="29">
        <f>IFERROR(IF(OR(A176="",AB176=""),"",IF(AD176-T176&lt;0,T176-AD176,AD176-T176)),"")</f>
        <v/>
      </c>
      <c r="AH176" s="51">
        <f>IFERROR(IF(OR(A176="",AE176=""),"",AE176-Z176),"")</f>
        <v/>
      </c>
      <c r="AI176" s="25">
        <f>IFERROR(IF(A176="","",IF(G176&gt;F176,"Check out-of-order rooms",IF(K176&gt;H176,"On the books exceeds sellable rooms",IF(R176&gt;H176,"Forecast exceeds sellable rooms",IF(AND(A176&lt;TODAY(),AB176=""),"Actual results missing","OK"))))),"")</f>
        <v/>
      </c>
    </row>
    <row r="177">
      <c r="A177" s="24" t="n"/>
      <c r="B177" s="25">
        <f>IFERROR(IF(A177="","",VLOOKUP(MOD(A177,7),'Assumptions'!$E$16:$F$22,2,0)),"")</f>
        <v/>
      </c>
      <c r="C177" s="25">
        <f>IFERROR(IF(A177="","",IF(A177&lt;TODAY(),"Past",IF(A177=TODAY(),"Today","Future"))),"")</f>
        <v/>
      </c>
      <c r="D177" s="26" t="n"/>
      <c r="E177" s="26" t="n"/>
      <c r="F177" s="27" t="n"/>
      <c r="G177" s="27" t="n"/>
      <c r="H177" s="28">
        <f>IFERROR(IF(A177="","",MAX(0,F177-G177)),"")</f>
        <v/>
      </c>
      <c r="I177" s="27" t="n"/>
      <c r="J177" s="27" t="n"/>
      <c r="K177" s="28">
        <f>IFERROR(IF(A177="","",I177+J177),"")</f>
        <v/>
      </c>
      <c r="L177" s="29">
        <f>IFERROR(IF(A177="","",K177/H177),"")</f>
        <v/>
      </c>
      <c r="M177" s="29">
        <f>IFERROR(IF(A177="","",VLOOKUP(B177,'Assumptions'!$A$16:$B$22,2,0)),"")</f>
        <v/>
      </c>
      <c r="N177" s="27" t="n"/>
      <c r="O177" s="27" t="n"/>
      <c r="P177" s="27" t="n"/>
      <c r="Q177" s="28">
        <f>IFERROR(IF(A177="","",MIN(H177,MAX(0,K177,ROUND(H177*M177,0)+N177+O177))),"")</f>
        <v/>
      </c>
      <c r="R177" s="28">
        <f>IFERROR(IF(A177="","",MIN(H177,MAX(0,IF(P177="",Q177,P177)))),"")</f>
        <v/>
      </c>
      <c r="S177" s="28">
        <f>IFERROR(IF(A177="","",MAX(0,R177-K177)),"")</f>
        <v/>
      </c>
      <c r="T177" s="29">
        <f>IFERROR(IF(A177="","",R177/H177),"")</f>
        <v/>
      </c>
      <c r="U177" s="29">
        <f>IFERROR(IF(A177="","",'Assumptions'!$B$5),"")</f>
        <v/>
      </c>
      <c r="V177" s="29">
        <f>IFERROR(IF(A177="","",T177-U177),"")</f>
        <v/>
      </c>
      <c r="W177" s="50" t="n"/>
      <c r="X177" s="50" t="n"/>
      <c r="Y177" s="51">
        <f>IFERROR(IF(A177="","",IF(X177&lt;&gt;"",X177,IF(W177&lt;&gt;"",W177,'Assumptions'!$B$8))),"")</f>
        <v/>
      </c>
      <c r="Z177" s="51">
        <f>IFERROR(IF(A177="","",R177*Y177),"")</f>
        <v/>
      </c>
      <c r="AA177" s="51">
        <f>IFERROR(IF(A177="","",Z177/H177),"")</f>
        <v/>
      </c>
      <c r="AB177" s="32" t="n"/>
      <c r="AC177" s="52" t="n"/>
      <c r="AD177" s="29">
        <f>IFERROR(IF(OR(A177="",AB177=""),"",AB177/H177),"")</f>
        <v/>
      </c>
      <c r="AE177" s="51">
        <f>IFERROR(IF(OR(A177="",AB177="",AC177=""),"",AB177*AC177),"")</f>
        <v/>
      </c>
      <c r="AF177" s="28">
        <f>IFERROR(IF(OR(A177="",AB177=""),"",AB177-R177),"")</f>
        <v/>
      </c>
      <c r="AG177" s="29">
        <f>IFERROR(IF(OR(A177="",AB177=""),"",IF(AD177-T177&lt;0,T177-AD177,AD177-T177)),"")</f>
        <v/>
      </c>
      <c r="AH177" s="51">
        <f>IFERROR(IF(OR(A177="",AE177=""),"",AE177-Z177),"")</f>
        <v/>
      </c>
      <c r="AI177" s="25">
        <f>IFERROR(IF(A177="","",IF(G177&gt;F177,"Check out-of-order rooms",IF(K177&gt;H177,"On the books exceeds sellable rooms",IF(R177&gt;H177,"Forecast exceeds sellable rooms",IF(AND(A177&lt;TODAY(),AB177=""),"Actual results missing","OK"))))),"")</f>
        <v/>
      </c>
    </row>
    <row r="178">
      <c r="A178" s="24" t="n"/>
      <c r="B178" s="25">
        <f>IFERROR(IF(A178="","",VLOOKUP(MOD(A178,7),'Assumptions'!$E$16:$F$22,2,0)),"")</f>
        <v/>
      </c>
      <c r="C178" s="25">
        <f>IFERROR(IF(A178="","",IF(A178&lt;TODAY(),"Past",IF(A178=TODAY(),"Today","Future"))),"")</f>
        <v/>
      </c>
      <c r="D178" s="26" t="n"/>
      <c r="E178" s="26" t="n"/>
      <c r="F178" s="27" t="n"/>
      <c r="G178" s="27" t="n"/>
      <c r="H178" s="28">
        <f>IFERROR(IF(A178="","",MAX(0,F178-G178)),"")</f>
        <v/>
      </c>
      <c r="I178" s="27" t="n"/>
      <c r="J178" s="27" t="n"/>
      <c r="K178" s="28">
        <f>IFERROR(IF(A178="","",I178+J178),"")</f>
        <v/>
      </c>
      <c r="L178" s="29">
        <f>IFERROR(IF(A178="","",K178/H178),"")</f>
        <v/>
      </c>
      <c r="M178" s="29">
        <f>IFERROR(IF(A178="","",VLOOKUP(B178,'Assumptions'!$A$16:$B$22,2,0)),"")</f>
        <v/>
      </c>
      <c r="N178" s="27" t="n"/>
      <c r="O178" s="27" t="n"/>
      <c r="P178" s="27" t="n"/>
      <c r="Q178" s="28">
        <f>IFERROR(IF(A178="","",MIN(H178,MAX(0,K178,ROUND(H178*M178,0)+N178+O178))),"")</f>
        <v/>
      </c>
      <c r="R178" s="28">
        <f>IFERROR(IF(A178="","",MIN(H178,MAX(0,IF(P178="",Q178,P178)))),"")</f>
        <v/>
      </c>
      <c r="S178" s="28">
        <f>IFERROR(IF(A178="","",MAX(0,R178-K178)),"")</f>
        <v/>
      </c>
      <c r="T178" s="29">
        <f>IFERROR(IF(A178="","",R178/H178),"")</f>
        <v/>
      </c>
      <c r="U178" s="29">
        <f>IFERROR(IF(A178="","",'Assumptions'!$B$5),"")</f>
        <v/>
      </c>
      <c r="V178" s="29">
        <f>IFERROR(IF(A178="","",T178-U178),"")</f>
        <v/>
      </c>
      <c r="W178" s="50" t="n"/>
      <c r="X178" s="50" t="n"/>
      <c r="Y178" s="51">
        <f>IFERROR(IF(A178="","",IF(X178&lt;&gt;"",X178,IF(W178&lt;&gt;"",W178,'Assumptions'!$B$8))),"")</f>
        <v/>
      </c>
      <c r="Z178" s="51">
        <f>IFERROR(IF(A178="","",R178*Y178),"")</f>
        <v/>
      </c>
      <c r="AA178" s="51">
        <f>IFERROR(IF(A178="","",Z178/H178),"")</f>
        <v/>
      </c>
      <c r="AB178" s="32" t="n"/>
      <c r="AC178" s="52" t="n"/>
      <c r="AD178" s="29">
        <f>IFERROR(IF(OR(A178="",AB178=""),"",AB178/H178),"")</f>
        <v/>
      </c>
      <c r="AE178" s="51">
        <f>IFERROR(IF(OR(A178="",AB178="",AC178=""),"",AB178*AC178),"")</f>
        <v/>
      </c>
      <c r="AF178" s="28">
        <f>IFERROR(IF(OR(A178="",AB178=""),"",AB178-R178),"")</f>
        <v/>
      </c>
      <c r="AG178" s="29">
        <f>IFERROR(IF(OR(A178="",AB178=""),"",IF(AD178-T178&lt;0,T178-AD178,AD178-T178)),"")</f>
        <v/>
      </c>
      <c r="AH178" s="51">
        <f>IFERROR(IF(OR(A178="",AE178=""),"",AE178-Z178),"")</f>
        <v/>
      </c>
      <c r="AI178" s="25">
        <f>IFERROR(IF(A178="","",IF(G178&gt;F178,"Check out-of-order rooms",IF(K178&gt;H178,"On the books exceeds sellable rooms",IF(R178&gt;H178,"Forecast exceeds sellable rooms",IF(AND(A178&lt;TODAY(),AB178=""),"Actual results missing","OK"))))),"")</f>
        <v/>
      </c>
    </row>
    <row r="179">
      <c r="A179" s="24" t="n"/>
      <c r="B179" s="25">
        <f>IFERROR(IF(A179="","",VLOOKUP(MOD(A179,7),'Assumptions'!$E$16:$F$22,2,0)),"")</f>
        <v/>
      </c>
      <c r="C179" s="25">
        <f>IFERROR(IF(A179="","",IF(A179&lt;TODAY(),"Past",IF(A179=TODAY(),"Today","Future"))),"")</f>
        <v/>
      </c>
      <c r="D179" s="26" t="n"/>
      <c r="E179" s="26" t="n"/>
      <c r="F179" s="27" t="n"/>
      <c r="G179" s="27" t="n"/>
      <c r="H179" s="28">
        <f>IFERROR(IF(A179="","",MAX(0,F179-G179)),"")</f>
        <v/>
      </c>
      <c r="I179" s="27" t="n"/>
      <c r="J179" s="27" t="n"/>
      <c r="K179" s="28">
        <f>IFERROR(IF(A179="","",I179+J179),"")</f>
        <v/>
      </c>
      <c r="L179" s="29">
        <f>IFERROR(IF(A179="","",K179/H179),"")</f>
        <v/>
      </c>
      <c r="M179" s="29">
        <f>IFERROR(IF(A179="","",VLOOKUP(B179,'Assumptions'!$A$16:$B$22,2,0)),"")</f>
        <v/>
      </c>
      <c r="N179" s="27" t="n"/>
      <c r="O179" s="27" t="n"/>
      <c r="P179" s="27" t="n"/>
      <c r="Q179" s="28">
        <f>IFERROR(IF(A179="","",MIN(H179,MAX(0,K179,ROUND(H179*M179,0)+N179+O179))),"")</f>
        <v/>
      </c>
      <c r="R179" s="28">
        <f>IFERROR(IF(A179="","",MIN(H179,MAX(0,IF(P179="",Q179,P179)))),"")</f>
        <v/>
      </c>
      <c r="S179" s="28">
        <f>IFERROR(IF(A179="","",MAX(0,R179-K179)),"")</f>
        <v/>
      </c>
      <c r="T179" s="29">
        <f>IFERROR(IF(A179="","",R179/H179),"")</f>
        <v/>
      </c>
      <c r="U179" s="29">
        <f>IFERROR(IF(A179="","",'Assumptions'!$B$5),"")</f>
        <v/>
      </c>
      <c r="V179" s="29">
        <f>IFERROR(IF(A179="","",T179-U179),"")</f>
        <v/>
      </c>
      <c r="W179" s="50" t="n"/>
      <c r="X179" s="50" t="n"/>
      <c r="Y179" s="51">
        <f>IFERROR(IF(A179="","",IF(X179&lt;&gt;"",X179,IF(W179&lt;&gt;"",W179,'Assumptions'!$B$8))),"")</f>
        <v/>
      </c>
      <c r="Z179" s="51">
        <f>IFERROR(IF(A179="","",R179*Y179),"")</f>
        <v/>
      </c>
      <c r="AA179" s="51">
        <f>IFERROR(IF(A179="","",Z179/H179),"")</f>
        <v/>
      </c>
      <c r="AB179" s="32" t="n"/>
      <c r="AC179" s="52" t="n"/>
      <c r="AD179" s="29">
        <f>IFERROR(IF(OR(A179="",AB179=""),"",AB179/H179),"")</f>
        <v/>
      </c>
      <c r="AE179" s="51">
        <f>IFERROR(IF(OR(A179="",AB179="",AC179=""),"",AB179*AC179),"")</f>
        <v/>
      </c>
      <c r="AF179" s="28">
        <f>IFERROR(IF(OR(A179="",AB179=""),"",AB179-R179),"")</f>
        <v/>
      </c>
      <c r="AG179" s="29">
        <f>IFERROR(IF(OR(A179="",AB179=""),"",IF(AD179-T179&lt;0,T179-AD179,AD179-T179)),"")</f>
        <v/>
      </c>
      <c r="AH179" s="51">
        <f>IFERROR(IF(OR(A179="",AE179=""),"",AE179-Z179),"")</f>
        <v/>
      </c>
      <c r="AI179" s="25">
        <f>IFERROR(IF(A179="","",IF(G179&gt;F179,"Check out-of-order rooms",IF(K179&gt;H179,"On the books exceeds sellable rooms",IF(R179&gt;H179,"Forecast exceeds sellable rooms",IF(AND(A179&lt;TODAY(),AB179=""),"Actual results missing","OK"))))),"")</f>
        <v/>
      </c>
    </row>
    <row r="180">
      <c r="A180" s="24" t="n"/>
      <c r="B180" s="25">
        <f>IFERROR(IF(A180="","",VLOOKUP(MOD(A180,7),'Assumptions'!$E$16:$F$22,2,0)),"")</f>
        <v/>
      </c>
      <c r="C180" s="25">
        <f>IFERROR(IF(A180="","",IF(A180&lt;TODAY(),"Past",IF(A180=TODAY(),"Today","Future"))),"")</f>
        <v/>
      </c>
      <c r="D180" s="26" t="n"/>
      <c r="E180" s="26" t="n"/>
      <c r="F180" s="27" t="n"/>
      <c r="G180" s="27" t="n"/>
      <c r="H180" s="28">
        <f>IFERROR(IF(A180="","",MAX(0,F180-G180)),"")</f>
        <v/>
      </c>
      <c r="I180" s="27" t="n"/>
      <c r="J180" s="27" t="n"/>
      <c r="K180" s="28">
        <f>IFERROR(IF(A180="","",I180+J180),"")</f>
        <v/>
      </c>
      <c r="L180" s="29">
        <f>IFERROR(IF(A180="","",K180/H180),"")</f>
        <v/>
      </c>
      <c r="M180" s="29">
        <f>IFERROR(IF(A180="","",VLOOKUP(B180,'Assumptions'!$A$16:$B$22,2,0)),"")</f>
        <v/>
      </c>
      <c r="N180" s="27" t="n"/>
      <c r="O180" s="27" t="n"/>
      <c r="P180" s="27" t="n"/>
      <c r="Q180" s="28">
        <f>IFERROR(IF(A180="","",MIN(H180,MAX(0,K180,ROUND(H180*M180,0)+N180+O180))),"")</f>
        <v/>
      </c>
      <c r="R180" s="28">
        <f>IFERROR(IF(A180="","",MIN(H180,MAX(0,IF(P180="",Q180,P180)))),"")</f>
        <v/>
      </c>
      <c r="S180" s="28">
        <f>IFERROR(IF(A180="","",MAX(0,R180-K180)),"")</f>
        <v/>
      </c>
      <c r="T180" s="29">
        <f>IFERROR(IF(A180="","",R180/H180),"")</f>
        <v/>
      </c>
      <c r="U180" s="29">
        <f>IFERROR(IF(A180="","",'Assumptions'!$B$5),"")</f>
        <v/>
      </c>
      <c r="V180" s="29">
        <f>IFERROR(IF(A180="","",T180-U180),"")</f>
        <v/>
      </c>
      <c r="W180" s="50" t="n"/>
      <c r="X180" s="50" t="n"/>
      <c r="Y180" s="51">
        <f>IFERROR(IF(A180="","",IF(X180&lt;&gt;"",X180,IF(W180&lt;&gt;"",W180,'Assumptions'!$B$8))),"")</f>
        <v/>
      </c>
      <c r="Z180" s="51">
        <f>IFERROR(IF(A180="","",R180*Y180),"")</f>
        <v/>
      </c>
      <c r="AA180" s="51">
        <f>IFERROR(IF(A180="","",Z180/H180),"")</f>
        <v/>
      </c>
      <c r="AB180" s="32" t="n"/>
      <c r="AC180" s="52" t="n"/>
      <c r="AD180" s="29">
        <f>IFERROR(IF(OR(A180="",AB180=""),"",AB180/H180),"")</f>
        <v/>
      </c>
      <c r="AE180" s="51">
        <f>IFERROR(IF(OR(A180="",AB180="",AC180=""),"",AB180*AC180),"")</f>
        <v/>
      </c>
      <c r="AF180" s="28">
        <f>IFERROR(IF(OR(A180="",AB180=""),"",AB180-R180),"")</f>
        <v/>
      </c>
      <c r="AG180" s="29">
        <f>IFERROR(IF(OR(A180="",AB180=""),"",IF(AD180-T180&lt;0,T180-AD180,AD180-T180)),"")</f>
        <v/>
      </c>
      <c r="AH180" s="51">
        <f>IFERROR(IF(OR(A180="",AE180=""),"",AE180-Z180),"")</f>
        <v/>
      </c>
      <c r="AI180" s="25">
        <f>IFERROR(IF(A180="","",IF(G180&gt;F180,"Check out-of-order rooms",IF(K180&gt;H180,"On the books exceeds sellable rooms",IF(R180&gt;H180,"Forecast exceeds sellable rooms",IF(AND(A180&lt;TODAY(),AB180=""),"Actual results missing","OK"))))),"")</f>
        <v/>
      </c>
    </row>
    <row r="181">
      <c r="A181" s="24" t="n"/>
      <c r="B181" s="25">
        <f>IFERROR(IF(A181="","",VLOOKUP(MOD(A181,7),'Assumptions'!$E$16:$F$22,2,0)),"")</f>
        <v/>
      </c>
      <c r="C181" s="25">
        <f>IFERROR(IF(A181="","",IF(A181&lt;TODAY(),"Past",IF(A181=TODAY(),"Today","Future"))),"")</f>
        <v/>
      </c>
      <c r="D181" s="26" t="n"/>
      <c r="E181" s="26" t="n"/>
      <c r="F181" s="27" t="n"/>
      <c r="G181" s="27" t="n"/>
      <c r="H181" s="28">
        <f>IFERROR(IF(A181="","",MAX(0,F181-G181)),"")</f>
        <v/>
      </c>
      <c r="I181" s="27" t="n"/>
      <c r="J181" s="27" t="n"/>
      <c r="K181" s="28">
        <f>IFERROR(IF(A181="","",I181+J181),"")</f>
        <v/>
      </c>
      <c r="L181" s="29">
        <f>IFERROR(IF(A181="","",K181/H181),"")</f>
        <v/>
      </c>
      <c r="M181" s="29">
        <f>IFERROR(IF(A181="","",VLOOKUP(B181,'Assumptions'!$A$16:$B$22,2,0)),"")</f>
        <v/>
      </c>
      <c r="N181" s="27" t="n"/>
      <c r="O181" s="27" t="n"/>
      <c r="P181" s="27" t="n"/>
      <c r="Q181" s="28">
        <f>IFERROR(IF(A181="","",MIN(H181,MAX(0,K181,ROUND(H181*M181,0)+N181+O181))),"")</f>
        <v/>
      </c>
      <c r="R181" s="28">
        <f>IFERROR(IF(A181="","",MIN(H181,MAX(0,IF(P181="",Q181,P181)))),"")</f>
        <v/>
      </c>
      <c r="S181" s="28">
        <f>IFERROR(IF(A181="","",MAX(0,R181-K181)),"")</f>
        <v/>
      </c>
      <c r="T181" s="29">
        <f>IFERROR(IF(A181="","",R181/H181),"")</f>
        <v/>
      </c>
      <c r="U181" s="29">
        <f>IFERROR(IF(A181="","",'Assumptions'!$B$5),"")</f>
        <v/>
      </c>
      <c r="V181" s="29">
        <f>IFERROR(IF(A181="","",T181-U181),"")</f>
        <v/>
      </c>
      <c r="W181" s="50" t="n"/>
      <c r="X181" s="50" t="n"/>
      <c r="Y181" s="51">
        <f>IFERROR(IF(A181="","",IF(X181&lt;&gt;"",X181,IF(W181&lt;&gt;"",W181,'Assumptions'!$B$8))),"")</f>
        <v/>
      </c>
      <c r="Z181" s="51">
        <f>IFERROR(IF(A181="","",R181*Y181),"")</f>
        <v/>
      </c>
      <c r="AA181" s="51">
        <f>IFERROR(IF(A181="","",Z181/H181),"")</f>
        <v/>
      </c>
      <c r="AB181" s="32" t="n"/>
      <c r="AC181" s="52" t="n"/>
      <c r="AD181" s="29">
        <f>IFERROR(IF(OR(A181="",AB181=""),"",AB181/H181),"")</f>
        <v/>
      </c>
      <c r="AE181" s="51">
        <f>IFERROR(IF(OR(A181="",AB181="",AC181=""),"",AB181*AC181),"")</f>
        <v/>
      </c>
      <c r="AF181" s="28">
        <f>IFERROR(IF(OR(A181="",AB181=""),"",AB181-R181),"")</f>
        <v/>
      </c>
      <c r="AG181" s="29">
        <f>IFERROR(IF(OR(A181="",AB181=""),"",IF(AD181-T181&lt;0,T181-AD181,AD181-T181)),"")</f>
        <v/>
      </c>
      <c r="AH181" s="51">
        <f>IFERROR(IF(OR(A181="",AE181=""),"",AE181-Z181),"")</f>
        <v/>
      </c>
      <c r="AI181" s="25">
        <f>IFERROR(IF(A181="","",IF(G181&gt;F181,"Check out-of-order rooms",IF(K181&gt;H181,"On the books exceeds sellable rooms",IF(R181&gt;H181,"Forecast exceeds sellable rooms",IF(AND(A181&lt;TODAY(),AB181=""),"Actual results missing","OK"))))),"")</f>
        <v/>
      </c>
    </row>
    <row r="182">
      <c r="A182" s="24" t="n"/>
      <c r="B182" s="25">
        <f>IFERROR(IF(A182="","",VLOOKUP(MOD(A182,7),'Assumptions'!$E$16:$F$22,2,0)),"")</f>
        <v/>
      </c>
      <c r="C182" s="25">
        <f>IFERROR(IF(A182="","",IF(A182&lt;TODAY(),"Past",IF(A182=TODAY(),"Today","Future"))),"")</f>
        <v/>
      </c>
      <c r="D182" s="26" t="n"/>
      <c r="E182" s="26" t="n"/>
      <c r="F182" s="27" t="n"/>
      <c r="G182" s="27" t="n"/>
      <c r="H182" s="28">
        <f>IFERROR(IF(A182="","",MAX(0,F182-G182)),"")</f>
        <v/>
      </c>
      <c r="I182" s="27" t="n"/>
      <c r="J182" s="27" t="n"/>
      <c r="K182" s="28">
        <f>IFERROR(IF(A182="","",I182+J182),"")</f>
        <v/>
      </c>
      <c r="L182" s="29">
        <f>IFERROR(IF(A182="","",K182/H182),"")</f>
        <v/>
      </c>
      <c r="M182" s="29">
        <f>IFERROR(IF(A182="","",VLOOKUP(B182,'Assumptions'!$A$16:$B$22,2,0)),"")</f>
        <v/>
      </c>
      <c r="N182" s="27" t="n"/>
      <c r="O182" s="27" t="n"/>
      <c r="P182" s="27" t="n"/>
      <c r="Q182" s="28">
        <f>IFERROR(IF(A182="","",MIN(H182,MAX(0,K182,ROUND(H182*M182,0)+N182+O182))),"")</f>
        <v/>
      </c>
      <c r="R182" s="28">
        <f>IFERROR(IF(A182="","",MIN(H182,MAX(0,IF(P182="",Q182,P182)))),"")</f>
        <v/>
      </c>
      <c r="S182" s="28">
        <f>IFERROR(IF(A182="","",MAX(0,R182-K182)),"")</f>
        <v/>
      </c>
      <c r="T182" s="29">
        <f>IFERROR(IF(A182="","",R182/H182),"")</f>
        <v/>
      </c>
      <c r="U182" s="29">
        <f>IFERROR(IF(A182="","",'Assumptions'!$B$5),"")</f>
        <v/>
      </c>
      <c r="V182" s="29">
        <f>IFERROR(IF(A182="","",T182-U182),"")</f>
        <v/>
      </c>
      <c r="W182" s="50" t="n"/>
      <c r="X182" s="50" t="n"/>
      <c r="Y182" s="51">
        <f>IFERROR(IF(A182="","",IF(X182&lt;&gt;"",X182,IF(W182&lt;&gt;"",W182,'Assumptions'!$B$8))),"")</f>
        <v/>
      </c>
      <c r="Z182" s="51">
        <f>IFERROR(IF(A182="","",R182*Y182),"")</f>
        <v/>
      </c>
      <c r="AA182" s="51">
        <f>IFERROR(IF(A182="","",Z182/H182),"")</f>
        <v/>
      </c>
      <c r="AB182" s="32" t="n"/>
      <c r="AC182" s="52" t="n"/>
      <c r="AD182" s="29">
        <f>IFERROR(IF(OR(A182="",AB182=""),"",AB182/H182),"")</f>
        <v/>
      </c>
      <c r="AE182" s="51">
        <f>IFERROR(IF(OR(A182="",AB182="",AC182=""),"",AB182*AC182),"")</f>
        <v/>
      </c>
      <c r="AF182" s="28">
        <f>IFERROR(IF(OR(A182="",AB182=""),"",AB182-R182),"")</f>
        <v/>
      </c>
      <c r="AG182" s="29">
        <f>IFERROR(IF(OR(A182="",AB182=""),"",IF(AD182-T182&lt;0,T182-AD182,AD182-T182)),"")</f>
        <v/>
      </c>
      <c r="AH182" s="51">
        <f>IFERROR(IF(OR(A182="",AE182=""),"",AE182-Z182),"")</f>
        <v/>
      </c>
      <c r="AI182" s="25">
        <f>IFERROR(IF(A182="","",IF(G182&gt;F182,"Check out-of-order rooms",IF(K182&gt;H182,"On the books exceeds sellable rooms",IF(R182&gt;H182,"Forecast exceeds sellable rooms",IF(AND(A182&lt;TODAY(),AB182=""),"Actual results missing","OK"))))),"")</f>
        <v/>
      </c>
    </row>
    <row r="183">
      <c r="A183" s="24" t="n"/>
      <c r="B183" s="25">
        <f>IFERROR(IF(A183="","",VLOOKUP(MOD(A183,7),'Assumptions'!$E$16:$F$22,2,0)),"")</f>
        <v/>
      </c>
      <c r="C183" s="25">
        <f>IFERROR(IF(A183="","",IF(A183&lt;TODAY(),"Past",IF(A183=TODAY(),"Today","Future"))),"")</f>
        <v/>
      </c>
      <c r="D183" s="26" t="n"/>
      <c r="E183" s="26" t="n"/>
      <c r="F183" s="27" t="n"/>
      <c r="G183" s="27" t="n"/>
      <c r="H183" s="28">
        <f>IFERROR(IF(A183="","",MAX(0,F183-G183)),"")</f>
        <v/>
      </c>
      <c r="I183" s="27" t="n"/>
      <c r="J183" s="27" t="n"/>
      <c r="K183" s="28">
        <f>IFERROR(IF(A183="","",I183+J183),"")</f>
        <v/>
      </c>
      <c r="L183" s="29">
        <f>IFERROR(IF(A183="","",K183/H183),"")</f>
        <v/>
      </c>
      <c r="M183" s="29">
        <f>IFERROR(IF(A183="","",VLOOKUP(B183,'Assumptions'!$A$16:$B$22,2,0)),"")</f>
        <v/>
      </c>
      <c r="N183" s="27" t="n"/>
      <c r="O183" s="27" t="n"/>
      <c r="P183" s="27" t="n"/>
      <c r="Q183" s="28">
        <f>IFERROR(IF(A183="","",MIN(H183,MAX(0,K183,ROUND(H183*M183,0)+N183+O183))),"")</f>
        <v/>
      </c>
      <c r="R183" s="28">
        <f>IFERROR(IF(A183="","",MIN(H183,MAX(0,IF(P183="",Q183,P183)))),"")</f>
        <v/>
      </c>
      <c r="S183" s="28">
        <f>IFERROR(IF(A183="","",MAX(0,R183-K183)),"")</f>
        <v/>
      </c>
      <c r="T183" s="29">
        <f>IFERROR(IF(A183="","",R183/H183),"")</f>
        <v/>
      </c>
      <c r="U183" s="29">
        <f>IFERROR(IF(A183="","",'Assumptions'!$B$5),"")</f>
        <v/>
      </c>
      <c r="V183" s="29">
        <f>IFERROR(IF(A183="","",T183-U183),"")</f>
        <v/>
      </c>
      <c r="W183" s="50" t="n"/>
      <c r="X183" s="50" t="n"/>
      <c r="Y183" s="51">
        <f>IFERROR(IF(A183="","",IF(X183&lt;&gt;"",X183,IF(W183&lt;&gt;"",W183,'Assumptions'!$B$8))),"")</f>
        <v/>
      </c>
      <c r="Z183" s="51">
        <f>IFERROR(IF(A183="","",R183*Y183),"")</f>
        <v/>
      </c>
      <c r="AA183" s="51">
        <f>IFERROR(IF(A183="","",Z183/H183),"")</f>
        <v/>
      </c>
      <c r="AB183" s="32" t="n"/>
      <c r="AC183" s="52" t="n"/>
      <c r="AD183" s="29">
        <f>IFERROR(IF(OR(A183="",AB183=""),"",AB183/H183),"")</f>
        <v/>
      </c>
      <c r="AE183" s="51">
        <f>IFERROR(IF(OR(A183="",AB183="",AC183=""),"",AB183*AC183),"")</f>
        <v/>
      </c>
      <c r="AF183" s="28">
        <f>IFERROR(IF(OR(A183="",AB183=""),"",AB183-R183),"")</f>
        <v/>
      </c>
      <c r="AG183" s="29">
        <f>IFERROR(IF(OR(A183="",AB183=""),"",IF(AD183-T183&lt;0,T183-AD183,AD183-T183)),"")</f>
        <v/>
      </c>
      <c r="AH183" s="51">
        <f>IFERROR(IF(OR(A183="",AE183=""),"",AE183-Z183),"")</f>
        <v/>
      </c>
      <c r="AI183" s="25">
        <f>IFERROR(IF(A183="","",IF(G183&gt;F183,"Check out-of-order rooms",IF(K183&gt;H183,"On the books exceeds sellable rooms",IF(R183&gt;H183,"Forecast exceeds sellable rooms",IF(AND(A183&lt;TODAY(),AB183=""),"Actual results missing","OK"))))),"")</f>
        <v/>
      </c>
    </row>
    <row r="184">
      <c r="A184" s="24" t="n"/>
      <c r="B184" s="25">
        <f>IFERROR(IF(A184="","",VLOOKUP(MOD(A184,7),'Assumptions'!$E$16:$F$22,2,0)),"")</f>
        <v/>
      </c>
      <c r="C184" s="25">
        <f>IFERROR(IF(A184="","",IF(A184&lt;TODAY(),"Past",IF(A184=TODAY(),"Today","Future"))),"")</f>
        <v/>
      </c>
      <c r="D184" s="26" t="n"/>
      <c r="E184" s="26" t="n"/>
      <c r="F184" s="27" t="n"/>
      <c r="G184" s="27" t="n"/>
      <c r="H184" s="28">
        <f>IFERROR(IF(A184="","",MAX(0,F184-G184)),"")</f>
        <v/>
      </c>
      <c r="I184" s="27" t="n"/>
      <c r="J184" s="27" t="n"/>
      <c r="K184" s="28">
        <f>IFERROR(IF(A184="","",I184+J184),"")</f>
        <v/>
      </c>
      <c r="L184" s="29">
        <f>IFERROR(IF(A184="","",K184/H184),"")</f>
        <v/>
      </c>
      <c r="M184" s="29">
        <f>IFERROR(IF(A184="","",VLOOKUP(B184,'Assumptions'!$A$16:$B$22,2,0)),"")</f>
        <v/>
      </c>
      <c r="N184" s="27" t="n"/>
      <c r="O184" s="27" t="n"/>
      <c r="P184" s="27" t="n"/>
      <c r="Q184" s="28">
        <f>IFERROR(IF(A184="","",MIN(H184,MAX(0,K184,ROUND(H184*M184,0)+N184+O184))),"")</f>
        <v/>
      </c>
      <c r="R184" s="28">
        <f>IFERROR(IF(A184="","",MIN(H184,MAX(0,IF(P184="",Q184,P184)))),"")</f>
        <v/>
      </c>
      <c r="S184" s="28">
        <f>IFERROR(IF(A184="","",MAX(0,R184-K184)),"")</f>
        <v/>
      </c>
      <c r="T184" s="29">
        <f>IFERROR(IF(A184="","",R184/H184),"")</f>
        <v/>
      </c>
      <c r="U184" s="29">
        <f>IFERROR(IF(A184="","",'Assumptions'!$B$5),"")</f>
        <v/>
      </c>
      <c r="V184" s="29">
        <f>IFERROR(IF(A184="","",T184-U184),"")</f>
        <v/>
      </c>
      <c r="W184" s="50" t="n"/>
      <c r="X184" s="50" t="n"/>
      <c r="Y184" s="51">
        <f>IFERROR(IF(A184="","",IF(X184&lt;&gt;"",X184,IF(W184&lt;&gt;"",W184,'Assumptions'!$B$8))),"")</f>
        <v/>
      </c>
      <c r="Z184" s="51">
        <f>IFERROR(IF(A184="","",R184*Y184),"")</f>
        <v/>
      </c>
      <c r="AA184" s="51">
        <f>IFERROR(IF(A184="","",Z184/H184),"")</f>
        <v/>
      </c>
      <c r="AB184" s="32" t="n"/>
      <c r="AC184" s="52" t="n"/>
      <c r="AD184" s="29">
        <f>IFERROR(IF(OR(A184="",AB184=""),"",AB184/H184),"")</f>
        <v/>
      </c>
      <c r="AE184" s="51">
        <f>IFERROR(IF(OR(A184="",AB184="",AC184=""),"",AB184*AC184),"")</f>
        <v/>
      </c>
      <c r="AF184" s="28">
        <f>IFERROR(IF(OR(A184="",AB184=""),"",AB184-R184),"")</f>
        <v/>
      </c>
      <c r="AG184" s="29">
        <f>IFERROR(IF(OR(A184="",AB184=""),"",IF(AD184-T184&lt;0,T184-AD184,AD184-T184)),"")</f>
        <v/>
      </c>
      <c r="AH184" s="51">
        <f>IFERROR(IF(OR(A184="",AE184=""),"",AE184-Z184),"")</f>
        <v/>
      </c>
      <c r="AI184" s="25">
        <f>IFERROR(IF(A184="","",IF(G184&gt;F184,"Check out-of-order rooms",IF(K184&gt;H184,"On the books exceeds sellable rooms",IF(R184&gt;H184,"Forecast exceeds sellable rooms",IF(AND(A184&lt;TODAY(),AB184=""),"Actual results missing","OK"))))),"")</f>
        <v/>
      </c>
    </row>
    <row r="185">
      <c r="A185" s="24" t="n"/>
      <c r="B185" s="25">
        <f>IFERROR(IF(A185="","",VLOOKUP(MOD(A185,7),'Assumptions'!$E$16:$F$22,2,0)),"")</f>
        <v/>
      </c>
      <c r="C185" s="25">
        <f>IFERROR(IF(A185="","",IF(A185&lt;TODAY(),"Past",IF(A185=TODAY(),"Today","Future"))),"")</f>
        <v/>
      </c>
      <c r="D185" s="26" t="n"/>
      <c r="E185" s="26" t="n"/>
      <c r="F185" s="27" t="n"/>
      <c r="G185" s="27" t="n"/>
      <c r="H185" s="28">
        <f>IFERROR(IF(A185="","",MAX(0,F185-G185)),"")</f>
        <v/>
      </c>
      <c r="I185" s="27" t="n"/>
      <c r="J185" s="27" t="n"/>
      <c r="K185" s="28">
        <f>IFERROR(IF(A185="","",I185+J185),"")</f>
        <v/>
      </c>
      <c r="L185" s="29">
        <f>IFERROR(IF(A185="","",K185/H185),"")</f>
        <v/>
      </c>
      <c r="M185" s="29">
        <f>IFERROR(IF(A185="","",VLOOKUP(B185,'Assumptions'!$A$16:$B$22,2,0)),"")</f>
        <v/>
      </c>
      <c r="N185" s="27" t="n"/>
      <c r="O185" s="27" t="n"/>
      <c r="P185" s="27" t="n"/>
      <c r="Q185" s="28">
        <f>IFERROR(IF(A185="","",MIN(H185,MAX(0,K185,ROUND(H185*M185,0)+N185+O185))),"")</f>
        <v/>
      </c>
      <c r="R185" s="28">
        <f>IFERROR(IF(A185="","",MIN(H185,MAX(0,IF(P185="",Q185,P185)))),"")</f>
        <v/>
      </c>
      <c r="S185" s="28">
        <f>IFERROR(IF(A185="","",MAX(0,R185-K185)),"")</f>
        <v/>
      </c>
      <c r="T185" s="29">
        <f>IFERROR(IF(A185="","",R185/H185),"")</f>
        <v/>
      </c>
      <c r="U185" s="29">
        <f>IFERROR(IF(A185="","",'Assumptions'!$B$5),"")</f>
        <v/>
      </c>
      <c r="V185" s="29">
        <f>IFERROR(IF(A185="","",T185-U185),"")</f>
        <v/>
      </c>
      <c r="W185" s="50" t="n"/>
      <c r="X185" s="50" t="n"/>
      <c r="Y185" s="51">
        <f>IFERROR(IF(A185="","",IF(X185&lt;&gt;"",X185,IF(W185&lt;&gt;"",W185,'Assumptions'!$B$8))),"")</f>
        <v/>
      </c>
      <c r="Z185" s="51">
        <f>IFERROR(IF(A185="","",R185*Y185),"")</f>
        <v/>
      </c>
      <c r="AA185" s="51">
        <f>IFERROR(IF(A185="","",Z185/H185),"")</f>
        <v/>
      </c>
      <c r="AB185" s="32" t="n"/>
      <c r="AC185" s="52" t="n"/>
      <c r="AD185" s="29">
        <f>IFERROR(IF(OR(A185="",AB185=""),"",AB185/H185),"")</f>
        <v/>
      </c>
      <c r="AE185" s="51">
        <f>IFERROR(IF(OR(A185="",AB185="",AC185=""),"",AB185*AC185),"")</f>
        <v/>
      </c>
      <c r="AF185" s="28">
        <f>IFERROR(IF(OR(A185="",AB185=""),"",AB185-R185),"")</f>
        <v/>
      </c>
      <c r="AG185" s="29">
        <f>IFERROR(IF(OR(A185="",AB185=""),"",IF(AD185-T185&lt;0,T185-AD185,AD185-T185)),"")</f>
        <v/>
      </c>
      <c r="AH185" s="51">
        <f>IFERROR(IF(OR(A185="",AE185=""),"",AE185-Z185),"")</f>
        <v/>
      </c>
      <c r="AI185" s="25">
        <f>IFERROR(IF(A185="","",IF(G185&gt;F185,"Check out-of-order rooms",IF(K185&gt;H185,"On the books exceeds sellable rooms",IF(R185&gt;H185,"Forecast exceeds sellable rooms",IF(AND(A185&lt;TODAY(),AB185=""),"Actual results missing","OK"))))),"")</f>
        <v/>
      </c>
    </row>
    <row r="186">
      <c r="A186" s="24" t="n"/>
      <c r="B186" s="25">
        <f>IFERROR(IF(A186="","",VLOOKUP(MOD(A186,7),'Assumptions'!$E$16:$F$22,2,0)),"")</f>
        <v/>
      </c>
      <c r="C186" s="25">
        <f>IFERROR(IF(A186="","",IF(A186&lt;TODAY(),"Past",IF(A186=TODAY(),"Today","Future"))),"")</f>
        <v/>
      </c>
      <c r="D186" s="26" t="n"/>
      <c r="E186" s="26" t="n"/>
      <c r="F186" s="27" t="n"/>
      <c r="G186" s="27" t="n"/>
      <c r="H186" s="28">
        <f>IFERROR(IF(A186="","",MAX(0,F186-G186)),"")</f>
        <v/>
      </c>
      <c r="I186" s="27" t="n"/>
      <c r="J186" s="27" t="n"/>
      <c r="K186" s="28">
        <f>IFERROR(IF(A186="","",I186+J186),"")</f>
        <v/>
      </c>
      <c r="L186" s="29">
        <f>IFERROR(IF(A186="","",K186/H186),"")</f>
        <v/>
      </c>
      <c r="M186" s="29">
        <f>IFERROR(IF(A186="","",VLOOKUP(B186,'Assumptions'!$A$16:$B$22,2,0)),"")</f>
        <v/>
      </c>
      <c r="N186" s="27" t="n"/>
      <c r="O186" s="27" t="n"/>
      <c r="P186" s="27" t="n"/>
      <c r="Q186" s="28">
        <f>IFERROR(IF(A186="","",MIN(H186,MAX(0,K186,ROUND(H186*M186,0)+N186+O186))),"")</f>
        <v/>
      </c>
      <c r="R186" s="28">
        <f>IFERROR(IF(A186="","",MIN(H186,MAX(0,IF(P186="",Q186,P186)))),"")</f>
        <v/>
      </c>
      <c r="S186" s="28">
        <f>IFERROR(IF(A186="","",MAX(0,R186-K186)),"")</f>
        <v/>
      </c>
      <c r="T186" s="29">
        <f>IFERROR(IF(A186="","",R186/H186),"")</f>
        <v/>
      </c>
      <c r="U186" s="29">
        <f>IFERROR(IF(A186="","",'Assumptions'!$B$5),"")</f>
        <v/>
      </c>
      <c r="V186" s="29">
        <f>IFERROR(IF(A186="","",T186-U186),"")</f>
        <v/>
      </c>
      <c r="W186" s="50" t="n"/>
      <c r="X186" s="50" t="n"/>
      <c r="Y186" s="51">
        <f>IFERROR(IF(A186="","",IF(X186&lt;&gt;"",X186,IF(W186&lt;&gt;"",W186,'Assumptions'!$B$8))),"")</f>
        <v/>
      </c>
      <c r="Z186" s="51">
        <f>IFERROR(IF(A186="","",R186*Y186),"")</f>
        <v/>
      </c>
      <c r="AA186" s="51">
        <f>IFERROR(IF(A186="","",Z186/H186),"")</f>
        <v/>
      </c>
      <c r="AB186" s="32" t="n"/>
      <c r="AC186" s="52" t="n"/>
      <c r="AD186" s="29">
        <f>IFERROR(IF(OR(A186="",AB186=""),"",AB186/H186),"")</f>
        <v/>
      </c>
      <c r="AE186" s="51">
        <f>IFERROR(IF(OR(A186="",AB186="",AC186=""),"",AB186*AC186),"")</f>
        <v/>
      </c>
      <c r="AF186" s="28">
        <f>IFERROR(IF(OR(A186="",AB186=""),"",AB186-R186),"")</f>
        <v/>
      </c>
      <c r="AG186" s="29">
        <f>IFERROR(IF(OR(A186="",AB186=""),"",IF(AD186-T186&lt;0,T186-AD186,AD186-T186)),"")</f>
        <v/>
      </c>
      <c r="AH186" s="51">
        <f>IFERROR(IF(OR(A186="",AE186=""),"",AE186-Z186),"")</f>
        <v/>
      </c>
      <c r="AI186" s="25">
        <f>IFERROR(IF(A186="","",IF(G186&gt;F186,"Check out-of-order rooms",IF(K186&gt;H186,"On the books exceeds sellable rooms",IF(R186&gt;H186,"Forecast exceeds sellable rooms",IF(AND(A186&lt;TODAY(),AB186=""),"Actual results missing","OK"))))),"")</f>
        <v/>
      </c>
    </row>
    <row r="187">
      <c r="A187" s="24" t="n"/>
      <c r="B187" s="25">
        <f>IFERROR(IF(A187="","",VLOOKUP(MOD(A187,7),'Assumptions'!$E$16:$F$22,2,0)),"")</f>
        <v/>
      </c>
      <c r="C187" s="25">
        <f>IFERROR(IF(A187="","",IF(A187&lt;TODAY(),"Past",IF(A187=TODAY(),"Today","Future"))),"")</f>
        <v/>
      </c>
      <c r="D187" s="26" t="n"/>
      <c r="E187" s="26" t="n"/>
      <c r="F187" s="27" t="n"/>
      <c r="G187" s="27" t="n"/>
      <c r="H187" s="28">
        <f>IFERROR(IF(A187="","",MAX(0,F187-G187)),"")</f>
        <v/>
      </c>
      <c r="I187" s="27" t="n"/>
      <c r="J187" s="27" t="n"/>
      <c r="K187" s="28">
        <f>IFERROR(IF(A187="","",I187+J187),"")</f>
        <v/>
      </c>
      <c r="L187" s="29">
        <f>IFERROR(IF(A187="","",K187/H187),"")</f>
        <v/>
      </c>
      <c r="M187" s="29">
        <f>IFERROR(IF(A187="","",VLOOKUP(B187,'Assumptions'!$A$16:$B$22,2,0)),"")</f>
        <v/>
      </c>
      <c r="N187" s="27" t="n"/>
      <c r="O187" s="27" t="n"/>
      <c r="P187" s="27" t="n"/>
      <c r="Q187" s="28">
        <f>IFERROR(IF(A187="","",MIN(H187,MAX(0,K187,ROUND(H187*M187,0)+N187+O187))),"")</f>
        <v/>
      </c>
      <c r="R187" s="28">
        <f>IFERROR(IF(A187="","",MIN(H187,MAX(0,IF(P187="",Q187,P187)))),"")</f>
        <v/>
      </c>
      <c r="S187" s="28">
        <f>IFERROR(IF(A187="","",MAX(0,R187-K187)),"")</f>
        <v/>
      </c>
      <c r="T187" s="29">
        <f>IFERROR(IF(A187="","",R187/H187),"")</f>
        <v/>
      </c>
      <c r="U187" s="29">
        <f>IFERROR(IF(A187="","",'Assumptions'!$B$5),"")</f>
        <v/>
      </c>
      <c r="V187" s="29">
        <f>IFERROR(IF(A187="","",T187-U187),"")</f>
        <v/>
      </c>
      <c r="W187" s="50" t="n"/>
      <c r="X187" s="50" t="n"/>
      <c r="Y187" s="51">
        <f>IFERROR(IF(A187="","",IF(X187&lt;&gt;"",X187,IF(W187&lt;&gt;"",W187,'Assumptions'!$B$8))),"")</f>
        <v/>
      </c>
      <c r="Z187" s="51">
        <f>IFERROR(IF(A187="","",R187*Y187),"")</f>
        <v/>
      </c>
      <c r="AA187" s="51">
        <f>IFERROR(IF(A187="","",Z187/H187),"")</f>
        <v/>
      </c>
      <c r="AB187" s="32" t="n"/>
      <c r="AC187" s="52" t="n"/>
      <c r="AD187" s="29">
        <f>IFERROR(IF(OR(A187="",AB187=""),"",AB187/H187),"")</f>
        <v/>
      </c>
      <c r="AE187" s="51">
        <f>IFERROR(IF(OR(A187="",AB187="",AC187=""),"",AB187*AC187),"")</f>
        <v/>
      </c>
      <c r="AF187" s="28">
        <f>IFERROR(IF(OR(A187="",AB187=""),"",AB187-R187),"")</f>
        <v/>
      </c>
      <c r="AG187" s="29">
        <f>IFERROR(IF(OR(A187="",AB187=""),"",IF(AD187-T187&lt;0,T187-AD187,AD187-T187)),"")</f>
        <v/>
      </c>
      <c r="AH187" s="51">
        <f>IFERROR(IF(OR(A187="",AE187=""),"",AE187-Z187),"")</f>
        <v/>
      </c>
      <c r="AI187" s="25">
        <f>IFERROR(IF(A187="","",IF(G187&gt;F187,"Check out-of-order rooms",IF(K187&gt;H187,"On the books exceeds sellable rooms",IF(R187&gt;H187,"Forecast exceeds sellable rooms",IF(AND(A187&lt;TODAY(),AB187=""),"Actual results missing","OK"))))),"")</f>
        <v/>
      </c>
    </row>
    <row r="188">
      <c r="A188" s="24" t="n"/>
      <c r="B188" s="25">
        <f>IFERROR(IF(A188="","",VLOOKUP(MOD(A188,7),'Assumptions'!$E$16:$F$22,2,0)),"")</f>
        <v/>
      </c>
      <c r="C188" s="25">
        <f>IFERROR(IF(A188="","",IF(A188&lt;TODAY(),"Past",IF(A188=TODAY(),"Today","Future"))),"")</f>
        <v/>
      </c>
      <c r="D188" s="26" t="n"/>
      <c r="E188" s="26" t="n"/>
      <c r="F188" s="27" t="n"/>
      <c r="G188" s="27" t="n"/>
      <c r="H188" s="28">
        <f>IFERROR(IF(A188="","",MAX(0,F188-G188)),"")</f>
        <v/>
      </c>
      <c r="I188" s="27" t="n"/>
      <c r="J188" s="27" t="n"/>
      <c r="K188" s="28">
        <f>IFERROR(IF(A188="","",I188+J188),"")</f>
        <v/>
      </c>
      <c r="L188" s="29">
        <f>IFERROR(IF(A188="","",K188/H188),"")</f>
        <v/>
      </c>
      <c r="M188" s="29">
        <f>IFERROR(IF(A188="","",VLOOKUP(B188,'Assumptions'!$A$16:$B$22,2,0)),"")</f>
        <v/>
      </c>
      <c r="N188" s="27" t="n"/>
      <c r="O188" s="27" t="n"/>
      <c r="P188" s="27" t="n"/>
      <c r="Q188" s="28">
        <f>IFERROR(IF(A188="","",MIN(H188,MAX(0,K188,ROUND(H188*M188,0)+N188+O188))),"")</f>
        <v/>
      </c>
      <c r="R188" s="28">
        <f>IFERROR(IF(A188="","",MIN(H188,MAX(0,IF(P188="",Q188,P188)))),"")</f>
        <v/>
      </c>
      <c r="S188" s="28">
        <f>IFERROR(IF(A188="","",MAX(0,R188-K188)),"")</f>
        <v/>
      </c>
      <c r="T188" s="29">
        <f>IFERROR(IF(A188="","",R188/H188),"")</f>
        <v/>
      </c>
      <c r="U188" s="29">
        <f>IFERROR(IF(A188="","",'Assumptions'!$B$5),"")</f>
        <v/>
      </c>
      <c r="V188" s="29">
        <f>IFERROR(IF(A188="","",T188-U188),"")</f>
        <v/>
      </c>
      <c r="W188" s="50" t="n"/>
      <c r="X188" s="50" t="n"/>
      <c r="Y188" s="51">
        <f>IFERROR(IF(A188="","",IF(X188&lt;&gt;"",X188,IF(W188&lt;&gt;"",W188,'Assumptions'!$B$8))),"")</f>
        <v/>
      </c>
      <c r="Z188" s="51">
        <f>IFERROR(IF(A188="","",R188*Y188),"")</f>
        <v/>
      </c>
      <c r="AA188" s="51">
        <f>IFERROR(IF(A188="","",Z188/H188),"")</f>
        <v/>
      </c>
      <c r="AB188" s="32" t="n"/>
      <c r="AC188" s="52" t="n"/>
      <c r="AD188" s="29">
        <f>IFERROR(IF(OR(A188="",AB188=""),"",AB188/H188),"")</f>
        <v/>
      </c>
      <c r="AE188" s="51">
        <f>IFERROR(IF(OR(A188="",AB188="",AC188=""),"",AB188*AC188),"")</f>
        <v/>
      </c>
      <c r="AF188" s="28">
        <f>IFERROR(IF(OR(A188="",AB188=""),"",AB188-R188),"")</f>
        <v/>
      </c>
      <c r="AG188" s="29">
        <f>IFERROR(IF(OR(A188="",AB188=""),"",IF(AD188-T188&lt;0,T188-AD188,AD188-T188)),"")</f>
        <v/>
      </c>
      <c r="AH188" s="51">
        <f>IFERROR(IF(OR(A188="",AE188=""),"",AE188-Z188),"")</f>
        <v/>
      </c>
      <c r="AI188" s="25">
        <f>IFERROR(IF(A188="","",IF(G188&gt;F188,"Check out-of-order rooms",IF(K188&gt;H188,"On the books exceeds sellable rooms",IF(R188&gt;H188,"Forecast exceeds sellable rooms",IF(AND(A188&lt;TODAY(),AB188=""),"Actual results missing","OK"))))),"")</f>
        <v/>
      </c>
    </row>
    <row r="189">
      <c r="A189" s="24" t="n"/>
      <c r="B189" s="25">
        <f>IFERROR(IF(A189="","",VLOOKUP(MOD(A189,7),'Assumptions'!$E$16:$F$22,2,0)),"")</f>
        <v/>
      </c>
      <c r="C189" s="25">
        <f>IFERROR(IF(A189="","",IF(A189&lt;TODAY(),"Past",IF(A189=TODAY(),"Today","Future"))),"")</f>
        <v/>
      </c>
      <c r="D189" s="26" t="n"/>
      <c r="E189" s="26" t="n"/>
      <c r="F189" s="27" t="n"/>
      <c r="G189" s="27" t="n"/>
      <c r="H189" s="28">
        <f>IFERROR(IF(A189="","",MAX(0,F189-G189)),"")</f>
        <v/>
      </c>
      <c r="I189" s="27" t="n"/>
      <c r="J189" s="27" t="n"/>
      <c r="K189" s="28">
        <f>IFERROR(IF(A189="","",I189+J189),"")</f>
        <v/>
      </c>
      <c r="L189" s="29">
        <f>IFERROR(IF(A189="","",K189/H189),"")</f>
        <v/>
      </c>
      <c r="M189" s="29">
        <f>IFERROR(IF(A189="","",VLOOKUP(B189,'Assumptions'!$A$16:$B$22,2,0)),"")</f>
        <v/>
      </c>
      <c r="N189" s="27" t="n"/>
      <c r="O189" s="27" t="n"/>
      <c r="P189" s="27" t="n"/>
      <c r="Q189" s="28">
        <f>IFERROR(IF(A189="","",MIN(H189,MAX(0,K189,ROUND(H189*M189,0)+N189+O189))),"")</f>
        <v/>
      </c>
      <c r="R189" s="28">
        <f>IFERROR(IF(A189="","",MIN(H189,MAX(0,IF(P189="",Q189,P189)))),"")</f>
        <v/>
      </c>
      <c r="S189" s="28">
        <f>IFERROR(IF(A189="","",MAX(0,R189-K189)),"")</f>
        <v/>
      </c>
      <c r="T189" s="29">
        <f>IFERROR(IF(A189="","",R189/H189),"")</f>
        <v/>
      </c>
      <c r="U189" s="29">
        <f>IFERROR(IF(A189="","",'Assumptions'!$B$5),"")</f>
        <v/>
      </c>
      <c r="V189" s="29">
        <f>IFERROR(IF(A189="","",T189-U189),"")</f>
        <v/>
      </c>
      <c r="W189" s="50" t="n"/>
      <c r="X189" s="50" t="n"/>
      <c r="Y189" s="51">
        <f>IFERROR(IF(A189="","",IF(X189&lt;&gt;"",X189,IF(W189&lt;&gt;"",W189,'Assumptions'!$B$8))),"")</f>
        <v/>
      </c>
      <c r="Z189" s="51">
        <f>IFERROR(IF(A189="","",R189*Y189),"")</f>
        <v/>
      </c>
      <c r="AA189" s="51">
        <f>IFERROR(IF(A189="","",Z189/H189),"")</f>
        <v/>
      </c>
      <c r="AB189" s="32" t="n"/>
      <c r="AC189" s="52" t="n"/>
      <c r="AD189" s="29">
        <f>IFERROR(IF(OR(A189="",AB189=""),"",AB189/H189),"")</f>
        <v/>
      </c>
      <c r="AE189" s="51">
        <f>IFERROR(IF(OR(A189="",AB189="",AC189=""),"",AB189*AC189),"")</f>
        <v/>
      </c>
      <c r="AF189" s="28">
        <f>IFERROR(IF(OR(A189="",AB189=""),"",AB189-R189),"")</f>
        <v/>
      </c>
      <c r="AG189" s="29">
        <f>IFERROR(IF(OR(A189="",AB189=""),"",IF(AD189-T189&lt;0,T189-AD189,AD189-T189)),"")</f>
        <v/>
      </c>
      <c r="AH189" s="51">
        <f>IFERROR(IF(OR(A189="",AE189=""),"",AE189-Z189),"")</f>
        <v/>
      </c>
      <c r="AI189" s="25">
        <f>IFERROR(IF(A189="","",IF(G189&gt;F189,"Check out-of-order rooms",IF(K189&gt;H189,"On the books exceeds sellable rooms",IF(R189&gt;H189,"Forecast exceeds sellable rooms",IF(AND(A189&lt;TODAY(),AB189=""),"Actual results missing","OK"))))),"")</f>
        <v/>
      </c>
    </row>
    <row r="190">
      <c r="A190" s="24" t="n"/>
      <c r="B190" s="25">
        <f>IFERROR(IF(A190="","",VLOOKUP(MOD(A190,7),'Assumptions'!$E$16:$F$22,2,0)),"")</f>
        <v/>
      </c>
      <c r="C190" s="25">
        <f>IFERROR(IF(A190="","",IF(A190&lt;TODAY(),"Past",IF(A190=TODAY(),"Today","Future"))),"")</f>
        <v/>
      </c>
      <c r="D190" s="26" t="n"/>
      <c r="E190" s="26" t="n"/>
      <c r="F190" s="27" t="n"/>
      <c r="G190" s="27" t="n"/>
      <c r="H190" s="28">
        <f>IFERROR(IF(A190="","",MAX(0,F190-G190)),"")</f>
        <v/>
      </c>
      <c r="I190" s="27" t="n"/>
      <c r="J190" s="27" t="n"/>
      <c r="K190" s="28">
        <f>IFERROR(IF(A190="","",I190+J190),"")</f>
        <v/>
      </c>
      <c r="L190" s="29">
        <f>IFERROR(IF(A190="","",K190/H190),"")</f>
        <v/>
      </c>
      <c r="M190" s="29">
        <f>IFERROR(IF(A190="","",VLOOKUP(B190,'Assumptions'!$A$16:$B$22,2,0)),"")</f>
        <v/>
      </c>
      <c r="N190" s="27" t="n"/>
      <c r="O190" s="27" t="n"/>
      <c r="P190" s="27" t="n"/>
      <c r="Q190" s="28">
        <f>IFERROR(IF(A190="","",MIN(H190,MAX(0,K190,ROUND(H190*M190,0)+N190+O190))),"")</f>
        <v/>
      </c>
      <c r="R190" s="28">
        <f>IFERROR(IF(A190="","",MIN(H190,MAX(0,IF(P190="",Q190,P190)))),"")</f>
        <v/>
      </c>
      <c r="S190" s="28">
        <f>IFERROR(IF(A190="","",MAX(0,R190-K190)),"")</f>
        <v/>
      </c>
      <c r="T190" s="29">
        <f>IFERROR(IF(A190="","",R190/H190),"")</f>
        <v/>
      </c>
      <c r="U190" s="29">
        <f>IFERROR(IF(A190="","",'Assumptions'!$B$5),"")</f>
        <v/>
      </c>
      <c r="V190" s="29">
        <f>IFERROR(IF(A190="","",T190-U190),"")</f>
        <v/>
      </c>
      <c r="W190" s="50" t="n"/>
      <c r="X190" s="50" t="n"/>
      <c r="Y190" s="51">
        <f>IFERROR(IF(A190="","",IF(X190&lt;&gt;"",X190,IF(W190&lt;&gt;"",W190,'Assumptions'!$B$8))),"")</f>
        <v/>
      </c>
      <c r="Z190" s="51">
        <f>IFERROR(IF(A190="","",R190*Y190),"")</f>
        <v/>
      </c>
      <c r="AA190" s="51">
        <f>IFERROR(IF(A190="","",Z190/H190),"")</f>
        <v/>
      </c>
      <c r="AB190" s="32" t="n"/>
      <c r="AC190" s="52" t="n"/>
      <c r="AD190" s="29">
        <f>IFERROR(IF(OR(A190="",AB190=""),"",AB190/H190),"")</f>
        <v/>
      </c>
      <c r="AE190" s="51">
        <f>IFERROR(IF(OR(A190="",AB190="",AC190=""),"",AB190*AC190),"")</f>
        <v/>
      </c>
      <c r="AF190" s="28">
        <f>IFERROR(IF(OR(A190="",AB190=""),"",AB190-R190),"")</f>
        <v/>
      </c>
      <c r="AG190" s="29">
        <f>IFERROR(IF(OR(A190="",AB190=""),"",IF(AD190-T190&lt;0,T190-AD190,AD190-T190)),"")</f>
        <v/>
      </c>
      <c r="AH190" s="51">
        <f>IFERROR(IF(OR(A190="",AE190=""),"",AE190-Z190),"")</f>
        <v/>
      </c>
      <c r="AI190" s="25">
        <f>IFERROR(IF(A190="","",IF(G190&gt;F190,"Check out-of-order rooms",IF(K190&gt;H190,"On the books exceeds sellable rooms",IF(R190&gt;H190,"Forecast exceeds sellable rooms",IF(AND(A190&lt;TODAY(),AB190=""),"Actual results missing","OK"))))),"")</f>
        <v/>
      </c>
    </row>
    <row r="191">
      <c r="A191" s="24" t="n"/>
      <c r="B191" s="25">
        <f>IFERROR(IF(A191="","",VLOOKUP(MOD(A191,7),'Assumptions'!$E$16:$F$22,2,0)),"")</f>
        <v/>
      </c>
      <c r="C191" s="25">
        <f>IFERROR(IF(A191="","",IF(A191&lt;TODAY(),"Past",IF(A191=TODAY(),"Today","Future"))),"")</f>
        <v/>
      </c>
      <c r="D191" s="26" t="n"/>
      <c r="E191" s="26" t="n"/>
      <c r="F191" s="27" t="n"/>
      <c r="G191" s="27" t="n"/>
      <c r="H191" s="28">
        <f>IFERROR(IF(A191="","",MAX(0,F191-G191)),"")</f>
        <v/>
      </c>
      <c r="I191" s="27" t="n"/>
      <c r="J191" s="27" t="n"/>
      <c r="K191" s="28">
        <f>IFERROR(IF(A191="","",I191+J191),"")</f>
        <v/>
      </c>
      <c r="L191" s="29">
        <f>IFERROR(IF(A191="","",K191/H191),"")</f>
        <v/>
      </c>
      <c r="M191" s="29">
        <f>IFERROR(IF(A191="","",VLOOKUP(B191,'Assumptions'!$A$16:$B$22,2,0)),"")</f>
        <v/>
      </c>
      <c r="N191" s="27" t="n"/>
      <c r="O191" s="27" t="n"/>
      <c r="P191" s="27" t="n"/>
      <c r="Q191" s="28">
        <f>IFERROR(IF(A191="","",MIN(H191,MAX(0,K191,ROUND(H191*M191,0)+N191+O191))),"")</f>
        <v/>
      </c>
      <c r="R191" s="28">
        <f>IFERROR(IF(A191="","",MIN(H191,MAX(0,IF(P191="",Q191,P191)))),"")</f>
        <v/>
      </c>
      <c r="S191" s="28">
        <f>IFERROR(IF(A191="","",MAX(0,R191-K191)),"")</f>
        <v/>
      </c>
      <c r="T191" s="29">
        <f>IFERROR(IF(A191="","",R191/H191),"")</f>
        <v/>
      </c>
      <c r="U191" s="29">
        <f>IFERROR(IF(A191="","",'Assumptions'!$B$5),"")</f>
        <v/>
      </c>
      <c r="V191" s="29">
        <f>IFERROR(IF(A191="","",T191-U191),"")</f>
        <v/>
      </c>
      <c r="W191" s="50" t="n"/>
      <c r="X191" s="50" t="n"/>
      <c r="Y191" s="51">
        <f>IFERROR(IF(A191="","",IF(X191&lt;&gt;"",X191,IF(W191&lt;&gt;"",W191,'Assumptions'!$B$8))),"")</f>
        <v/>
      </c>
      <c r="Z191" s="51">
        <f>IFERROR(IF(A191="","",R191*Y191),"")</f>
        <v/>
      </c>
      <c r="AA191" s="51">
        <f>IFERROR(IF(A191="","",Z191/H191),"")</f>
        <v/>
      </c>
      <c r="AB191" s="32" t="n"/>
      <c r="AC191" s="52" t="n"/>
      <c r="AD191" s="29">
        <f>IFERROR(IF(OR(A191="",AB191=""),"",AB191/H191),"")</f>
        <v/>
      </c>
      <c r="AE191" s="51">
        <f>IFERROR(IF(OR(A191="",AB191="",AC191=""),"",AB191*AC191),"")</f>
        <v/>
      </c>
      <c r="AF191" s="28">
        <f>IFERROR(IF(OR(A191="",AB191=""),"",AB191-R191),"")</f>
        <v/>
      </c>
      <c r="AG191" s="29">
        <f>IFERROR(IF(OR(A191="",AB191=""),"",IF(AD191-T191&lt;0,T191-AD191,AD191-T191)),"")</f>
        <v/>
      </c>
      <c r="AH191" s="51">
        <f>IFERROR(IF(OR(A191="",AE191=""),"",AE191-Z191),"")</f>
        <v/>
      </c>
      <c r="AI191" s="25">
        <f>IFERROR(IF(A191="","",IF(G191&gt;F191,"Check out-of-order rooms",IF(K191&gt;H191,"On the books exceeds sellable rooms",IF(R191&gt;H191,"Forecast exceeds sellable rooms",IF(AND(A191&lt;TODAY(),AB191=""),"Actual results missing","OK"))))),"")</f>
        <v/>
      </c>
    </row>
    <row r="192">
      <c r="A192" s="24" t="n"/>
      <c r="B192" s="25">
        <f>IFERROR(IF(A192="","",VLOOKUP(MOD(A192,7),'Assumptions'!$E$16:$F$22,2,0)),"")</f>
        <v/>
      </c>
      <c r="C192" s="25">
        <f>IFERROR(IF(A192="","",IF(A192&lt;TODAY(),"Past",IF(A192=TODAY(),"Today","Future"))),"")</f>
        <v/>
      </c>
      <c r="D192" s="26" t="n"/>
      <c r="E192" s="26" t="n"/>
      <c r="F192" s="27" t="n"/>
      <c r="G192" s="27" t="n"/>
      <c r="H192" s="28">
        <f>IFERROR(IF(A192="","",MAX(0,F192-G192)),"")</f>
        <v/>
      </c>
      <c r="I192" s="27" t="n"/>
      <c r="J192" s="27" t="n"/>
      <c r="K192" s="28">
        <f>IFERROR(IF(A192="","",I192+J192),"")</f>
        <v/>
      </c>
      <c r="L192" s="29">
        <f>IFERROR(IF(A192="","",K192/H192),"")</f>
        <v/>
      </c>
      <c r="M192" s="29">
        <f>IFERROR(IF(A192="","",VLOOKUP(B192,'Assumptions'!$A$16:$B$22,2,0)),"")</f>
        <v/>
      </c>
      <c r="N192" s="27" t="n"/>
      <c r="O192" s="27" t="n"/>
      <c r="P192" s="27" t="n"/>
      <c r="Q192" s="28">
        <f>IFERROR(IF(A192="","",MIN(H192,MAX(0,K192,ROUND(H192*M192,0)+N192+O192))),"")</f>
        <v/>
      </c>
      <c r="R192" s="28">
        <f>IFERROR(IF(A192="","",MIN(H192,MAX(0,IF(P192="",Q192,P192)))),"")</f>
        <v/>
      </c>
      <c r="S192" s="28">
        <f>IFERROR(IF(A192="","",MAX(0,R192-K192)),"")</f>
        <v/>
      </c>
      <c r="T192" s="29">
        <f>IFERROR(IF(A192="","",R192/H192),"")</f>
        <v/>
      </c>
      <c r="U192" s="29">
        <f>IFERROR(IF(A192="","",'Assumptions'!$B$5),"")</f>
        <v/>
      </c>
      <c r="V192" s="29">
        <f>IFERROR(IF(A192="","",T192-U192),"")</f>
        <v/>
      </c>
      <c r="W192" s="50" t="n"/>
      <c r="X192" s="50" t="n"/>
      <c r="Y192" s="51">
        <f>IFERROR(IF(A192="","",IF(X192&lt;&gt;"",X192,IF(W192&lt;&gt;"",W192,'Assumptions'!$B$8))),"")</f>
        <v/>
      </c>
      <c r="Z192" s="51">
        <f>IFERROR(IF(A192="","",R192*Y192),"")</f>
        <v/>
      </c>
      <c r="AA192" s="51">
        <f>IFERROR(IF(A192="","",Z192/H192),"")</f>
        <v/>
      </c>
      <c r="AB192" s="32" t="n"/>
      <c r="AC192" s="52" t="n"/>
      <c r="AD192" s="29">
        <f>IFERROR(IF(OR(A192="",AB192=""),"",AB192/H192),"")</f>
        <v/>
      </c>
      <c r="AE192" s="51">
        <f>IFERROR(IF(OR(A192="",AB192="",AC192=""),"",AB192*AC192),"")</f>
        <v/>
      </c>
      <c r="AF192" s="28">
        <f>IFERROR(IF(OR(A192="",AB192=""),"",AB192-R192),"")</f>
        <v/>
      </c>
      <c r="AG192" s="29">
        <f>IFERROR(IF(OR(A192="",AB192=""),"",IF(AD192-T192&lt;0,T192-AD192,AD192-T192)),"")</f>
        <v/>
      </c>
      <c r="AH192" s="51">
        <f>IFERROR(IF(OR(A192="",AE192=""),"",AE192-Z192),"")</f>
        <v/>
      </c>
      <c r="AI192" s="25">
        <f>IFERROR(IF(A192="","",IF(G192&gt;F192,"Check out-of-order rooms",IF(K192&gt;H192,"On the books exceeds sellable rooms",IF(R192&gt;H192,"Forecast exceeds sellable rooms",IF(AND(A192&lt;TODAY(),AB192=""),"Actual results missing","OK"))))),"")</f>
        <v/>
      </c>
    </row>
    <row r="193">
      <c r="A193" s="24" t="n"/>
      <c r="B193" s="25">
        <f>IFERROR(IF(A193="","",VLOOKUP(MOD(A193,7),'Assumptions'!$E$16:$F$22,2,0)),"")</f>
        <v/>
      </c>
      <c r="C193" s="25">
        <f>IFERROR(IF(A193="","",IF(A193&lt;TODAY(),"Past",IF(A193=TODAY(),"Today","Future"))),"")</f>
        <v/>
      </c>
      <c r="D193" s="26" t="n"/>
      <c r="E193" s="26" t="n"/>
      <c r="F193" s="27" t="n"/>
      <c r="G193" s="27" t="n"/>
      <c r="H193" s="28">
        <f>IFERROR(IF(A193="","",MAX(0,F193-G193)),"")</f>
        <v/>
      </c>
      <c r="I193" s="27" t="n"/>
      <c r="J193" s="27" t="n"/>
      <c r="K193" s="28">
        <f>IFERROR(IF(A193="","",I193+J193),"")</f>
        <v/>
      </c>
      <c r="L193" s="29">
        <f>IFERROR(IF(A193="","",K193/H193),"")</f>
        <v/>
      </c>
      <c r="M193" s="29">
        <f>IFERROR(IF(A193="","",VLOOKUP(B193,'Assumptions'!$A$16:$B$22,2,0)),"")</f>
        <v/>
      </c>
      <c r="N193" s="27" t="n"/>
      <c r="O193" s="27" t="n"/>
      <c r="P193" s="27" t="n"/>
      <c r="Q193" s="28">
        <f>IFERROR(IF(A193="","",MIN(H193,MAX(0,K193,ROUND(H193*M193,0)+N193+O193))),"")</f>
        <v/>
      </c>
      <c r="R193" s="28">
        <f>IFERROR(IF(A193="","",MIN(H193,MAX(0,IF(P193="",Q193,P193)))),"")</f>
        <v/>
      </c>
      <c r="S193" s="28">
        <f>IFERROR(IF(A193="","",MAX(0,R193-K193)),"")</f>
        <v/>
      </c>
      <c r="T193" s="29">
        <f>IFERROR(IF(A193="","",R193/H193),"")</f>
        <v/>
      </c>
      <c r="U193" s="29">
        <f>IFERROR(IF(A193="","",'Assumptions'!$B$5),"")</f>
        <v/>
      </c>
      <c r="V193" s="29">
        <f>IFERROR(IF(A193="","",T193-U193),"")</f>
        <v/>
      </c>
      <c r="W193" s="50" t="n"/>
      <c r="X193" s="50" t="n"/>
      <c r="Y193" s="51">
        <f>IFERROR(IF(A193="","",IF(X193&lt;&gt;"",X193,IF(W193&lt;&gt;"",W193,'Assumptions'!$B$8))),"")</f>
        <v/>
      </c>
      <c r="Z193" s="51">
        <f>IFERROR(IF(A193="","",R193*Y193),"")</f>
        <v/>
      </c>
      <c r="AA193" s="51">
        <f>IFERROR(IF(A193="","",Z193/H193),"")</f>
        <v/>
      </c>
      <c r="AB193" s="32" t="n"/>
      <c r="AC193" s="52" t="n"/>
      <c r="AD193" s="29">
        <f>IFERROR(IF(OR(A193="",AB193=""),"",AB193/H193),"")</f>
        <v/>
      </c>
      <c r="AE193" s="51">
        <f>IFERROR(IF(OR(A193="",AB193="",AC193=""),"",AB193*AC193),"")</f>
        <v/>
      </c>
      <c r="AF193" s="28">
        <f>IFERROR(IF(OR(A193="",AB193=""),"",AB193-R193),"")</f>
        <v/>
      </c>
      <c r="AG193" s="29">
        <f>IFERROR(IF(OR(A193="",AB193=""),"",IF(AD193-T193&lt;0,T193-AD193,AD193-T193)),"")</f>
        <v/>
      </c>
      <c r="AH193" s="51">
        <f>IFERROR(IF(OR(A193="",AE193=""),"",AE193-Z193),"")</f>
        <v/>
      </c>
      <c r="AI193" s="25">
        <f>IFERROR(IF(A193="","",IF(G193&gt;F193,"Check out-of-order rooms",IF(K193&gt;H193,"On the books exceeds sellable rooms",IF(R193&gt;H193,"Forecast exceeds sellable rooms",IF(AND(A193&lt;TODAY(),AB193=""),"Actual results missing","OK"))))),"")</f>
        <v/>
      </c>
    </row>
    <row r="194">
      <c r="A194" s="24" t="n"/>
      <c r="B194" s="25">
        <f>IFERROR(IF(A194="","",VLOOKUP(MOD(A194,7),'Assumptions'!$E$16:$F$22,2,0)),"")</f>
        <v/>
      </c>
      <c r="C194" s="25">
        <f>IFERROR(IF(A194="","",IF(A194&lt;TODAY(),"Past",IF(A194=TODAY(),"Today","Future"))),"")</f>
        <v/>
      </c>
      <c r="D194" s="26" t="n"/>
      <c r="E194" s="26" t="n"/>
      <c r="F194" s="27" t="n"/>
      <c r="G194" s="27" t="n"/>
      <c r="H194" s="28">
        <f>IFERROR(IF(A194="","",MAX(0,F194-G194)),"")</f>
        <v/>
      </c>
      <c r="I194" s="27" t="n"/>
      <c r="J194" s="27" t="n"/>
      <c r="K194" s="28">
        <f>IFERROR(IF(A194="","",I194+J194),"")</f>
        <v/>
      </c>
      <c r="L194" s="29">
        <f>IFERROR(IF(A194="","",K194/H194),"")</f>
        <v/>
      </c>
      <c r="M194" s="29">
        <f>IFERROR(IF(A194="","",VLOOKUP(B194,'Assumptions'!$A$16:$B$22,2,0)),"")</f>
        <v/>
      </c>
      <c r="N194" s="27" t="n"/>
      <c r="O194" s="27" t="n"/>
      <c r="P194" s="27" t="n"/>
      <c r="Q194" s="28">
        <f>IFERROR(IF(A194="","",MIN(H194,MAX(0,K194,ROUND(H194*M194,0)+N194+O194))),"")</f>
        <v/>
      </c>
      <c r="R194" s="28">
        <f>IFERROR(IF(A194="","",MIN(H194,MAX(0,IF(P194="",Q194,P194)))),"")</f>
        <v/>
      </c>
      <c r="S194" s="28">
        <f>IFERROR(IF(A194="","",MAX(0,R194-K194)),"")</f>
        <v/>
      </c>
      <c r="T194" s="29">
        <f>IFERROR(IF(A194="","",R194/H194),"")</f>
        <v/>
      </c>
      <c r="U194" s="29">
        <f>IFERROR(IF(A194="","",'Assumptions'!$B$5),"")</f>
        <v/>
      </c>
      <c r="V194" s="29">
        <f>IFERROR(IF(A194="","",T194-U194),"")</f>
        <v/>
      </c>
      <c r="W194" s="50" t="n"/>
      <c r="X194" s="50" t="n"/>
      <c r="Y194" s="51">
        <f>IFERROR(IF(A194="","",IF(X194&lt;&gt;"",X194,IF(W194&lt;&gt;"",W194,'Assumptions'!$B$8))),"")</f>
        <v/>
      </c>
      <c r="Z194" s="51">
        <f>IFERROR(IF(A194="","",R194*Y194),"")</f>
        <v/>
      </c>
      <c r="AA194" s="51">
        <f>IFERROR(IF(A194="","",Z194/H194),"")</f>
        <v/>
      </c>
      <c r="AB194" s="32" t="n"/>
      <c r="AC194" s="52" t="n"/>
      <c r="AD194" s="29">
        <f>IFERROR(IF(OR(A194="",AB194=""),"",AB194/H194),"")</f>
        <v/>
      </c>
      <c r="AE194" s="51">
        <f>IFERROR(IF(OR(A194="",AB194="",AC194=""),"",AB194*AC194),"")</f>
        <v/>
      </c>
      <c r="AF194" s="28">
        <f>IFERROR(IF(OR(A194="",AB194=""),"",AB194-R194),"")</f>
        <v/>
      </c>
      <c r="AG194" s="29">
        <f>IFERROR(IF(OR(A194="",AB194=""),"",IF(AD194-T194&lt;0,T194-AD194,AD194-T194)),"")</f>
        <v/>
      </c>
      <c r="AH194" s="51">
        <f>IFERROR(IF(OR(A194="",AE194=""),"",AE194-Z194),"")</f>
        <v/>
      </c>
      <c r="AI194" s="25">
        <f>IFERROR(IF(A194="","",IF(G194&gt;F194,"Check out-of-order rooms",IF(K194&gt;H194,"On the books exceeds sellable rooms",IF(R194&gt;H194,"Forecast exceeds sellable rooms",IF(AND(A194&lt;TODAY(),AB194=""),"Actual results missing","OK"))))),"")</f>
        <v/>
      </c>
    </row>
    <row r="195">
      <c r="A195" s="24" t="n"/>
      <c r="B195" s="25">
        <f>IFERROR(IF(A195="","",VLOOKUP(MOD(A195,7),'Assumptions'!$E$16:$F$22,2,0)),"")</f>
        <v/>
      </c>
      <c r="C195" s="25">
        <f>IFERROR(IF(A195="","",IF(A195&lt;TODAY(),"Past",IF(A195=TODAY(),"Today","Future"))),"")</f>
        <v/>
      </c>
      <c r="D195" s="26" t="n"/>
      <c r="E195" s="26" t="n"/>
      <c r="F195" s="27" t="n"/>
      <c r="G195" s="27" t="n"/>
      <c r="H195" s="28">
        <f>IFERROR(IF(A195="","",MAX(0,F195-G195)),"")</f>
        <v/>
      </c>
      <c r="I195" s="27" t="n"/>
      <c r="J195" s="27" t="n"/>
      <c r="K195" s="28">
        <f>IFERROR(IF(A195="","",I195+J195),"")</f>
        <v/>
      </c>
      <c r="L195" s="29">
        <f>IFERROR(IF(A195="","",K195/H195),"")</f>
        <v/>
      </c>
      <c r="M195" s="29">
        <f>IFERROR(IF(A195="","",VLOOKUP(B195,'Assumptions'!$A$16:$B$22,2,0)),"")</f>
        <v/>
      </c>
      <c r="N195" s="27" t="n"/>
      <c r="O195" s="27" t="n"/>
      <c r="P195" s="27" t="n"/>
      <c r="Q195" s="28">
        <f>IFERROR(IF(A195="","",MIN(H195,MAX(0,K195,ROUND(H195*M195,0)+N195+O195))),"")</f>
        <v/>
      </c>
      <c r="R195" s="28">
        <f>IFERROR(IF(A195="","",MIN(H195,MAX(0,IF(P195="",Q195,P195)))),"")</f>
        <v/>
      </c>
      <c r="S195" s="28">
        <f>IFERROR(IF(A195="","",MAX(0,R195-K195)),"")</f>
        <v/>
      </c>
      <c r="T195" s="29">
        <f>IFERROR(IF(A195="","",R195/H195),"")</f>
        <v/>
      </c>
      <c r="U195" s="29">
        <f>IFERROR(IF(A195="","",'Assumptions'!$B$5),"")</f>
        <v/>
      </c>
      <c r="V195" s="29">
        <f>IFERROR(IF(A195="","",T195-U195),"")</f>
        <v/>
      </c>
      <c r="W195" s="50" t="n"/>
      <c r="X195" s="50" t="n"/>
      <c r="Y195" s="51">
        <f>IFERROR(IF(A195="","",IF(X195&lt;&gt;"",X195,IF(W195&lt;&gt;"",W195,'Assumptions'!$B$8))),"")</f>
        <v/>
      </c>
      <c r="Z195" s="51">
        <f>IFERROR(IF(A195="","",R195*Y195),"")</f>
        <v/>
      </c>
      <c r="AA195" s="51">
        <f>IFERROR(IF(A195="","",Z195/H195),"")</f>
        <v/>
      </c>
      <c r="AB195" s="32" t="n"/>
      <c r="AC195" s="52" t="n"/>
      <c r="AD195" s="29">
        <f>IFERROR(IF(OR(A195="",AB195=""),"",AB195/H195),"")</f>
        <v/>
      </c>
      <c r="AE195" s="51">
        <f>IFERROR(IF(OR(A195="",AB195="",AC195=""),"",AB195*AC195),"")</f>
        <v/>
      </c>
      <c r="AF195" s="28">
        <f>IFERROR(IF(OR(A195="",AB195=""),"",AB195-R195),"")</f>
        <v/>
      </c>
      <c r="AG195" s="29">
        <f>IFERROR(IF(OR(A195="",AB195=""),"",IF(AD195-T195&lt;0,T195-AD195,AD195-T195)),"")</f>
        <v/>
      </c>
      <c r="AH195" s="51">
        <f>IFERROR(IF(OR(A195="",AE195=""),"",AE195-Z195),"")</f>
        <v/>
      </c>
      <c r="AI195" s="25">
        <f>IFERROR(IF(A195="","",IF(G195&gt;F195,"Check out-of-order rooms",IF(K195&gt;H195,"On the books exceeds sellable rooms",IF(R195&gt;H195,"Forecast exceeds sellable rooms",IF(AND(A195&lt;TODAY(),AB195=""),"Actual results missing","OK"))))),"")</f>
        <v/>
      </c>
    </row>
    <row r="196">
      <c r="A196" s="24" t="n"/>
      <c r="B196" s="25">
        <f>IFERROR(IF(A196="","",VLOOKUP(MOD(A196,7),'Assumptions'!$E$16:$F$22,2,0)),"")</f>
        <v/>
      </c>
      <c r="C196" s="25">
        <f>IFERROR(IF(A196="","",IF(A196&lt;TODAY(),"Past",IF(A196=TODAY(),"Today","Future"))),"")</f>
        <v/>
      </c>
      <c r="D196" s="26" t="n"/>
      <c r="E196" s="26" t="n"/>
      <c r="F196" s="27" t="n"/>
      <c r="G196" s="27" t="n"/>
      <c r="H196" s="28">
        <f>IFERROR(IF(A196="","",MAX(0,F196-G196)),"")</f>
        <v/>
      </c>
      <c r="I196" s="27" t="n"/>
      <c r="J196" s="27" t="n"/>
      <c r="K196" s="28">
        <f>IFERROR(IF(A196="","",I196+J196),"")</f>
        <v/>
      </c>
      <c r="L196" s="29">
        <f>IFERROR(IF(A196="","",K196/H196),"")</f>
        <v/>
      </c>
      <c r="M196" s="29">
        <f>IFERROR(IF(A196="","",VLOOKUP(B196,'Assumptions'!$A$16:$B$22,2,0)),"")</f>
        <v/>
      </c>
      <c r="N196" s="27" t="n"/>
      <c r="O196" s="27" t="n"/>
      <c r="P196" s="27" t="n"/>
      <c r="Q196" s="28">
        <f>IFERROR(IF(A196="","",MIN(H196,MAX(0,K196,ROUND(H196*M196,0)+N196+O196))),"")</f>
        <v/>
      </c>
      <c r="R196" s="28">
        <f>IFERROR(IF(A196="","",MIN(H196,MAX(0,IF(P196="",Q196,P196)))),"")</f>
        <v/>
      </c>
      <c r="S196" s="28">
        <f>IFERROR(IF(A196="","",MAX(0,R196-K196)),"")</f>
        <v/>
      </c>
      <c r="T196" s="29">
        <f>IFERROR(IF(A196="","",R196/H196),"")</f>
        <v/>
      </c>
      <c r="U196" s="29">
        <f>IFERROR(IF(A196="","",'Assumptions'!$B$5),"")</f>
        <v/>
      </c>
      <c r="V196" s="29">
        <f>IFERROR(IF(A196="","",T196-U196),"")</f>
        <v/>
      </c>
      <c r="W196" s="50" t="n"/>
      <c r="X196" s="50" t="n"/>
      <c r="Y196" s="51">
        <f>IFERROR(IF(A196="","",IF(X196&lt;&gt;"",X196,IF(W196&lt;&gt;"",W196,'Assumptions'!$B$8))),"")</f>
        <v/>
      </c>
      <c r="Z196" s="51">
        <f>IFERROR(IF(A196="","",R196*Y196),"")</f>
        <v/>
      </c>
      <c r="AA196" s="51">
        <f>IFERROR(IF(A196="","",Z196/H196),"")</f>
        <v/>
      </c>
      <c r="AB196" s="32" t="n"/>
      <c r="AC196" s="52" t="n"/>
      <c r="AD196" s="29">
        <f>IFERROR(IF(OR(A196="",AB196=""),"",AB196/H196),"")</f>
        <v/>
      </c>
      <c r="AE196" s="51">
        <f>IFERROR(IF(OR(A196="",AB196="",AC196=""),"",AB196*AC196),"")</f>
        <v/>
      </c>
      <c r="AF196" s="28">
        <f>IFERROR(IF(OR(A196="",AB196=""),"",AB196-R196),"")</f>
        <v/>
      </c>
      <c r="AG196" s="29">
        <f>IFERROR(IF(OR(A196="",AB196=""),"",IF(AD196-T196&lt;0,T196-AD196,AD196-T196)),"")</f>
        <v/>
      </c>
      <c r="AH196" s="51">
        <f>IFERROR(IF(OR(A196="",AE196=""),"",AE196-Z196),"")</f>
        <v/>
      </c>
      <c r="AI196" s="25">
        <f>IFERROR(IF(A196="","",IF(G196&gt;F196,"Check out-of-order rooms",IF(K196&gt;H196,"On the books exceeds sellable rooms",IF(R196&gt;H196,"Forecast exceeds sellable rooms",IF(AND(A196&lt;TODAY(),AB196=""),"Actual results missing","OK"))))),"")</f>
        <v/>
      </c>
    </row>
    <row r="197">
      <c r="A197" s="24" t="n"/>
      <c r="B197" s="25">
        <f>IFERROR(IF(A197="","",VLOOKUP(MOD(A197,7),'Assumptions'!$E$16:$F$22,2,0)),"")</f>
        <v/>
      </c>
      <c r="C197" s="25">
        <f>IFERROR(IF(A197="","",IF(A197&lt;TODAY(),"Past",IF(A197=TODAY(),"Today","Future"))),"")</f>
        <v/>
      </c>
      <c r="D197" s="26" t="n"/>
      <c r="E197" s="26" t="n"/>
      <c r="F197" s="27" t="n"/>
      <c r="G197" s="27" t="n"/>
      <c r="H197" s="28">
        <f>IFERROR(IF(A197="","",MAX(0,F197-G197)),"")</f>
        <v/>
      </c>
      <c r="I197" s="27" t="n"/>
      <c r="J197" s="27" t="n"/>
      <c r="K197" s="28">
        <f>IFERROR(IF(A197="","",I197+J197),"")</f>
        <v/>
      </c>
      <c r="L197" s="29">
        <f>IFERROR(IF(A197="","",K197/H197),"")</f>
        <v/>
      </c>
      <c r="M197" s="29">
        <f>IFERROR(IF(A197="","",VLOOKUP(B197,'Assumptions'!$A$16:$B$22,2,0)),"")</f>
        <v/>
      </c>
      <c r="N197" s="27" t="n"/>
      <c r="O197" s="27" t="n"/>
      <c r="P197" s="27" t="n"/>
      <c r="Q197" s="28">
        <f>IFERROR(IF(A197="","",MIN(H197,MAX(0,K197,ROUND(H197*M197,0)+N197+O197))),"")</f>
        <v/>
      </c>
      <c r="R197" s="28">
        <f>IFERROR(IF(A197="","",MIN(H197,MAX(0,IF(P197="",Q197,P197)))),"")</f>
        <v/>
      </c>
      <c r="S197" s="28">
        <f>IFERROR(IF(A197="","",MAX(0,R197-K197)),"")</f>
        <v/>
      </c>
      <c r="T197" s="29">
        <f>IFERROR(IF(A197="","",R197/H197),"")</f>
        <v/>
      </c>
      <c r="U197" s="29">
        <f>IFERROR(IF(A197="","",'Assumptions'!$B$5),"")</f>
        <v/>
      </c>
      <c r="V197" s="29">
        <f>IFERROR(IF(A197="","",T197-U197),"")</f>
        <v/>
      </c>
      <c r="W197" s="50" t="n"/>
      <c r="X197" s="50" t="n"/>
      <c r="Y197" s="51">
        <f>IFERROR(IF(A197="","",IF(X197&lt;&gt;"",X197,IF(W197&lt;&gt;"",W197,'Assumptions'!$B$8))),"")</f>
        <v/>
      </c>
      <c r="Z197" s="51">
        <f>IFERROR(IF(A197="","",R197*Y197),"")</f>
        <v/>
      </c>
      <c r="AA197" s="51">
        <f>IFERROR(IF(A197="","",Z197/H197),"")</f>
        <v/>
      </c>
      <c r="AB197" s="32" t="n"/>
      <c r="AC197" s="52" t="n"/>
      <c r="AD197" s="29">
        <f>IFERROR(IF(OR(A197="",AB197=""),"",AB197/H197),"")</f>
        <v/>
      </c>
      <c r="AE197" s="51">
        <f>IFERROR(IF(OR(A197="",AB197="",AC197=""),"",AB197*AC197),"")</f>
        <v/>
      </c>
      <c r="AF197" s="28">
        <f>IFERROR(IF(OR(A197="",AB197=""),"",AB197-R197),"")</f>
        <v/>
      </c>
      <c r="AG197" s="29">
        <f>IFERROR(IF(OR(A197="",AB197=""),"",IF(AD197-T197&lt;0,T197-AD197,AD197-T197)),"")</f>
        <v/>
      </c>
      <c r="AH197" s="51">
        <f>IFERROR(IF(OR(A197="",AE197=""),"",AE197-Z197),"")</f>
        <v/>
      </c>
      <c r="AI197" s="25">
        <f>IFERROR(IF(A197="","",IF(G197&gt;F197,"Check out-of-order rooms",IF(K197&gt;H197,"On the books exceeds sellable rooms",IF(R197&gt;H197,"Forecast exceeds sellable rooms",IF(AND(A197&lt;TODAY(),AB197=""),"Actual results missing","OK"))))),"")</f>
        <v/>
      </c>
    </row>
    <row r="198">
      <c r="A198" s="24" t="n"/>
      <c r="B198" s="25">
        <f>IFERROR(IF(A198="","",VLOOKUP(MOD(A198,7),'Assumptions'!$E$16:$F$22,2,0)),"")</f>
        <v/>
      </c>
      <c r="C198" s="25">
        <f>IFERROR(IF(A198="","",IF(A198&lt;TODAY(),"Past",IF(A198=TODAY(),"Today","Future"))),"")</f>
        <v/>
      </c>
      <c r="D198" s="26" t="n"/>
      <c r="E198" s="26" t="n"/>
      <c r="F198" s="27" t="n"/>
      <c r="G198" s="27" t="n"/>
      <c r="H198" s="28">
        <f>IFERROR(IF(A198="","",MAX(0,F198-G198)),"")</f>
        <v/>
      </c>
      <c r="I198" s="27" t="n"/>
      <c r="J198" s="27" t="n"/>
      <c r="K198" s="28">
        <f>IFERROR(IF(A198="","",I198+J198),"")</f>
        <v/>
      </c>
      <c r="L198" s="29">
        <f>IFERROR(IF(A198="","",K198/H198),"")</f>
        <v/>
      </c>
      <c r="M198" s="29">
        <f>IFERROR(IF(A198="","",VLOOKUP(B198,'Assumptions'!$A$16:$B$22,2,0)),"")</f>
        <v/>
      </c>
      <c r="N198" s="27" t="n"/>
      <c r="O198" s="27" t="n"/>
      <c r="P198" s="27" t="n"/>
      <c r="Q198" s="28">
        <f>IFERROR(IF(A198="","",MIN(H198,MAX(0,K198,ROUND(H198*M198,0)+N198+O198))),"")</f>
        <v/>
      </c>
      <c r="R198" s="28">
        <f>IFERROR(IF(A198="","",MIN(H198,MAX(0,IF(P198="",Q198,P198)))),"")</f>
        <v/>
      </c>
      <c r="S198" s="28">
        <f>IFERROR(IF(A198="","",MAX(0,R198-K198)),"")</f>
        <v/>
      </c>
      <c r="T198" s="29">
        <f>IFERROR(IF(A198="","",R198/H198),"")</f>
        <v/>
      </c>
      <c r="U198" s="29">
        <f>IFERROR(IF(A198="","",'Assumptions'!$B$5),"")</f>
        <v/>
      </c>
      <c r="V198" s="29">
        <f>IFERROR(IF(A198="","",T198-U198),"")</f>
        <v/>
      </c>
      <c r="W198" s="50" t="n"/>
      <c r="X198" s="50" t="n"/>
      <c r="Y198" s="51">
        <f>IFERROR(IF(A198="","",IF(X198&lt;&gt;"",X198,IF(W198&lt;&gt;"",W198,'Assumptions'!$B$8))),"")</f>
        <v/>
      </c>
      <c r="Z198" s="51">
        <f>IFERROR(IF(A198="","",R198*Y198),"")</f>
        <v/>
      </c>
      <c r="AA198" s="51">
        <f>IFERROR(IF(A198="","",Z198/H198),"")</f>
        <v/>
      </c>
      <c r="AB198" s="32" t="n"/>
      <c r="AC198" s="52" t="n"/>
      <c r="AD198" s="29">
        <f>IFERROR(IF(OR(A198="",AB198=""),"",AB198/H198),"")</f>
        <v/>
      </c>
      <c r="AE198" s="51">
        <f>IFERROR(IF(OR(A198="",AB198="",AC198=""),"",AB198*AC198),"")</f>
        <v/>
      </c>
      <c r="AF198" s="28">
        <f>IFERROR(IF(OR(A198="",AB198=""),"",AB198-R198),"")</f>
        <v/>
      </c>
      <c r="AG198" s="29">
        <f>IFERROR(IF(OR(A198="",AB198=""),"",IF(AD198-T198&lt;0,T198-AD198,AD198-T198)),"")</f>
        <v/>
      </c>
      <c r="AH198" s="51">
        <f>IFERROR(IF(OR(A198="",AE198=""),"",AE198-Z198),"")</f>
        <v/>
      </c>
      <c r="AI198" s="25">
        <f>IFERROR(IF(A198="","",IF(G198&gt;F198,"Check out-of-order rooms",IF(K198&gt;H198,"On the books exceeds sellable rooms",IF(R198&gt;H198,"Forecast exceeds sellable rooms",IF(AND(A198&lt;TODAY(),AB198=""),"Actual results missing","OK"))))),"")</f>
        <v/>
      </c>
    </row>
    <row r="199">
      <c r="A199" s="24" t="n"/>
      <c r="B199" s="25">
        <f>IFERROR(IF(A199="","",VLOOKUP(MOD(A199,7),'Assumptions'!$E$16:$F$22,2,0)),"")</f>
        <v/>
      </c>
      <c r="C199" s="25">
        <f>IFERROR(IF(A199="","",IF(A199&lt;TODAY(),"Past",IF(A199=TODAY(),"Today","Future"))),"")</f>
        <v/>
      </c>
      <c r="D199" s="26" t="n"/>
      <c r="E199" s="26" t="n"/>
      <c r="F199" s="27" t="n"/>
      <c r="G199" s="27" t="n"/>
      <c r="H199" s="28">
        <f>IFERROR(IF(A199="","",MAX(0,F199-G199)),"")</f>
        <v/>
      </c>
      <c r="I199" s="27" t="n"/>
      <c r="J199" s="27" t="n"/>
      <c r="K199" s="28">
        <f>IFERROR(IF(A199="","",I199+J199),"")</f>
        <v/>
      </c>
      <c r="L199" s="29">
        <f>IFERROR(IF(A199="","",K199/H199),"")</f>
        <v/>
      </c>
      <c r="M199" s="29">
        <f>IFERROR(IF(A199="","",VLOOKUP(B199,'Assumptions'!$A$16:$B$22,2,0)),"")</f>
        <v/>
      </c>
      <c r="N199" s="27" t="n"/>
      <c r="O199" s="27" t="n"/>
      <c r="P199" s="27" t="n"/>
      <c r="Q199" s="28">
        <f>IFERROR(IF(A199="","",MIN(H199,MAX(0,K199,ROUND(H199*M199,0)+N199+O199))),"")</f>
        <v/>
      </c>
      <c r="R199" s="28">
        <f>IFERROR(IF(A199="","",MIN(H199,MAX(0,IF(P199="",Q199,P199)))),"")</f>
        <v/>
      </c>
      <c r="S199" s="28">
        <f>IFERROR(IF(A199="","",MAX(0,R199-K199)),"")</f>
        <v/>
      </c>
      <c r="T199" s="29">
        <f>IFERROR(IF(A199="","",R199/H199),"")</f>
        <v/>
      </c>
      <c r="U199" s="29">
        <f>IFERROR(IF(A199="","",'Assumptions'!$B$5),"")</f>
        <v/>
      </c>
      <c r="V199" s="29">
        <f>IFERROR(IF(A199="","",T199-U199),"")</f>
        <v/>
      </c>
      <c r="W199" s="50" t="n"/>
      <c r="X199" s="50" t="n"/>
      <c r="Y199" s="51">
        <f>IFERROR(IF(A199="","",IF(X199&lt;&gt;"",X199,IF(W199&lt;&gt;"",W199,'Assumptions'!$B$8))),"")</f>
        <v/>
      </c>
      <c r="Z199" s="51">
        <f>IFERROR(IF(A199="","",R199*Y199),"")</f>
        <v/>
      </c>
      <c r="AA199" s="51">
        <f>IFERROR(IF(A199="","",Z199/H199),"")</f>
        <v/>
      </c>
      <c r="AB199" s="32" t="n"/>
      <c r="AC199" s="52" t="n"/>
      <c r="AD199" s="29">
        <f>IFERROR(IF(OR(A199="",AB199=""),"",AB199/H199),"")</f>
        <v/>
      </c>
      <c r="AE199" s="51">
        <f>IFERROR(IF(OR(A199="",AB199="",AC199=""),"",AB199*AC199),"")</f>
        <v/>
      </c>
      <c r="AF199" s="28">
        <f>IFERROR(IF(OR(A199="",AB199=""),"",AB199-R199),"")</f>
        <v/>
      </c>
      <c r="AG199" s="29">
        <f>IFERROR(IF(OR(A199="",AB199=""),"",IF(AD199-T199&lt;0,T199-AD199,AD199-T199)),"")</f>
        <v/>
      </c>
      <c r="AH199" s="51">
        <f>IFERROR(IF(OR(A199="",AE199=""),"",AE199-Z199),"")</f>
        <v/>
      </c>
      <c r="AI199" s="25">
        <f>IFERROR(IF(A199="","",IF(G199&gt;F199,"Check out-of-order rooms",IF(K199&gt;H199,"On the books exceeds sellable rooms",IF(R199&gt;H199,"Forecast exceeds sellable rooms",IF(AND(A199&lt;TODAY(),AB199=""),"Actual results missing","OK"))))),"")</f>
        <v/>
      </c>
    </row>
    <row r="200">
      <c r="A200" s="24" t="n"/>
      <c r="B200" s="25">
        <f>IFERROR(IF(A200="","",VLOOKUP(MOD(A200,7),'Assumptions'!$E$16:$F$22,2,0)),"")</f>
        <v/>
      </c>
      <c r="C200" s="25">
        <f>IFERROR(IF(A200="","",IF(A200&lt;TODAY(),"Past",IF(A200=TODAY(),"Today","Future"))),"")</f>
        <v/>
      </c>
      <c r="D200" s="26" t="n"/>
      <c r="E200" s="26" t="n"/>
      <c r="F200" s="27" t="n"/>
      <c r="G200" s="27" t="n"/>
      <c r="H200" s="28">
        <f>IFERROR(IF(A200="","",MAX(0,F200-G200)),"")</f>
        <v/>
      </c>
      <c r="I200" s="27" t="n"/>
      <c r="J200" s="27" t="n"/>
      <c r="K200" s="28">
        <f>IFERROR(IF(A200="","",I200+J200),"")</f>
        <v/>
      </c>
      <c r="L200" s="29">
        <f>IFERROR(IF(A200="","",K200/H200),"")</f>
        <v/>
      </c>
      <c r="M200" s="29">
        <f>IFERROR(IF(A200="","",VLOOKUP(B200,'Assumptions'!$A$16:$B$22,2,0)),"")</f>
        <v/>
      </c>
      <c r="N200" s="27" t="n"/>
      <c r="O200" s="27" t="n"/>
      <c r="P200" s="27" t="n"/>
      <c r="Q200" s="28">
        <f>IFERROR(IF(A200="","",MIN(H200,MAX(0,K200,ROUND(H200*M200,0)+N200+O200))),"")</f>
        <v/>
      </c>
      <c r="R200" s="28">
        <f>IFERROR(IF(A200="","",MIN(H200,MAX(0,IF(P200="",Q200,P200)))),"")</f>
        <v/>
      </c>
      <c r="S200" s="28">
        <f>IFERROR(IF(A200="","",MAX(0,R200-K200)),"")</f>
        <v/>
      </c>
      <c r="T200" s="29">
        <f>IFERROR(IF(A200="","",R200/H200),"")</f>
        <v/>
      </c>
      <c r="U200" s="29">
        <f>IFERROR(IF(A200="","",'Assumptions'!$B$5),"")</f>
        <v/>
      </c>
      <c r="V200" s="29">
        <f>IFERROR(IF(A200="","",T200-U200),"")</f>
        <v/>
      </c>
      <c r="W200" s="50" t="n"/>
      <c r="X200" s="50" t="n"/>
      <c r="Y200" s="51">
        <f>IFERROR(IF(A200="","",IF(X200&lt;&gt;"",X200,IF(W200&lt;&gt;"",W200,'Assumptions'!$B$8))),"")</f>
        <v/>
      </c>
      <c r="Z200" s="51">
        <f>IFERROR(IF(A200="","",R200*Y200),"")</f>
        <v/>
      </c>
      <c r="AA200" s="51">
        <f>IFERROR(IF(A200="","",Z200/H200),"")</f>
        <v/>
      </c>
      <c r="AB200" s="32" t="n"/>
      <c r="AC200" s="52" t="n"/>
      <c r="AD200" s="29">
        <f>IFERROR(IF(OR(A200="",AB200=""),"",AB200/H200),"")</f>
        <v/>
      </c>
      <c r="AE200" s="51">
        <f>IFERROR(IF(OR(A200="",AB200="",AC200=""),"",AB200*AC200),"")</f>
        <v/>
      </c>
      <c r="AF200" s="28">
        <f>IFERROR(IF(OR(A200="",AB200=""),"",AB200-R200),"")</f>
        <v/>
      </c>
      <c r="AG200" s="29">
        <f>IFERROR(IF(OR(A200="",AB200=""),"",IF(AD200-T200&lt;0,T200-AD200,AD200-T200)),"")</f>
        <v/>
      </c>
      <c r="AH200" s="51">
        <f>IFERROR(IF(OR(A200="",AE200=""),"",AE200-Z200),"")</f>
        <v/>
      </c>
      <c r="AI200" s="25">
        <f>IFERROR(IF(A200="","",IF(G200&gt;F200,"Check out-of-order rooms",IF(K200&gt;H200,"On the books exceeds sellable rooms",IF(R200&gt;H200,"Forecast exceeds sellable rooms",IF(AND(A200&lt;TODAY(),AB200=""),"Actual results missing","OK"))))),"")</f>
        <v/>
      </c>
    </row>
    <row r="201">
      <c r="A201" s="24" t="n"/>
      <c r="B201" s="25">
        <f>IFERROR(IF(A201="","",VLOOKUP(MOD(A201,7),'Assumptions'!$E$16:$F$22,2,0)),"")</f>
        <v/>
      </c>
      <c r="C201" s="25">
        <f>IFERROR(IF(A201="","",IF(A201&lt;TODAY(),"Past",IF(A201=TODAY(),"Today","Future"))),"")</f>
        <v/>
      </c>
      <c r="D201" s="26" t="n"/>
      <c r="E201" s="26" t="n"/>
      <c r="F201" s="27" t="n"/>
      <c r="G201" s="27" t="n"/>
      <c r="H201" s="28">
        <f>IFERROR(IF(A201="","",MAX(0,F201-G201)),"")</f>
        <v/>
      </c>
      <c r="I201" s="27" t="n"/>
      <c r="J201" s="27" t="n"/>
      <c r="K201" s="28">
        <f>IFERROR(IF(A201="","",I201+J201),"")</f>
        <v/>
      </c>
      <c r="L201" s="29">
        <f>IFERROR(IF(A201="","",K201/H201),"")</f>
        <v/>
      </c>
      <c r="M201" s="29">
        <f>IFERROR(IF(A201="","",VLOOKUP(B201,'Assumptions'!$A$16:$B$22,2,0)),"")</f>
        <v/>
      </c>
      <c r="N201" s="27" t="n"/>
      <c r="O201" s="27" t="n"/>
      <c r="P201" s="27" t="n"/>
      <c r="Q201" s="28">
        <f>IFERROR(IF(A201="","",MIN(H201,MAX(0,K201,ROUND(H201*M201,0)+N201+O201))),"")</f>
        <v/>
      </c>
      <c r="R201" s="28">
        <f>IFERROR(IF(A201="","",MIN(H201,MAX(0,IF(P201="",Q201,P201)))),"")</f>
        <v/>
      </c>
      <c r="S201" s="28">
        <f>IFERROR(IF(A201="","",MAX(0,R201-K201)),"")</f>
        <v/>
      </c>
      <c r="T201" s="29">
        <f>IFERROR(IF(A201="","",R201/H201),"")</f>
        <v/>
      </c>
      <c r="U201" s="29">
        <f>IFERROR(IF(A201="","",'Assumptions'!$B$5),"")</f>
        <v/>
      </c>
      <c r="V201" s="29">
        <f>IFERROR(IF(A201="","",T201-U201),"")</f>
        <v/>
      </c>
      <c r="W201" s="50" t="n"/>
      <c r="X201" s="50" t="n"/>
      <c r="Y201" s="51">
        <f>IFERROR(IF(A201="","",IF(X201&lt;&gt;"",X201,IF(W201&lt;&gt;"",W201,'Assumptions'!$B$8))),"")</f>
        <v/>
      </c>
      <c r="Z201" s="51">
        <f>IFERROR(IF(A201="","",R201*Y201),"")</f>
        <v/>
      </c>
      <c r="AA201" s="51">
        <f>IFERROR(IF(A201="","",Z201/H201),"")</f>
        <v/>
      </c>
      <c r="AB201" s="32" t="n"/>
      <c r="AC201" s="52" t="n"/>
      <c r="AD201" s="29">
        <f>IFERROR(IF(OR(A201="",AB201=""),"",AB201/H201),"")</f>
        <v/>
      </c>
      <c r="AE201" s="51">
        <f>IFERROR(IF(OR(A201="",AB201="",AC201=""),"",AB201*AC201),"")</f>
        <v/>
      </c>
      <c r="AF201" s="28">
        <f>IFERROR(IF(OR(A201="",AB201=""),"",AB201-R201),"")</f>
        <v/>
      </c>
      <c r="AG201" s="29">
        <f>IFERROR(IF(OR(A201="",AB201=""),"",IF(AD201-T201&lt;0,T201-AD201,AD201-T201)),"")</f>
        <v/>
      </c>
      <c r="AH201" s="51">
        <f>IFERROR(IF(OR(A201="",AE201=""),"",AE201-Z201),"")</f>
        <v/>
      </c>
      <c r="AI201" s="25">
        <f>IFERROR(IF(A201="","",IF(G201&gt;F201,"Check out-of-order rooms",IF(K201&gt;H201,"On the books exceeds sellable rooms",IF(R201&gt;H201,"Forecast exceeds sellable rooms",IF(AND(A201&lt;TODAY(),AB201=""),"Actual results missing","OK"))))),"")</f>
        <v/>
      </c>
    </row>
    <row r="202">
      <c r="A202" s="24" t="n"/>
      <c r="B202" s="25">
        <f>IFERROR(IF(A202="","",VLOOKUP(MOD(A202,7),'Assumptions'!$E$16:$F$22,2,0)),"")</f>
        <v/>
      </c>
      <c r="C202" s="25">
        <f>IFERROR(IF(A202="","",IF(A202&lt;TODAY(),"Past",IF(A202=TODAY(),"Today","Future"))),"")</f>
        <v/>
      </c>
      <c r="D202" s="26" t="n"/>
      <c r="E202" s="26" t="n"/>
      <c r="F202" s="27" t="n"/>
      <c r="G202" s="27" t="n"/>
      <c r="H202" s="28">
        <f>IFERROR(IF(A202="","",MAX(0,F202-G202)),"")</f>
        <v/>
      </c>
      <c r="I202" s="27" t="n"/>
      <c r="J202" s="27" t="n"/>
      <c r="K202" s="28">
        <f>IFERROR(IF(A202="","",I202+J202),"")</f>
        <v/>
      </c>
      <c r="L202" s="29">
        <f>IFERROR(IF(A202="","",K202/H202),"")</f>
        <v/>
      </c>
      <c r="M202" s="29">
        <f>IFERROR(IF(A202="","",VLOOKUP(B202,'Assumptions'!$A$16:$B$22,2,0)),"")</f>
        <v/>
      </c>
      <c r="N202" s="27" t="n"/>
      <c r="O202" s="27" t="n"/>
      <c r="P202" s="27" t="n"/>
      <c r="Q202" s="28">
        <f>IFERROR(IF(A202="","",MIN(H202,MAX(0,K202,ROUND(H202*M202,0)+N202+O202))),"")</f>
        <v/>
      </c>
      <c r="R202" s="28">
        <f>IFERROR(IF(A202="","",MIN(H202,MAX(0,IF(P202="",Q202,P202)))),"")</f>
        <v/>
      </c>
      <c r="S202" s="28">
        <f>IFERROR(IF(A202="","",MAX(0,R202-K202)),"")</f>
        <v/>
      </c>
      <c r="T202" s="29">
        <f>IFERROR(IF(A202="","",R202/H202),"")</f>
        <v/>
      </c>
      <c r="U202" s="29">
        <f>IFERROR(IF(A202="","",'Assumptions'!$B$5),"")</f>
        <v/>
      </c>
      <c r="V202" s="29">
        <f>IFERROR(IF(A202="","",T202-U202),"")</f>
        <v/>
      </c>
      <c r="W202" s="50" t="n"/>
      <c r="X202" s="50" t="n"/>
      <c r="Y202" s="51">
        <f>IFERROR(IF(A202="","",IF(X202&lt;&gt;"",X202,IF(W202&lt;&gt;"",W202,'Assumptions'!$B$8))),"")</f>
        <v/>
      </c>
      <c r="Z202" s="51">
        <f>IFERROR(IF(A202="","",R202*Y202),"")</f>
        <v/>
      </c>
      <c r="AA202" s="51">
        <f>IFERROR(IF(A202="","",Z202/H202),"")</f>
        <v/>
      </c>
      <c r="AB202" s="32" t="n"/>
      <c r="AC202" s="52" t="n"/>
      <c r="AD202" s="29">
        <f>IFERROR(IF(OR(A202="",AB202=""),"",AB202/H202),"")</f>
        <v/>
      </c>
      <c r="AE202" s="51">
        <f>IFERROR(IF(OR(A202="",AB202="",AC202=""),"",AB202*AC202),"")</f>
        <v/>
      </c>
      <c r="AF202" s="28">
        <f>IFERROR(IF(OR(A202="",AB202=""),"",AB202-R202),"")</f>
        <v/>
      </c>
      <c r="AG202" s="29">
        <f>IFERROR(IF(OR(A202="",AB202=""),"",IF(AD202-T202&lt;0,T202-AD202,AD202-T202)),"")</f>
        <v/>
      </c>
      <c r="AH202" s="51">
        <f>IFERROR(IF(OR(A202="",AE202=""),"",AE202-Z202),"")</f>
        <v/>
      </c>
      <c r="AI202" s="25">
        <f>IFERROR(IF(A202="","",IF(G202&gt;F202,"Check out-of-order rooms",IF(K202&gt;H202,"On the books exceeds sellable rooms",IF(R202&gt;H202,"Forecast exceeds sellable rooms",IF(AND(A202&lt;TODAY(),AB202=""),"Actual results missing","OK"))))),"")</f>
        <v/>
      </c>
    </row>
    <row r="203">
      <c r="A203" s="24" t="n"/>
      <c r="B203" s="25">
        <f>IFERROR(IF(A203="","",VLOOKUP(MOD(A203,7),'Assumptions'!$E$16:$F$22,2,0)),"")</f>
        <v/>
      </c>
      <c r="C203" s="25">
        <f>IFERROR(IF(A203="","",IF(A203&lt;TODAY(),"Past",IF(A203=TODAY(),"Today","Future"))),"")</f>
        <v/>
      </c>
      <c r="D203" s="26" t="n"/>
      <c r="E203" s="26" t="n"/>
      <c r="F203" s="27" t="n"/>
      <c r="G203" s="27" t="n"/>
      <c r="H203" s="28">
        <f>IFERROR(IF(A203="","",MAX(0,F203-G203)),"")</f>
        <v/>
      </c>
      <c r="I203" s="27" t="n"/>
      <c r="J203" s="27" t="n"/>
      <c r="K203" s="28">
        <f>IFERROR(IF(A203="","",I203+J203),"")</f>
        <v/>
      </c>
      <c r="L203" s="29">
        <f>IFERROR(IF(A203="","",K203/H203),"")</f>
        <v/>
      </c>
      <c r="M203" s="29">
        <f>IFERROR(IF(A203="","",VLOOKUP(B203,'Assumptions'!$A$16:$B$22,2,0)),"")</f>
        <v/>
      </c>
      <c r="N203" s="27" t="n"/>
      <c r="O203" s="27" t="n"/>
      <c r="P203" s="27" t="n"/>
      <c r="Q203" s="28">
        <f>IFERROR(IF(A203="","",MIN(H203,MAX(0,K203,ROUND(H203*M203,0)+N203+O203))),"")</f>
        <v/>
      </c>
      <c r="R203" s="28">
        <f>IFERROR(IF(A203="","",MIN(H203,MAX(0,IF(P203="",Q203,P203)))),"")</f>
        <v/>
      </c>
      <c r="S203" s="28">
        <f>IFERROR(IF(A203="","",MAX(0,R203-K203)),"")</f>
        <v/>
      </c>
      <c r="T203" s="29">
        <f>IFERROR(IF(A203="","",R203/H203),"")</f>
        <v/>
      </c>
      <c r="U203" s="29">
        <f>IFERROR(IF(A203="","",'Assumptions'!$B$5),"")</f>
        <v/>
      </c>
      <c r="V203" s="29">
        <f>IFERROR(IF(A203="","",T203-U203),"")</f>
        <v/>
      </c>
      <c r="W203" s="50" t="n"/>
      <c r="X203" s="50" t="n"/>
      <c r="Y203" s="51">
        <f>IFERROR(IF(A203="","",IF(X203&lt;&gt;"",X203,IF(W203&lt;&gt;"",W203,'Assumptions'!$B$8))),"")</f>
        <v/>
      </c>
      <c r="Z203" s="51">
        <f>IFERROR(IF(A203="","",R203*Y203),"")</f>
        <v/>
      </c>
      <c r="AA203" s="51">
        <f>IFERROR(IF(A203="","",Z203/H203),"")</f>
        <v/>
      </c>
      <c r="AB203" s="32" t="n"/>
      <c r="AC203" s="52" t="n"/>
      <c r="AD203" s="29">
        <f>IFERROR(IF(OR(A203="",AB203=""),"",AB203/H203),"")</f>
        <v/>
      </c>
      <c r="AE203" s="51">
        <f>IFERROR(IF(OR(A203="",AB203="",AC203=""),"",AB203*AC203),"")</f>
        <v/>
      </c>
      <c r="AF203" s="28">
        <f>IFERROR(IF(OR(A203="",AB203=""),"",AB203-R203),"")</f>
        <v/>
      </c>
      <c r="AG203" s="29">
        <f>IFERROR(IF(OR(A203="",AB203=""),"",IF(AD203-T203&lt;0,T203-AD203,AD203-T203)),"")</f>
        <v/>
      </c>
      <c r="AH203" s="51">
        <f>IFERROR(IF(OR(A203="",AE203=""),"",AE203-Z203),"")</f>
        <v/>
      </c>
      <c r="AI203" s="25">
        <f>IFERROR(IF(A203="","",IF(G203&gt;F203,"Check out-of-order rooms",IF(K203&gt;H203,"On the books exceeds sellable rooms",IF(R203&gt;H203,"Forecast exceeds sellable rooms",IF(AND(A203&lt;TODAY(),AB203=""),"Actual results missing","OK"))))),"")</f>
        <v/>
      </c>
    </row>
    <row r="204">
      <c r="A204" s="24" t="n"/>
      <c r="B204" s="25">
        <f>IFERROR(IF(A204="","",VLOOKUP(MOD(A204,7),'Assumptions'!$E$16:$F$22,2,0)),"")</f>
        <v/>
      </c>
      <c r="C204" s="25">
        <f>IFERROR(IF(A204="","",IF(A204&lt;TODAY(),"Past",IF(A204=TODAY(),"Today","Future"))),"")</f>
        <v/>
      </c>
      <c r="D204" s="26" t="n"/>
      <c r="E204" s="26" t="n"/>
      <c r="F204" s="27" t="n"/>
      <c r="G204" s="27" t="n"/>
      <c r="H204" s="28">
        <f>IFERROR(IF(A204="","",MAX(0,F204-G204)),"")</f>
        <v/>
      </c>
      <c r="I204" s="27" t="n"/>
      <c r="J204" s="27" t="n"/>
      <c r="K204" s="28">
        <f>IFERROR(IF(A204="","",I204+J204),"")</f>
        <v/>
      </c>
      <c r="L204" s="29">
        <f>IFERROR(IF(A204="","",K204/H204),"")</f>
        <v/>
      </c>
      <c r="M204" s="29">
        <f>IFERROR(IF(A204="","",VLOOKUP(B204,'Assumptions'!$A$16:$B$22,2,0)),"")</f>
        <v/>
      </c>
      <c r="N204" s="27" t="n"/>
      <c r="O204" s="27" t="n"/>
      <c r="P204" s="27" t="n"/>
      <c r="Q204" s="28">
        <f>IFERROR(IF(A204="","",MIN(H204,MAX(0,K204,ROUND(H204*M204,0)+N204+O204))),"")</f>
        <v/>
      </c>
      <c r="R204" s="28">
        <f>IFERROR(IF(A204="","",MIN(H204,MAX(0,IF(P204="",Q204,P204)))),"")</f>
        <v/>
      </c>
      <c r="S204" s="28">
        <f>IFERROR(IF(A204="","",MAX(0,R204-K204)),"")</f>
        <v/>
      </c>
      <c r="T204" s="29">
        <f>IFERROR(IF(A204="","",R204/H204),"")</f>
        <v/>
      </c>
      <c r="U204" s="29">
        <f>IFERROR(IF(A204="","",'Assumptions'!$B$5),"")</f>
        <v/>
      </c>
      <c r="V204" s="29">
        <f>IFERROR(IF(A204="","",T204-U204),"")</f>
        <v/>
      </c>
      <c r="W204" s="50" t="n"/>
      <c r="X204" s="50" t="n"/>
      <c r="Y204" s="51">
        <f>IFERROR(IF(A204="","",IF(X204&lt;&gt;"",X204,IF(W204&lt;&gt;"",W204,'Assumptions'!$B$8))),"")</f>
        <v/>
      </c>
      <c r="Z204" s="51">
        <f>IFERROR(IF(A204="","",R204*Y204),"")</f>
        <v/>
      </c>
      <c r="AA204" s="51">
        <f>IFERROR(IF(A204="","",Z204/H204),"")</f>
        <v/>
      </c>
      <c r="AB204" s="32" t="n"/>
      <c r="AC204" s="52" t="n"/>
      <c r="AD204" s="29">
        <f>IFERROR(IF(OR(A204="",AB204=""),"",AB204/H204),"")</f>
        <v/>
      </c>
      <c r="AE204" s="51">
        <f>IFERROR(IF(OR(A204="",AB204="",AC204=""),"",AB204*AC204),"")</f>
        <v/>
      </c>
      <c r="AF204" s="28">
        <f>IFERROR(IF(OR(A204="",AB204=""),"",AB204-R204),"")</f>
        <v/>
      </c>
      <c r="AG204" s="29">
        <f>IFERROR(IF(OR(A204="",AB204=""),"",IF(AD204-T204&lt;0,T204-AD204,AD204-T204)),"")</f>
        <v/>
      </c>
      <c r="AH204" s="51">
        <f>IFERROR(IF(OR(A204="",AE204=""),"",AE204-Z204),"")</f>
        <v/>
      </c>
      <c r="AI204" s="25">
        <f>IFERROR(IF(A204="","",IF(G204&gt;F204,"Check out-of-order rooms",IF(K204&gt;H204,"On the books exceeds sellable rooms",IF(R204&gt;H204,"Forecast exceeds sellable rooms",IF(AND(A204&lt;TODAY(),AB204=""),"Actual results missing","OK"))))),"")</f>
        <v/>
      </c>
    </row>
    <row r="205">
      <c r="A205" s="24" t="n"/>
      <c r="B205" s="25">
        <f>IFERROR(IF(A205="","",VLOOKUP(MOD(A205,7),'Assumptions'!$E$16:$F$22,2,0)),"")</f>
        <v/>
      </c>
      <c r="C205" s="25">
        <f>IFERROR(IF(A205="","",IF(A205&lt;TODAY(),"Past",IF(A205=TODAY(),"Today","Future"))),"")</f>
        <v/>
      </c>
      <c r="D205" s="26" t="n"/>
      <c r="E205" s="26" t="n"/>
      <c r="F205" s="27" t="n"/>
      <c r="G205" s="27" t="n"/>
      <c r="H205" s="28">
        <f>IFERROR(IF(A205="","",MAX(0,F205-G205)),"")</f>
        <v/>
      </c>
      <c r="I205" s="27" t="n"/>
      <c r="J205" s="27" t="n"/>
      <c r="K205" s="28">
        <f>IFERROR(IF(A205="","",I205+J205),"")</f>
        <v/>
      </c>
      <c r="L205" s="29">
        <f>IFERROR(IF(A205="","",K205/H205),"")</f>
        <v/>
      </c>
      <c r="M205" s="29">
        <f>IFERROR(IF(A205="","",VLOOKUP(B205,'Assumptions'!$A$16:$B$22,2,0)),"")</f>
        <v/>
      </c>
      <c r="N205" s="27" t="n"/>
      <c r="O205" s="27" t="n"/>
      <c r="P205" s="27" t="n"/>
      <c r="Q205" s="28">
        <f>IFERROR(IF(A205="","",MIN(H205,MAX(0,K205,ROUND(H205*M205,0)+N205+O205))),"")</f>
        <v/>
      </c>
      <c r="R205" s="28">
        <f>IFERROR(IF(A205="","",MIN(H205,MAX(0,IF(P205="",Q205,P205)))),"")</f>
        <v/>
      </c>
      <c r="S205" s="28">
        <f>IFERROR(IF(A205="","",MAX(0,R205-K205)),"")</f>
        <v/>
      </c>
      <c r="T205" s="29">
        <f>IFERROR(IF(A205="","",R205/H205),"")</f>
        <v/>
      </c>
      <c r="U205" s="29">
        <f>IFERROR(IF(A205="","",'Assumptions'!$B$5),"")</f>
        <v/>
      </c>
      <c r="V205" s="29">
        <f>IFERROR(IF(A205="","",T205-U205),"")</f>
        <v/>
      </c>
      <c r="W205" s="50" t="n"/>
      <c r="X205" s="50" t="n"/>
      <c r="Y205" s="51">
        <f>IFERROR(IF(A205="","",IF(X205&lt;&gt;"",X205,IF(W205&lt;&gt;"",W205,'Assumptions'!$B$8))),"")</f>
        <v/>
      </c>
      <c r="Z205" s="51">
        <f>IFERROR(IF(A205="","",R205*Y205),"")</f>
        <v/>
      </c>
      <c r="AA205" s="51">
        <f>IFERROR(IF(A205="","",Z205/H205),"")</f>
        <v/>
      </c>
      <c r="AB205" s="32" t="n"/>
      <c r="AC205" s="52" t="n"/>
      <c r="AD205" s="29">
        <f>IFERROR(IF(OR(A205="",AB205=""),"",AB205/H205),"")</f>
        <v/>
      </c>
      <c r="AE205" s="51">
        <f>IFERROR(IF(OR(A205="",AB205="",AC205=""),"",AB205*AC205),"")</f>
        <v/>
      </c>
      <c r="AF205" s="28">
        <f>IFERROR(IF(OR(A205="",AB205=""),"",AB205-R205),"")</f>
        <v/>
      </c>
      <c r="AG205" s="29">
        <f>IFERROR(IF(OR(A205="",AB205=""),"",IF(AD205-T205&lt;0,T205-AD205,AD205-T205)),"")</f>
        <v/>
      </c>
      <c r="AH205" s="51">
        <f>IFERROR(IF(OR(A205="",AE205=""),"",AE205-Z205),"")</f>
        <v/>
      </c>
      <c r="AI205" s="25">
        <f>IFERROR(IF(A205="","",IF(G205&gt;F205,"Check out-of-order rooms",IF(K205&gt;H205,"On the books exceeds sellable rooms",IF(R205&gt;H205,"Forecast exceeds sellable rooms",IF(AND(A205&lt;TODAY(),AB205=""),"Actual results missing","OK"))))),"")</f>
        <v/>
      </c>
    </row>
    <row r="206">
      <c r="A206" s="24" t="n"/>
      <c r="B206" s="25">
        <f>IFERROR(IF(A206="","",VLOOKUP(MOD(A206,7),'Assumptions'!$E$16:$F$22,2,0)),"")</f>
        <v/>
      </c>
      <c r="C206" s="25">
        <f>IFERROR(IF(A206="","",IF(A206&lt;TODAY(),"Past",IF(A206=TODAY(),"Today","Future"))),"")</f>
        <v/>
      </c>
      <c r="D206" s="26" t="n"/>
      <c r="E206" s="26" t="n"/>
      <c r="F206" s="27" t="n"/>
      <c r="G206" s="27" t="n"/>
      <c r="H206" s="28">
        <f>IFERROR(IF(A206="","",MAX(0,F206-G206)),"")</f>
        <v/>
      </c>
      <c r="I206" s="27" t="n"/>
      <c r="J206" s="27" t="n"/>
      <c r="K206" s="28">
        <f>IFERROR(IF(A206="","",I206+J206),"")</f>
        <v/>
      </c>
      <c r="L206" s="29">
        <f>IFERROR(IF(A206="","",K206/H206),"")</f>
        <v/>
      </c>
      <c r="M206" s="29">
        <f>IFERROR(IF(A206="","",VLOOKUP(B206,'Assumptions'!$A$16:$B$22,2,0)),"")</f>
        <v/>
      </c>
      <c r="N206" s="27" t="n"/>
      <c r="O206" s="27" t="n"/>
      <c r="P206" s="27" t="n"/>
      <c r="Q206" s="28">
        <f>IFERROR(IF(A206="","",MIN(H206,MAX(0,K206,ROUND(H206*M206,0)+N206+O206))),"")</f>
        <v/>
      </c>
      <c r="R206" s="28">
        <f>IFERROR(IF(A206="","",MIN(H206,MAX(0,IF(P206="",Q206,P206)))),"")</f>
        <v/>
      </c>
      <c r="S206" s="28">
        <f>IFERROR(IF(A206="","",MAX(0,R206-K206)),"")</f>
        <v/>
      </c>
      <c r="T206" s="29">
        <f>IFERROR(IF(A206="","",R206/H206),"")</f>
        <v/>
      </c>
      <c r="U206" s="29">
        <f>IFERROR(IF(A206="","",'Assumptions'!$B$5),"")</f>
        <v/>
      </c>
      <c r="V206" s="29">
        <f>IFERROR(IF(A206="","",T206-U206),"")</f>
        <v/>
      </c>
      <c r="W206" s="50" t="n"/>
      <c r="X206" s="50" t="n"/>
      <c r="Y206" s="51">
        <f>IFERROR(IF(A206="","",IF(X206&lt;&gt;"",X206,IF(W206&lt;&gt;"",W206,'Assumptions'!$B$8))),"")</f>
        <v/>
      </c>
      <c r="Z206" s="51">
        <f>IFERROR(IF(A206="","",R206*Y206),"")</f>
        <v/>
      </c>
      <c r="AA206" s="51">
        <f>IFERROR(IF(A206="","",Z206/H206),"")</f>
        <v/>
      </c>
      <c r="AB206" s="32" t="n"/>
      <c r="AC206" s="52" t="n"/>
      <c r="AD206" s="29">
        <f>IFERROR(IF(OR(A206="",AB206=""),"",AB206/H206),"")</f>
        <v/>
      </c>
      <c r="AE206" s="51">
        <f>IFERROR(IF(OR(A206="",AB206="",AC206=""),"",AB206*AC206),"")</f>
        <v/>
      </c>
      <c r="AF206" s="28">
        <f>IFERROR(IF(OR(A206="",AB206=""),"",AB206-R206),"")</f>
        <v/>
      </c>
      <c r="AG206" s="29">
        <f>IFERROR(IF(OR(A206="",AB206=""),"",IF(AD206-T206&lt;0,T206-AD206,AD206-T206)),"")</f>
        <v/>
      </c>
      <c r="AH206" s="51">
        <f>IFERROR(IF(OR(A206="",AE206=""),"",AE206-Z206),"")</f>
        <v/>
      </c>
      <c r="AI206" s="25">
        <f>IFERROR(IF(A206="","",IF(G206&gt;F206,"Check out-of-order rooms",IF(K206&gt;H206,"On the books exceeds sellable rooms",IF(R206&gt;H206,"Forecast exceeds sellable rooms",IF(AND(A206&lt;TODAY(),AB206=""),"Actual results missing","OK"))))),"")</f>
        <v/>
      </c>
    </row>
    <row r="207">
      <c r="A207" s="24" t="n"/>
      <c r="B207" s="25">
        <f>IFERROR(IF(A207="","",VLOOKUP(MOD(A207,7),'Assumptions'!$E$16:$F$22,2,0)),"")</f>
        <v/>
      </c>
      <c r="C207" s="25">
        <f>IFERROR(IF(A207="","",IF(A207&lt;TODAY(),"Past",IF(A207=TODAY(),"Today","Future"))),"")</f>
        <v/>
      </c>
      <c r="D207" s="26" t="n"/>
      <c r="E207" s="26" t="n"/>
      <c r="F207" s="27" t="n"/>
      <c r="G207" s="27" t="n"/>
      <c r="H207" s="28">
        <f>IFERROR(IF(A207="","",MAX(0,F207-G207)),"")</f>
        <v/>
      </c>
      <c r="I207" s="27" t="n"/>
      <c r="J207" s="27" t="n"/>
      <c r="K207" s="28">
        <f>IFERROR(IF(A207="","",I207+J207),"")</f>
        <v/>
      </c>
      <c r="L207" s="29">
        <f>IFERROR(IF(A207="","",K207/H207),"")</f>
        <v/>
      </c>
      <c r="M207" s="29">
        <f>IFERROR(IF(A207="","",VLOOKUP(B207,'Assumptions'!$A$16:$B$22,2,0)),"")</f>
        <v/>
      </c>
      <c r="N207" s="27" t="n"/>
      <c r="O207" s="27" t="n"/>
      <c r="P207" s="27" t="n"/>
      <c r="Q207" s="28">
        <f>IFERROR(IF(A207="","",MIN(H207,MAX(0,K207,ROUND(H207*M207,0)+N207+O207))),"")</f>
        <v/>
      </c>
      <c r="R207" s="28">
        <f>IFERROR(IF(A207="","",MIN(H207,MAX(0,IF(P207="",Q207,P207)))),"")</f>
        <v/>
      </c>
      <c r="S207" s="28">
        <f>IFERROR(IF(A207="","",MAX(0,R207-K207)),"")</f>
        <v/>
      </c>
      <c r="T207" s="29">
        <f>IFERROR(IF(A207="","",R207/H207),"")</f>
        <v/>
      </c>
      <c r="U207" s="29">
        <f>IFERROR(IF(A207="","",'Assumptions'!$B$5),"")</f>
        <v/>
      </c>
      <c r="V207" s="29">
        <f>IFERROR(IF(A207="","",T207-U207),"")</f>
        <v/>
      </c>
      <c r="W207" s="50" t="n"/>
      <c r="X207" s="50" t="n"/>
      <c r="Y207" s="51">
        <f>IFERROR(IF(A207="","",IF(X207&lt;&gt;"",X207,IF(W207&lt;&gt;"",W207,'Assumptions'!$B$8))),"")</f>
        <v/>
      </c>
      <c r="Z207" s="51">
        <f>IFERROR(IF(A207="","",R207*Y207),"")</f>
        <v/>
      </c>
      <c r="AA207" s="51">
        <f>IFERROR(IF(A207="","",Z207/H207),"")</f>
        <v/>
      </c>
      <c r="AB207" s="32" t="n"/>
      <c r="AC207" s="52" t="n"/>
      <c r="AD207" s="29">
        <f>IFERROR(IF(OR(A207="",AB207=""),"",AB207/H207),"")</f>
        <v/>
      </c>
      <c r="AE207" s="51">
        <f>IFERROR(IF(OR(A207="",AB207="",AC207=""),"",AB207*AC207),"")</f>
        <v/>
      </c>
      <c r="AF207" s="28">
        <f>IFERROR(IF(OR(A207="",AB207=""),"",AB207-R207),"")</f>
        <v/>
      </c>
      <c r="AG207" s="29">
        <f>IFERROR(IF(OR(A207="",AB207=""),"",IF(AD207-T207&lt;0,T207-AD207,AD207-T207)),"")</f>
        <v/>
      </c>
      <c r="AH207" s="51">
        <f>IFERROR(IF(OR(A207="",AE207=""),"",AE207-Z207),"")</f>
        <v/>
      </c>
      <c r="AI207" s="25">
        <f>IFERROR(IF(A207="","",IF(G207&gt;F207,"Check out-of-order rooms",IF(K207&gt;H207,"On the books exceeds sellable rooms",IF(R207&gt;H207,"Forecast exceeds sellable rooms",IF(AND(A207&lt;TODAY(),AB207=""),"Actual results missing","OK"))))),"")</f>
        <v/>
      </c>
    </row>
    <row r="208">
      <c r="A208" s="24" t="n"/>
      <c r="B208" s="25">
        <f>IFERROR(IF(A208="","",VLOOKUP(MOD(A208,7),'Assumptions'!$E$16:$F$22,2,0)),"")</f>
        <v/>
      </c>
      <c r="C208" s="25">
        <f>IFERROR(IF(A208="","",IF(A208&lt;TODAY(),"Past",IF(A208=TODAY(),"Today","Future"))),"")</f>
        <v/>
      </c>
      <c r="D208" s="26" t="n"/>
      <c r="E208" s="26" t="n"/>
      <c r="F208" s="27" t="n"/>
      <c r="G208" s="27" t="n"/>
      <c r="H208" s="28">
        <f>IFERROR(IF(A208="","",MAX(0,F208-G208)),"")</f>
        <v/>
      </c>
      <c r="I208" s="27" t="n"/>
      <c r="J208" s="27" t="n"/>
      <c r="K208" s="28">
        <f>IFERROR(IF(A208="","",I208+J208),"")</f>
        <v/>
      </c>
      <c r="L208" s="29">
        <f>IFERROR(IF(A208="","",K208/H208),"")</f>
        <v/>
      </c>
      <c r="M208" s="29">
        <f>IFERROR(IF(A208="","",VLOOKUP(B208,'Assumptions'!$A$16:$B$22,2,0)),"")</f>
        <v/>
      </c>
      <c r="N208" s="27" t="n"/>
      <c r="O208" s="27" t="n"/>
      <c r="P208" s="27" t="n"/>
      <c r="Q208" s="28">
        <f>IFERROR(IF(A208="","",MIN(H208,MAX(0,K208,ROUND(H208*M208,0)+N208+O208))),"")</f>
        <v/>
      </c>
      <c r="R208" s="28">
        <f>IFERROR(IF(A208="","",MIN(H208,MAX(0,IF(P208="",Q208,P208)))),"")</f>
        <v/>
      </c>
      <c r="S208" s="28">
        <f>IFERROR(IF(A208="","",MAX(0,R208-K208)),"")</f>
        <v/>
      </c>
      <c r="T208" s="29">
        <f>IFERROR(IF(A208="","",R208/H208),"")</f>
        <v/>
      </c>
      <c r="U208" s="29">
        <f>IFERROR(IF(A208="","",'Assumptions'!$B$5),"")</f>
        <v/>
      </c>
      <c r="V208" s="29">
        <f>IFERROR(IF(A208="","",T208-U208),"")</f>
        <v/>
      </c>
      <c r="W208" s="50" t="n"/>
      <c r="X208" s="50" t="n"/>
      <c r="Y208" s="51">
        <f>IFERROR(IF(A208="","",IF(X208&lt;&gt;"",X208,IF(W208&lt;&gt;"",W208,'Assumptions'!$B$8))),"")</f>
        <v/>
      </c>
      <c r="Z208" s="51">
        <f>IFERROR(IF(A208="","",R208*Y208),"")</f>
        <v/>
      </c>
      <c r="AA208" s="51">
        <f>IFERROR(IF(A208="","",Z208/H208),"")</f>
        <v/>
      </c>
      <c r="AB208" s="32" t="n"/>
      <c r="AC208" s="52" t="n"/>
      <c r="AD208" s="29">
        <f>IFERROR(IF(OR(A208="",AB208=""),"",AB208/H208),"")</f>
        <v/>
      </c>
      <c r="AE208" s="51">
        <f>IFERROR(IF(OR(A208="",AB208="",AC208=""),"",AB208*AC208),"")</f>
        <v/>
      </c>
      <c r="AF208" s="28">
        <f>IFERROR(IF(OR(A208="",AB208=""),"",AB208-R208),"")</f>
        <v/>
      </c>
      <c r="AG208" s="29">
        <f>IFERROR(IF(OR(A208="",AB208=""),"",IF(AD208-T208&lt;0,T208-AD208,AD208-T208)),"")</f>
        <v/>
      </c>
      <c r="AH208" s="51">
        <f>IFERROR(IF(OR(A208="",AE208=""),"",AE208-Z208),"")</f>
        <v/>
      </c>
      <c r="AI208" s="25">
        <f>IFERROR(IF(A208="","",IF(G208&gt;F208,"Check out-of-order rooms",IF(K208&gt;H208,"On the books exceeds sellable rooms",IF(R208&gt;H208,"Forecast exceeds sellable rooms",IF(AND(A208&lt;TODAY(),AB208=""),"Actual results missing","OK"))))),"")</f>
        <v/>
      </c>
    </row>
    <row r="209">
      <c r="A209" s="24" t="n"/>
      <c r="B209" s="25">
        <f>IFERROR(IF(A209="","",VLOOKUP(MOD(A209,7),'Assumptions'!$E$16:$F$22,2,0)),"")</f>
        <v/>
      </c>
      <c r="C209" s="25">
        <f>IFERROR(IF(A209="","",IF(A209&lt;TODAY(),"Past",IF(A209=TODAY(),"Today","Future"))),"")</f>
        <v/>
      </c>
      <c r="D209" s="26" t="n"/>
      <c r="E209" s="26" t="n"/>
      <c r="F209" s="27" t="n"/>
      <c r="G209" s="27" t="n"/>
      <c r="H209" s="28">
        <f>IFERROR(IF(A209="","",MAX(0,F209-G209)),"")</f>
        <v/>
      </c>
      <c r="I209" s="27" t="n"/>
      <c r="J209" s="27" t="n"/>
      <c r="K209" s="28">
        <f>IFERROR(IF(A209="","",I209+J209),"")</f>
        <v/>
      </c>
      <c r="L209" s="29">
        <f>IFERROR(IF(A209="","",K209/H209),"")</f>
        <v/>
      </c>
      <c r="M209" s="29">
        <f>IFERROR(IF(A209="","",VLOOKUP(B209,'Assumptions'!$A$16:$B$22,2,0)),"")</f>
        <v/>
      </c>
      <c r="N209" s="27" t="n"/>
      <c r="O209" s="27" t="n"/>
      <c r="P209" s="27" t="n"/>
      <c r="Q209" s="28">
        <f>IFERROR(IF(A209="","",MIN(H209,MAX(0,K209,ROUND(H209*M209,0)+N209+O209))),"")</f>
        <v/>
      </c>
      <c r="R209" s="28">
        <f>IFERROR(IF(A209="","",MIN(H209,MAX(0,IF(P209="",Q209,P209)))),"")</f>
        <v/>
      </c>
      <c r="S209" s="28">
        <f>IFERROR(IF(A209="","",MAX(0,R209-K209)),"")</f>
        <v/>
      </c>
      <c r="T209" s="29">
        <f>IFERROR(IF(A209="","",R209/H209),"")</f>
        <v/>
      </c>
      <c r="U209" s="29">
        <f>IFERROR(IF(A209="","",'Assumptions'!$B$5),"")</f>
        <v/>
      </c>
      <c r="V209" s="29">
        <f>IFERROR(IF(A209="","",T209-U209),"")</f>
        <v/>
      </c>
      <c r="W209" s="50" t="n"/>
      <c r="X209" s="50" t="n"/>
      <c r="Y209" s="51">
        <f>IFERROR(IF(A209="","",IF(X209&lt;&gt;"",X209,IF(W209&lt;&gt;"",W209,'Assumptions'!$B$8))),"")</f>
        <v/>
      </c>
      <c r="Z209" s="51">
        <f>IFERROR(IF(A209="","",R209*Y209),"")</f>
        <v/>
      </c>
      <c r="AA209" s="51">
        <f>IFERROR(IF(A209="","",Z209/H209),"")</f>
        <v/>
      </c>
      <c r="AB209" s="32" t="n"/>
      <c r="AC209" s="52" t="n"/>
      <c r="AD209" s="29">
        <f>IFERROR(IF(OR(A209="",AB209=""),"",AB209/H209),"")</f>
        <v/>
      </c>
      <c r="AE209" s="51">
        <f>IFERROR(IF(OR(A209="",AB209="",AC209=""),"",AB209*AC209),"")</f>
        <v/>
      </c>
      <c r="AF209" s="28">
        <f>IFERROR(IF(OR(A209="",AB209=""),"",AB209-R209),"")</f>
        <v/>
      </c>
      <c r="AG209" s="29">
        <f>IFERROR(IF(OR(A209="",AB209=""),"",IF(AD209-T209&lt;0,T209-AD209,AD209-T209)),"")</f>
        <v/>
      </c>
      <c r="AH209" s="51">
        <f>IFERROR(IF(OR(A209="",AE209=""),"",AE209-Z209),"")</f>
        <v/>
      </c>
      <c r="AI209" s="25">
        <f>IFERROR(IF(A209="","",IF(G209&gt;F209,"Check out-of-order rooms",IF(K209&gt;H209,"On the books exceeds sellable rooms",IF(R209&gt;H209,"Forecast exceeds sellable rooms",IF(AND(A209&lt;TODAY(),AB209=""),"Actual results missing","OK"))))),"")</f>
        <v/>
      </c>
    </row>
    <row r="210">
      <c r="A210" s="24" t="n"/>
      <c r="B210" s="25">
        <f>IFERROR(IF(A210="","",VLOOKUP(MOD(A210,7),'Assumptions'!$E$16:$F$22,2,0)),"")</f>
        <v/>
      </c>
      <c r="C210" s="25">
        <f>IFERROR(IF(A210="","",IF(A210&lt;TODAY(),"Past",IF(A210=TODAY(),"Today","Future"))),"")</f>
        <v/>
      </c>
      <c r="D210" s="26" t="n"/>
      <c r="E210" s="26" t="n"/>
      <c r="F210" s="27" t="n"/>
      <c r="G210" s="27" t="n"/>
      <c r="H210" s="28">
        <f>IFERROR(IF(A210="","",MAX(0,F210-G210)),"")</f>
        <v/>
      </c>
      <c r="I210" s="27" t="n"/>
      <c r="J210" s="27" t="n"/>
      <c r="K210" s="28">
        <f>IFERROR(IF(A210="","",I210+J210),"")</f>
        <v/>
      </c>
      <c r="L210" s="29">
        <f>IFERROR(IF(A210="","",K210/H210),"")</f>
        <v/>
      </c>
      <c r="M210" s="29">
        <f>IFERROR(IF(A210="","",VLOOKUP(B210,'Assumptions'!$A$16:$B$22,2,0)),"")</f>
        <v/>
      </c>
      <c r="N210" s="27" t="n"/>
      <c r="O210" s="27" t="n"/>
      <c r="P210" s="27" t="n"/>
      <c r="Q210" s="28">
        <f>IFERROR(IF(A210="","",MIN(H210,MAX(0,K210,ROUND(H210*M210,0)+N210+O210))),"")</f>
        <v/>
      </c>
      <c r="R210" s="28">
        <f>IFERROR(IF(A210="","",MIN(H210,MAX(0,IF(P210="",Q210,P210)))),"")</f>
        <v/>
      </c>
      <c r="S210" s="28">
        <f>IFERROR(IF(A210="","",MAX(0,R210-K210)),"")</f>
        <v/>
      </c>
      <c r="T210" s="29">
        <f>IFERROR(IF(A210="","",R210/H210),"")</f>
        <v/>
      </c>
      <c r="U210" s="29">
        <f>IFERROR(IF(A210="","",'Assumptions'!$B$5),"")</f>
        <v/>
      </c>
      <c r="V210" s="29">
        <f>IFERROR(IF(A210="","",T210-U210),"")</f>
        <v/>
      </c>
      <c r="W210" s="50" t="n"/>
      <c r="X210" s="50" t="n"/>
      <c r="Y210" s="51">
        <f>IFERROR(IF(A210="","",IF(X210&lt;&gt;"",X210,IF(W210&lt;&gt;"",W210,'Assumptions'!$B$8))),"")</f>
        <v/>
      </c>
      <c r="Z210" s="51">
        <f>IFERROR(IF(A210="","",R210*Y210),"")</f>
        <v/>
      </c>
      <c r="AA210" s="51">
        <f>IFERROR(IF(A210="","",Z210/H210),"")</f>
        <v/>
      </c>
      <c r="AB210" s="32" t="n"/>
      <c r="AC210" s="52" t="n"/>
      <c r="AD210" s="29">
        <f>IFERROR(IF(OR(A210="",AB210=""),"",AB210/H210),"")</f>
        <v/>
      </c>
      <c r="AE210" s="51">
        <f>IFERROR(IF(OR(A210="",AB210="",AC210=""),"",AB210*AC210),"")</f>
        <v/>
      </c>
      <c r="AF210" s="28">
        <f>IFERROR(IF(OR(A210="",AB210=""),"",AB210-R210),"")</f>
        <v/>
      </c>
      <c r="AG210" s="29">
        <f>IFERROR(IF(OR(A210="",AB210=""),"",IF(AD210-T210&lt;0,T210-AD210,AD210-T210)),"")</f>
        <v/>
      </c>
      <c r="AH210" s="51">
        <f>IFERROR(IF(OR(A210="",AE210=""),"",AE210-Z210),"")</f>
        <v/>
      </c>
      <c r="AI210" s="25">
        <f>IFERROR(IF(A210="","",IF(G210&gt;F210,"Check out-of-order rooms",IF(K210&gt;H210,"On the books exceeds sellable rooms",IF(R210&gt;H210,"Forecast exceeds sellable rooms",IF(AND(A210&lt;TODAY(),AB210=""),"Actual results missing","OK"))))),"")</f>
        <v/>
      </c>
    </row>
    <row r="211">
      <c r="A211" s="24" t="n"/>
      <c r="B211" s="25">
        <f>IFERROR(IF(A211="","",VLOOKUP(MOD(A211,7),'Assumptions'!$E$16:$F$22,2,0)),"")</f>
        <v/>
      </c>
      <c r="C211" s="25">
        <f>IFERROR(IF(A211="","",IF(A211&lt;TODAY(),"Past",IF(A211=TODAY(),"Today","Future"))),"")</f>
        <v/>
      </c>
      <c r="D211" s="26" t="n"/>
      <c r="E211" s="26" t="n"/>
      <c r="F211" s="27" t="n"/>
      <c r="G211" s="27" t="n"/>
      <c r="H211" s="28">
        <f>IFERROR(IF(A211="","",MAX(0,F211-G211)),"")</f>
        <v/>
      </c>
      <c r="I211" s="27" t="n"/>
      <c r="J211" s="27" t="n"/>
      <c r="K211" s="28">
        <f>IFERROR(IF(A211="","",I211+J211),"")</f>
        <v/>
      </c>
      <c r="L211" s="29">
        <f>IFERROR(IF(A211="","",K211/H211),"")</f>
        <v/>
      </c>
      <c r="M211" s="29">
        <f>IFERROR(IF(A211="","",VLOOKUP(B211,'Assumptions'!$A$16:$B$22,2,0)),"")</f>
        <v/>
      </c>
      <c r="N211" s="27" t="n"/>
      <c r="O211" s="27" t="n"/>
      <c r="P211" s="27" t="n"/>
      <c r="Q211" s="28">
        <f>IFERROR(IF(A211="","",MIN(H211,MAX(0,K211,ROUND(H211*M211,0)+N211+O211))),"")</f>
        <v/>
      </c>
      <c r="R211" s="28">
        <f>IFERROR(IF(A211="","",MIN(H211,MAX(0,IF(P211="",Q211,P211)))),"")</f>
        <v/>
      </c>
      <c r="S211" s="28">
        <f>IFERROR(IF(A211="","",MAX(0,R211-K211)),"")</f>
        <v/>
      </c>
      <c r="T211" s="29">
        <f>IFERROR(IF(A211="","",R211/H211),"")</f>
        <v/>
      </c>
      <c r="U211" s="29">
        <f>IFERROR(IF(A211="","",'Assumptions'!$B$5),"")</f>
        <v/>
      </c>
      <c r="V211" s="29">
        <f>IFERROR(IF(A211="","",T211-U211),"")</f>
        <v/>
      </c>
      <c r="W211" s="50" t="n"/>
      <c r="X211" s="50" t="n"/>
      <c r="Y211" s="51">
        <f>IFERROR(IF(A211="","",IF(X211&lt;&gt;"",X211,IF(W211&lt;&gt;"",W211,'Assumptions'!$B$8))),"")</f>
        <v/>
      </c>
      <c r="Z211" s="51">
        <f>IFERROR(IF(A211="","",R211*Y211),"")</f>
        <v/>
      </c>
      <c r="AA211" s="51">
        <f>IFERROR(IF(A211="","",Z211/H211),"")</f>
        <v/>
      </c>
      <c r="AB211" s="32" t="n"/>
      <c r="AC211" s="52" t="n"/>
      <c r="AD211" s="29">
        <f>IFERROR(IF(OR(A211="",AB211=""),"",AB211/H211),"")</f>
        <v/>
      </c>
      <c r="AE211" s="51">
        <f>IFERROR(IF(OR(A211="",AB211="",AC211=""),"",AB211*AC211),"")</f>
        <v/>
      </c>
      <c r="AF211" s="28">
        <f>IFERROR(IF(OR(A211="",AB211=""),"",AB211-R211),"")</f>
        <v/>
      </c>
      <c r="AG211" s="29">
        <f>IFERROR(IF(OR(A211="",AB211=""),"",IF(AD211-T211&lt;0,T211-AD211,AD211-T211)),"")</f>
        <v/>
      </c>
      <c r="AH211" s="51">
        <f>IFERROR(IF(OR(A211="",AE211=""),"",AE211-Z211),"")</f>
        <v/>
      </c>
      <c r="AI211" s="25">
        <f>IFERROR(IF(A211="","",IF(G211&gt;F211,"Check out-of-order rooms",IF(K211&gt;H211,"On the books exceeds sellable rooms",IF(R211&gt;H211,"Forecast exceeds sellable rooms",IF(AND(A211&lt;TODAY(),AB211=""),"Actual results missing","OK"))))),"")</f>
        <v/>
      </c>
    </row>
    <row r="212">
      <c r="A212" s="24" t="n"/>
      <c r="B212" s="25">
        <f>IFERROR(IF(A212="","",VLOOKUP(MOD(A212,7),'Assumptions'!$E$16:$F$22,2,0)),"")</f>
        <v/>
      </c>
      <c r="C212" s="25">
        <f>IFERROR(IF(A212="","",IF(A212&lt;TODAY(),"Past",IF(A212=TODAY(),"Today","Future"))),"")</f>
        <v/>
      </c>
      <c r="D212" s="26" t="n"/>
      <c r="E212" s="26" t="n"/>
      <c r="F212" s="27" t="n"/>
      <c r="G212" s="27" t="n"/>
      <c r="H212" s="28">
        <f>IFERROR(IF(A212="","",MAX(0,F212-G212)),"")</f>
        <v/>
      </c>
      <c r="I212" s="27" t="n"/>
      <c r="J212" s="27" t="n"/>
      <c r="K212" s="28">
        <f>IFERROR(IF(A212="","",I212+J212),"")</f>
        <v/>
      </c>
      <c r="L212" s="29">
        <f>IFERROR(IF(A212="","",K212/H212),"")</f>
        <v/>
      </c>
      <c r="M212" s="29">
        <f>IFERROR(IF(A212="","",VLOOKUP(B212,'Assumptions'!$A$16:$B$22,2,0)),"")</f>
        <v/>
      </c>
      <c r="N212" s="27" t="n"/>
      <c r="O212" s="27" t="n"/>
      <c r="P212" s="27" t="n"/>
      <c r="Q212" s="28">
        <f>IFERROR(IF(A212="","",MIN(H212,MAX(0,K212,ROUND(H212*M212,0)+N212+O212))),"")</f>
        <v/>
      </c>
      <c r="R212" s="28">
        <f>IFERROR(IF(A212="","",MIN(H212,MAX(0,IF(P212="",Q212,P212)))),"")</f>
        <v/>
      </c>
      <c r="S212" s="28">
        <f>IFERROR(IF(A212="","",MAX(0,R212-K212)),"")</f>
        <v/>
      </c>
      <c r="T212" s="29">
        <f>IFERROR(IF(A212="","",R212/H212),"")</f>
        <v/>
      </c>
      <c r="U212" s="29">
        <f>IFERROR(IF(A212="","",'Assumptions'!$B$5),"")</f>
        <v/>
      </c>
      <c r="V212" s="29">
        <f>IFERROR(IF(A212="","",T212-U212),"")</f>
        <v/>
      </c>
      <c r="W212" s="50" t="n"/>
      <c r="X212" s="50" t="n"/>
      <c r="Y212" s="51">
        <f>IFERROR(IF(A212="","",IF(X212&lt;&gt;"",X212,IF(W212&lt;&gt;"",W212,'Assumptions'!$B$8))),"")</f>
        <v/>
      </c>
      <c r="Z212" s="51">
        <f>IFERROR(IF(A212="","",R212*Y212),"")</f>
        <v/>
      </c>
      <c r="AA212" s="51">
        <f>IFERROR(IF(A212="","",Z212/H212),"")</f>
        <v/>
      </c>
      <c r="AB212" s="32" t="n"/>
      <c r="AC212" s="52" t="n"/>
      <c r="AD212" s="29">
        <f>IFERROR(IF(OR(A212="",AB212=""),"",AB212/H212),"")</f>
        <v/>
      </c>
      <c r="AE212" s="51">
        <f>IFERROR(IF(OR(A212="",AB212="",AC212=""),"",AB212*AC212),"")</f>
        <v/>
      </c>
      <c r="AF212" s="28">
        <f>IFERROR(IF(OR(A212="",AB212=""),"",AB212-R212),"")</f>
        <v/>
      </c>
      <c r="AG212" s="29">
        <f>IFERROR(IF(OR(A212="",AB212=""),"",IF(AD212-T212&lt;0,T212-AD212,AD212-T212)),"")</f>
        <v/>
      </c>
      <c r="AH212" s="51">
        <f>IFERROR(IF(OR(A212="",AE212=""),"",AE212-Z212),"")</f>
        <v/>
      </c>
      <c r="AI212" s="25">
        <f>IFERROR(IF(A212="","",IF(G212&gt;F212,"Check out-of-order rooms",IF(K212&gt;H212,"On the books exceeds sellable rooms",IF(R212&gt;H212,"Forecast exceeds sellable rooms",IF(AND(A212&lt;TODAY(),AB212=""),"Actual results missing","OK"))))),"")</f>
        <v/>
      </c>
    </row>
    <row r="213">
      <c r="A213" s="24" t="n"/>
      <c r="B213" s="25">
        <f>IFERROR(IF(A213="","",VLOOKUP(MOD(A213,7),'Assumptions'!$E$16:$F$22,2,0)),"")</f>
        <v/>
      </c>
      <c r="C213" s="25">
        <f>IFERROR(IF(A213="","",IF(A213&lt;TODAY(),"Past",IF(A213=TODAY(),"Today","Future"))),"")</f>
        <v/>
      </c>
      <c r="D213" s="26" t="n"/>
      <c r="E213" s="26" t="n"/>
      <c r="F213" s="27" t="n"/>
      <c r="G213" s="27" t="n"/>
      <c r="H213" s="28">
        <f>IFERROR(IF(A213="","",MAX(0,F213-G213)),"")</f>
        <v/>
      </c>
      <c r="I213" s="27" t="n"/>
      <c r="J213" s="27" t="n"/>
      <c r="K213" s="28">
        <f>IFERROR(IF(A213="","",I213+J213),"")</f>
        <v/>
      </c>
      <c r="L213" s="29">
        <f>IFERROR(IF(A213="","",K213/H213),"")</f>
        <v/>
      </c>
      <c r="M213" s="29">
        <f>IFERROR(IF(A213="","",VLOOKUP(B213,'Assumptions'!$A$16:$B$22,2,0)),"")</f>
        <v/>
      </c>
      <c r="N213" s="27" t="n"/>
      <c r="O213" s="27" t="n"/>
      <c r="P213" s="27" t="n"/>
      <c r="Q213" s="28">
        <f>IFERROR(IF(A213="","",MIN(H213,MAX(0,K213,ROUND(H213*M213,0)+N213+O213))),"")</f>
        <v/>
      </c>
      <c r="R213" s="28">
        <f>IFERROR(IF(A213="","",MIN(H213,MAX(0,IF(P213="",Q213,P213)))),"")</f>
        <v/>
      </c>
      <c r="S213" s="28">
        <f>IFERROR(IF(A213="","",MAX(0,R213-K213)),"")</f>
        <v/>
      </c>
      <c r="T213" s="29">
        <f>IFERROR(IF(A213="","",R213/H213),"")</f>
        <v/>
      </c>
      <c r="U213" s="29">
        <f>IFERROR(IF(A213="","",'Assumptions'!$B$5),"")</f>
        <v/>
      </c>
      <c r="V213" s="29">
        <f>IFERROR(IF(A213="","",T213-U213),"")</f>
        <v/>
      </c>
      <c r="W213" s="50" t="n"/>
      <c r="X213" s="50" t="n"/>
      <c r="Y213" s="51">
        <f>IFERROR(IF(A213="","",IF(X213&lt;&gt;"",X213,IF(W213&lt;&gt;"",W213,'Assumptions'!$B$8))),"")</f>
        <v/>
      </c>
      <c r="Z213" s="51">
        <f>IFERROR(IF(A213="","",R213*Y213),"")</f>
        <v/>
      </c>
      <c r="AA213" s="51">
        <f>IFERROR(IF(A213="","",Z213/H213),"")</f>
        <v/>
      </c>
      <c r="AB213" s="32" t="n"/>
      <c r="AC213" s="52" t="n"/>
      <c r="AD213" s="29">
        <f>IFERROR(IF(OR(A213="",AB213=""),"",AB213/H213),"")</f>
        <v/>
      </c>
      <c r="AE213" s="51">
        <f>IFERROR(IF(OR(A213="",AB213="",AC213=""),"",AB213*AC213),"")</f>
        <v/>
      </c>
      <c r="AF213" s="28">
        <f>IFERROR(IF(OR(A213="",AB213=""),"",AB213-R213),"")</f>
        <v/>
      </c>
      <c r="AG213" s="29">
        <f>IFERROR(IF(OR(A213="",AB213=""),"",IF(AD213-T213&lt;0,T213-AD213,AD213-T213)),"")</f>
        <v/>
      </c>
      <c r="AH213" s="51">
        <f>IFERROR(IF(OR(A213="",AE213=""),"",AE213-Z213),"")</f>
        <v/>
      </c>
      <c r="AI213" s="25">
        <f>IFERROR(IF(A213="","",IF(G213&gt;F213,"Check out-of-order rooms",IF(K213&gt;H213,"On the books exceeds sellable rooms",IF(R213&gt;H213,"Forecast exceeds sellable rooms",IF(AND(A213&lt;TODAY(),AB213=""),"Actual results missing","OK"))))),"")</f>
        <v/>
      </c>
    </row>
    <row r="214">
      <c r="A214" s="24" t="n"/>
      <c r="B214" s="25">
        <f>IFERROR(IF(A214="","",VLOOKUP(MOD(A214,7),'Assumptions'!$E$16:$F$22,2,0)),"")</f>
        <v/>
      </c>
      <c r="C214" s="25">
        <f>IFERROR(IF(A214="","",IF(A214&lt;TODAY(),"Past",IF(A214=TODAY(),"Today","Future"))),"")</f>
        <v/>
      </c>
      <c r="D214" s="26" t="n"/>
      <c r="E214" s="26" t="n"/>
      <c r="F214" s="27" t="n"/>
      <c r="G214" s="27" t="n"/>
      <c r="H214" s="28">
        <f>IFERROR(IF(A214="","",MAX(0,F214-G214)),"")</f>
        <v/>
      </c>
      <c r="I214" s="27" t="n"/>
      <c r="J214" s="27" t="n"/>
      <c r="K214" s="28">
        <f>IFERROR(IF(A214="","",I214+J214),"")</f>
        <v/>
      </c>
      <c r="L214" s="29">
        <f>IFERROR(IF(A214="","",K214/H214),"")</f>
        <v/>
      </c>
      <c r="M214" s="29">
        <f>IFERROR(IF(A214="","",VLOOKUP(B214,'Assumptions'!$A$16:$B$22,2,0)),"")</f>
        <v/>
      </c>
      <c r="N214" s="27" t="n"/>
      <c r="O214" s="27" t="n"/>
      <c r="P214" s="27" t="n"/>
      <c r="Q214" s="28">
        <f>IFERROR(IF(A214="","",MIN(H214,MAX(0,K214,ROUND(H214*M214,0)+N214+O214))),"")</f>
        <v/>
      </c>
      <c r="R214" s="28">
        <f>IFERROR(IF(A214="","",MIN(H214,MAX(0,IF(P214="",Q214,P214)))),"")</f>
        <v/>
      </c>
      <c r="S214" s="28">
        <f>IFERROR(IF(A214="","",MAX(0,R214-K214)),"")</f>
        <v/>
      </c>
      <c r="T214" s="29">
        <f>IFERROR(IF(A214="","",R214/H214),"")</f>
        <v/>
      </c>
      <c r="U214" s="29">
        <f>IFERROR(IF(A214="","",'Assumptions'!$B$5),"")</f>
        <v/>
      </c>
      <c r="V214" s="29">
        <f>IFERROR(IF(A214="","",T214-U214),"")</f>
        <v/>
      </c>
      <c r="W214" s="50" t="n"/>
      <c r="X214" s="50" t="n"/>
      <c r="Y214" s="51">
        <f>IFERROR(IF(A214="","",IF(X214&lt;&gt;"",X214,IF(W214&lt;&gt;"",W214,'Assumptions'!$B$8))),"")</f>
        <v/>
      </c>
      <c r="Z214" s="51">
        <f>IFERROR(IF(A214="","",R214*Y214),"")</f>
        <v/>
      </c>
      <c r="AA214" s="51">
        <f>IFERROR(IF(A214="","",Z214/H214),"")</f>
        <v/>
      </c>
      <c r="AB214" s="32" t="n"/>
      <c r="AC214" s="52" t="n"/>
      <c r="AD214" s="29">
        <f>IFERROR(IF(OR(A214="",AB214=""),"",AB214/H214),"")</f>
        <v/>
      </c>
      <c r="AE214" s="51">
        <f>IFERROR(IF(OR(A214="",AB214="",AC214=""),"",AB214*AC214),"")</f>
        <v/>
      </c>
      <c r="AF214" s="28">
        <f>IFERROR(IF(OR(A214="",AB214=""),"",AB214-R214),"")</f>
        <v/>
      </c>
      <c r="AG214" s="29">
        <f>IFERROR(IF(OR(A214="",AB214=""),"",IF(AD214-T214&lt;0,T214-AD214,AD214-T214)),"")</f>
        <v/>
      </c>
      <c r="AH214" s="51">
        <f>IFERROR(IF(OR(A214="",AE214=""),"",AE214-Z214),"")</f>
        <v/>
      </c>
      <c r="AI214" s="25">
        <f>IFERROR(IF(A214="","",IF(G214&gt;F214,"Check out-of-order rooms",IF(K214&gt;H214,"On the books exceeds sellable rooms",IF(R214&gt;H214,"Forecast exceeds sellable rooms",IF(AND(A214&lt;TODAY(),AB214=""),"Actual results missing","OK"))))),"")</f>
        <v/>
      </c>
    </row>
    <row r="215">
      <c r="A215" s="24" t="n"/>
      <c r="B215" s="25">
        <f>IFERROR(IF(A215="","",VLOOKUP(MOD(A215,7),'Assumptions'!$E$16:$F$22,2,0)),"")</f>
        <v/>
      </c>
      <c r="C215" s="25">
        <f>IFERROR(IF(A215="","",IF(A215&lt;TODAY(),"Past",IF(A215=TODAY(),"Today","Future"))),"")</f>
        <v/>
      </c>
      <c r="D215" s="26" t="n"/>
      <c r="E215" s="26" t="n"/>
      <c r="F215" s="27" t="n"/>
      <c r="G215" s="27" t="n"/>
      <c r="H215" s="28">
        <f>IFERROR(IF(A215="","",MAX(0,F215-G215)),"")</f>
        <v/>
      </c>
      <c r="I215" s="27" t="n"/>
      <c r="J215" s="27" t="n"/>
      <c r="K215" s="28">
        <f>IFERROR(IF(A215="","",I215+J215),"")</f>
        <v/>
      </c>
      <c r="L215" s="29">
        <f>IFERROR(IF(A215="","",K215/H215),"")</f>
        <v/>
      </c>
      <c r="M215" s="29">
        <f>IFERROR(IF(A215="","",VLOOKUP(B215,'Assumptions'!$A$16:$B$22,2,0)),"")</f>
        <v/>
      </c>
      <c r="N215" s="27" t="n"/>
      <c r="O215" s="27" t="n"/>
      <c r="P215" s="27" t="n"/>
      <c r="Q215" s="28">
        <f>IFERROR(IF(A215="","",MIN(H215,MAX(0,K215,ROUND(H215*M215,0)+N215+O215))),"")</f>
        <v/>
      </c>
      <c r="R215" s="28">
        <f>IFERROR(IF(A215="","",MIN(H215,MAX(0,IF(P215="",Q215,P215)))),"")</f>
        <v/>
      </c>
      <c r="S215" s="28">
        <f>IFERROR(IF(A215="","",MAX(0,R215-K215)),"")</f>
        <v/>
      </c>
      <c r="T215" s="29">
        <f>IFERROR(IF(A215="","",R215/H215),"")</f>
        <v/>
      </c>
      <c r="U215" s="29">
        <f>IFERROR(IF(A215="","",'Assumptions'!$B$5),"")</f>
        <v/>
      </c>
      <c r="V215" s="29">
        <f>IFERROR(IF(A215="","",T215-U215),"")</f>
        <v/>
      </c>
      <c r="W215" s="50" t="n"/>
      <c r="X215" s="50" t="n"/>
      <c r="Y215" s="51">
        <f>IFERROR(IF(A215="","",IF(X215&lt;&gt;"",X215,IF(W215&lt;&gt;"",W215,'Assumptions'!$B$8))),"")</f>
        <v/>
      </c>
      <c r="Z215" s="51">
        <f>IFERROR(IF(A215="","",R215*Y215),"")</f>
        <v/>
      </c>
      <c r="AA215" s="51">
        <f>IFERROR(IF(A215="","",Z215/H215),"")</f>
        <v/>
      </c>
      <c r="AB215" s="32" t="n"/>
      <c r="AC215" s="52" t="n"/>
      <c r="AD215" s="29">
        <f>IFERROR(IF(OR(A215="",AB215=""),"",AB215/H215),"")</f>
        <v/>
      </c>
      <c r="AE215" s="51">
        <f>IFERROR(IF(OR(A215="",AB215="",AC215=""),"",AB215*AC215),"")</f>
        <v/>
      </c>
      <c r="AF215" s="28">
        <f>IFERROR(IF(OR(A215="",AB215=""),"",AB215-R215),"")</f>
        <v/>
      </c>
      <c r="AG215" s="29">
        <f>IFERROR(IF(OR(A215="",AB215=""),"",IF(AD215-T215&lt;0,T215-AD215,AD215-T215)),"")</f>
        <v/>
      </c>
      <c r="AH215" s="51">
        <f>IFERROR(IF(OR(A215="",AE215=""),"",AE215-Z215),"")</f>
        <v/>
      </c>
      <c r="AI215" s="25">
        <f>IFERROR(IF(A215="","",IF(G215&gt;F215,"Check out-of-order rooms",IF(K215&gt;H215,"On the books exceeds sellable rooms",IF(R215&gt;H215,"Forecast exceeds sellable rooms",IF(AND(A215&lt;TODAY(),AB215=""),"Actual results missing","OK"))))),"")</f>
        <v/>
      </c>
    </row>
    <row r="216">
      <c r="A216" s="24" t="n"/>
      <c r="B216" s="25">
        <f>IFERROR(IF(A216="","",VLOOKUP(MOD(A216,7),'Assumptions'!$E$16:$F$22,2,0)),"")</f>
        <v/>
      </c>
      <c r="C216" s="25">
        <f>IFERROR(IF(A216="","",IF(A216&lt;TODAY(),"Past",IF(A216=TODAY(),"Today","Future"))),"")</f>
        <v/>
      </c>
      <c r="D216" s="26" t="n"/>
      <c r="E216" s="26" t="n"/>
      <c r="F216" s="27" t="n"/>
      <c r="G216" s="27" t="n"/>
      <c r="H216" s="28">
        <f>IFERROR(IF(A216="","",MAX(0,F216-G216)),"")</f>
        <v/>
      </c>
      <c r="I216" s="27" t="n"/>
      <c r="J216" s="27" t="n"/>
      <c r="K216" s="28">
        <f>IFERROR(IF(A216="","",I216+J216),"")</f>
        <v/>
      </c>
      <c r="L216" s="29">
        <f>IFERROR(IF(A216="","",K216/H216),"")</f>
        <v/>
      </c>
      <c r="M216" s="29">
        <f>IFERROR(IF(A216="","",VLOOKUP(B216,'Assumptions'!$A$16:$B$22,2,0)),"")</f>
        <v/>
      </c>
      <c r="N216" s="27" t="n"/>
      <c r="O216" s="27" t="n"/>
      <c r="P216" s="27" t="n"/>
      <c r="Q216" s="28">
        <f>IFERROR(IF(A216="","",MIN(H216,MAX(0,K216,ROUND(H216*M216,0)+N216+O216))),"")</f>
        <v/>
      </c>
      <c r="R216" s="28">
        <f>IFERROR(IF(A216="","",MIN(H216,MAX(0,IF(P216="",Q216,P216)))),"")</f>
        <v/>
      </c>
      <c r="S216" s="28">
        <f>IFERROR(IF(A216="","",MAX(0,R216-K216)),"")</f>
        <v/>
      </c>
      <c r="T216" s="29">
        <f>IFERROR(IF(A216="","",R216/H216),"")</f>
        <v/>
      </c>
      <c r="U216" s="29">
        <f>IFERROR(IF(A216="","",'Assumptions'!$B$5),"")</f>
        <v/>
      </c>
      <c r="V216" s="29">
        <f>IFERROR(IF(A216="","",T216-U216),"")</f>
        <v/>
      </c>
      <c r="W216" s="50" t="n"/>
      <c r="X216" s="50" t="n"/>
      <c r="Y216" s="51">
        <f>IFERROR(IF(A216="","",IF(X216&lt;&gt;"",X216,IF(W216&lt;&gt;"",W216,'Assumptions'!$B$8))),"")</f>
        <v/>
      </c>
      <c r="Z216" s="51">
        <f>IFERROR(IF(A216="","",R216*Y216),"")</f>
        <v/>
      </c>
      <c r="AA216" s="51">
        <f>IFERROR(IF(A216="","",Z216/H216),"")</f>
        <v/>
      </c>
      <c r="AB216" s="32" t="n"/>
      <c r="AC216" s="52" t="n"/>
      <c r="AD216" s="29">
        <f>IFERROR(IF(OR(A216="",AB216=""),"",AB216/H216),"")</f>
        <v/>
      </c>
      <c r="AE216" s="51">
        <f>IFERROR(IF(OR(A216="",AB216="",AC216=""),"",AB216*AC216),"")</f>
        <v/>
      </c>
      <c r="AF216" s="28">
        <f>IFERROR(IF(OR(A216="",AB216=""),"",AB216-R216),"")</f>
        <v/>
      </c>
      <c r="AG216" s="29">
        <f>IFERROR(IF(OR(A216="",AB216=""),"",IF(AD216-T216&lt;0,T216-AD216,AD216-T216)),"")</f>
        <v/>
      </c>
      <c r="AH216" s="51">
        <f>IFERROR(IF(OR(A216="",AE216=""),"",AE216-Z216),"")</f>
        <v/>
      </c>
      <c r="AI216" s="25">
        <f>IFERROR(IF(A216="","",IF(G216&gt;F216,"Check out-of-order rooms",IF(K216&gt;H216,"On the books exceeds sellable rooms",IF(R216&gt;H216,"Forecast exceeds sellable rooms",IF(AND(A216&lt;TODAY(),AB216=""),"Actual results missing","OK"))))),"")</f>
        <v/>
      </c>
    </row>
    <row r="217">
      <c r="A217" s="24" t="n"/>
      <c r="B217" s="25">
        <f>IFERROR(IF(A217="","",VLOOKUP(MOD(A217,7),'Assumptions'!$E$16:$F$22,2,0)),"")</f>
        <v/>
      </c>
      <c r="C217" s="25">
        <f>IFERROR(IF(A217="","",IF(A217&lt;TODAY(),"Past",IF(A217=TODAY(),"Today","Future"))),"")</f>
        <v/>
      </c>
      <c r="D217" s="26" t="n"/>
      <c r="E217" s="26" t="n"/>
      <c r="F217" s="27" t="n"/>
      <c r="G217" s="27" t="n"/>
      <c r="H217" s="28">
        <f>IFERROR(IF(A217="","",MAX(0,F217-G217)),"")</f>
        <v/>
      </c>
      <c r="I217" s="27" t="n"/>
      <c r="J217" s="27" t="n"/>
      <c r="K217" s="28">
        <f>IFERROR(IF(A217="","",I217+J217),"")</f>
        <v/>
      </c>
      <c r="L217" s="29">
        <f>IFERROR(IF(A217="","",K217/H217),"")</f>
        <v/>
      </c>
      <c r="M217" s="29">
        <f>IFERROR(IF(A217="","",VLOOKUP(B217,'Assumptions'!$A$16:$B$22,2,0)),"")</f>
        <v/>
      </c>
      <c r="N217" s="27" t="n"/>
      <c r="O217" s="27" t="n"/>
      <c r="P217" s="27" t="n"/>
      <c r="Q217" s="28">
        <f>IFERROR(IF(A217="","",MIN(H217,MAX(0,K217,ROUND(H217*M217,0)+N217+O217))),"")</f>
        <v/>
      </c>
      <c r="R217" s="28">
        <f>IFERROR(IF(A217="","",MIN(H217,MAX(0,IF(P217="",Q217,P217)))),"")</f>
        <v/>
      </c>
      <c r="S217" s="28">
        <f>IFERROR(IF(A217="","",MAX(0,R217-K217)),"")</f>
        <v/>
      </c>
      <c r="T217" s="29">
        <f>IFERROR(IF(A217="","",R217/H217),"")</f>
        <v/>
      </c>
      <c r="U217" s="29">
        <f>IFERROR(IF(A217="","",'Assumptions'!$B$5),"")</f>
        <v/>
      </c>
      <c r="V217" s="29">
        <f>IFERROR(IF(A217="","",T217-U217),"")</f>
        <v/>
      </c>
      <c r="W217" s="50" t="n"/>
      <c r="X217" s="50" t="n"/>
      <c r="Y217" s="51">
        <f>IFERROR(IF(A217="","",IF(X217&lt;&gt;"",X217,IF(W217&lt;&gt;"",W217,'Assumptions'!$B$8))),"")</f>
        <v/>
      </c>
      <c r="Z217" s="51">
        <f>IFERROR(IF(A217="","",R217*Y217),"")</f>
        <v/>
      </c>
      <c r="AA217" s="51">
        <f>IFERROR(IF(A217="","",Z217/H217),"")</f>
        <v/>
      </c>
      <c r="AB217" s="32" t="n"/>
      <c r="AC217" s="52" t="n"/>
      <c r="AD217" s="29">
        <f>IFERROR(IF(OR(A217="",AB217=""),"",AB217/H217),"")</f>
        <v/>
      </c>
      <c r="AE217" s="51">
        <f>IFERROR(IF(OR(A217="",AB217="",AC217=""),"",AB217*AC217),"")</f>
        <v/>
      </c>
      <c r="AF217" s="28">
        <f>IFERROR(IF(OR(A217="",AB217=""),"",AB217-R217),"")</f>
        <v/>
      </c>
      <c r="AG217" s="29">
        <f>IFERROR(IF(OR(A217="",AB217=""),"",IF(AD217-T217&lt;0,T217-AD217,AD217-T217)),"")</f>
        <v/>
      </c>
      <c r="AH217" s="51">
        <f>IFERROR(IF(OR(A217="",AE217=""),"",AE217-Z217),"")</f>
        <v/>
      </c>
      <c r="AI217" s="25">
        <f>IFERROR(IF(A217="","",IF(G217&gt;F217,"Check out-of-order rooms",IF(K217&gt;H217,"On the books exceeds sellable rooms",IF(R217&gt;H217,"Forecast exceeds sellable rooms",IF(AND(A217&lt;TODAY(),AB217=""),"Actual results missing","OK"))))),"")</f>
        <v/>
      </c>
    </row>
    <row r="218">
      <c r="A218" s="24" t="n"/>
      <c r="B218" s="25">
        <f>IFERROR(IF(A218="","",VLOOKUP(MOD(A218,7),'Assumptions'!$E$16:$F$22,2,0)),"")</f>
        <v/>
      </c>
      <c r="C218" s="25">
        <f>IFERROR(IF(A218="","",IF(A218&lt;TODAY(),"Past",IF(A218=TODAY(),"Today","Future"))),"")</f>
        <v/>
      </c>
      <c r="D218" s="26" t="n"/>
      <c r="E218" s="26" t="n"/>
      <c r="F218" s="27" t="n"/>
      <c r="G218" s="27" t="n"/>
      <c r="H218" s="28">
        <f>IFERROR(IF(A218="","",MAX(0,F218-G218)),"")</f>
        <v/>
      </c>
      <c r="I218" s="27" t="n"/>
      <c r="J218" s="27" t="n"/>
      <c r="K218" s="28">
        <f>IFERROR(IF(A218="","",I218+J218),"")</f>
        <v/>
      </c>
      <c r="L218" s="29">
        <f>IFERROR(IF(A218="","",K218/H218),"")</f>
        <v/>
      </c>
      <c r="M218" s="29">
        <f>IFERROR(IF(A218="","",VLOOKUP(B218,'Assumptions'!$A$16:$B$22,2,0)),"")</f>
        <v/>
      </c>
      <c r="N218" s="27" t="n"/>
      <c r="O218" s="27" t="n"/>
      <c r="P218" s="27" t="n"/>
      <c r="Q218" s="28">
        <f>IFERROR(IF(A218="","",MIN(H218,MAX(0,K218,ROUND(H218*M218,0)+N218+O218))),"")</f>
        <v/>
      </c>
      <c r="R218" s="28">
        <f>IFERROR(IF(A218="","",MIN(H218,MAX(0,IF(P218="",Q218,P218)))),"")</f>
        <v/>
      </c>
      <c r="S218" s="28">
        <f>IFERROR(IF(A218="","",MAX(0,R218-K218)),"")</f>
        <v/>
      </c>
      <c r="T218" s="29">
        <f>IFERROR(IF(A218="","",R218/H218),"")</f>
        <v/>
      </c>
      <c r="U218" s="29">
        <f>IFERROR(IF(A218="","",'Assumptions'!$B$5),"")</f>
        <v/>
      </c>
      <c r="V218" s="29">
        <f>IFERROR(IF(A218="","",T218-U218),"")</f>
        <v/>
      </c>
      <c r="W218" s="50" t="n"/>
      <c r="X218" s="50" t="n"/>
      <c r="Y218" s="51">
        <f>IFERROR(IF(A218="","",IF(X218&lt;&gt;"",X218,IF(W218&lt;&gt;"",W218,'Assumptions'!$B$8))),"")</f>
        <v/>
      </c>
      <c r="Z218" s="51">
        <f>IFERROR(IF(A218="","",R218*Y218),"")</f>
        <v/>
      </c>
      <c r="AA218" s="51">
        <f>IFERROR(IF(A218="","",Z218/H218),"")</f>
        <v/>
      </c>
      <c r="AB218" s="32" t="n"/>
      <c r="AC218" s="52" t="n"/>
      <c r="AD218" s="29">
        <f>IFERROR(IF(OR(A218="",AB218=""),"",AB218/H218),"")</f>
        <v/>
      </c>
      <c r="AE218" s="51">
        <f>IFERROR(IF(OR(A218="",AB218="",AC218=""),"",AB218*AC218),"")</f>
        <v/>
      </c>
      <c r="AF218" s="28">
        <f>IFERROR(IF(OR(A218="",AB218=""),"",AB218-R218),"")</f>
        <v/>
      </c>
      <c r="AG218" s="29">
        <f>IFERROR(IF(OR(A218="",AB218=""),"",IF(AD218-T218&lt;0,T218-AD218,AD218-T218)),"")</f>
        <v/>
      </c>
      <c r="AH218" s="51">
        <f>IFERROR(IF(OR(A218="",AE218=""),"",AE218-Z218),"")</f>
        <v/>
      </c>
      <c r="AI218" s="25">
        <f>IFERROR(IF(A218="","",IF(G218&gt;F218,"Check out-of-order rooms",IF(K218&gt;H218,"On the books exceeds sellable rooms",IF(R218&gt;H218,"Forecast exceeds sellable rooms",IF(AND(A218&lt;TODAY(),AB218=""),"Actual results missing","OK"))))),"")</f>
        <v/>
      </c>
    </row>
    <row r="219">
      <c r="A219" s="24" t="n"/>
      <c r="B219" s="25">
        <f>IFERROR(IF(A219="","",VLOOKUP(MOD(A219,7),'Assumptions'!$E$16:$F$22,2,0)),"")</f>
        <v/>
      </c>
      <c r="C219" s="25">
        <f>IFERROR(IF(A219="","",IF(A219&lt;TODAY(),"Past",IF(A219=TODAY(),"Today","Future"))),"")</f>
        <v/>
      </c>
      <c r="D219" s="26" t="n"/>
      <c r="E219" s="26" t="n"/>
      <c r="F219" s="27" t="n"/>
      <c r="G219" s="27" t="n"/>
      <c r="H219" s="28">
        <f>IFERROR(IF(A219="","",MAX(0,F219-G219)),"")</f>
        <v/>
      </c>
      <c r="I219" s="27" t="n"/>
      <c r="J219" s="27" t="n"/>
      <c r="K219" s="28">
        <f>IFERROR(IF(A219="","",I219+J219),"")</f>
        <v/>
      </c>
      <c r="L219" s="29">
        <f>IFERROR(IF(A219="","",K219/H219),"")</f>
        <v/>
      </c>
      <c r="M219" s="29">
        <f>IFERROR(IF(A219="","",VLOOKUP(B219,'Assumptions'!$A$16:$B$22,2,0)),"")</f>
        <v/>
      </c>
      <c r="N219" s="27" t="n"/>
      <c r="O219" s="27" t="n"/>
      <c r="P219" s="27" t="n"/>
      <c r="Q219" s="28">
        <f>IFERROR(IF(A219="","",MIN(H219,MAX(0,K219,ROUND(H219*M219,0)+N219+O219))),"")</f>
        <v/>
      </c>
      <c r="R219" s="28">
        <f>IFERROR(IF(A219="","",MIN(H219,MAX(0,IF(P219="",Q219,P219)))),"")</f>
        <v/>
      </c>
      <c r="S219" s="28">
        <f>IFERROR(IF(A219="","",MAX(0,R219-K219)),"")</f>
        <v/>
      </c>
      <c r="T219" s="29">
        <f>IFERROR(IF(A219="","",R219/H219),"")</f>
        <v/>
      </c>
      <c r="U219" s="29">
        <f>IFERROR(IF(A219="","",'Assumptions'!$B$5),"")</f>
        <v/>
      </c>
      <c r="V219" s="29">
        <f>IFERROR(IF(A219="","",T219-U219),"")</f>
        <v/>
      </c>
      <c r="W219" s="50" t="n"/>
      <c r="X219" s="50" t="n"/>
      <c r="Y219" s="51">
        <f>IFERROR(IF(A219="","",IF(X219&lt;&gt;"",X219,IF(W219&lt;&gt;"",W219,'Assumptions'!$B$8))),"")</f>
        <v/>
      </c>
      <c r="Z219" s="51">
        <f>IFERROR(IF(A219="","",R219*Y219),"")</f>
        <v/>
      </c>
      <c r="AA219" s="51">
        <f>IFERROR(IF(A219="","",Z219/H219),"")</f>
        <v/>
      </c>
      <c r="AB219" s="32" t="n"/>
      <c r="AC219" s="52" t="n"/>
      <c r="AD219" s="29">
        <f>IFERROR(IF(OR(A219="",AB219=""),"",AB219/H219),"")</f>
        <v/>
      </c>
      <c r="AE219" s="51">
        <f>IFERROR(IF(OR(A219="",AB219="",AC219=""),"",AB219*AC219),"")</f>
        <v/>
      </c>
      <c r="AF219" s="28">
        <f>IFERROR(IF(OR(A219="",AB219=""),"",AB219-R219),"")</f>
        <v/>
      </c>
      <c r="AG219" s="29">
        <f>IFERROR(IF(OR(A219="",AB219=""),"",IF(AD219-T219&lt;0,T219-AD219,AD219-T219)),"")</f>
        <v/>
      </c>
      <c r="AH219" s="51">
        <f>IFERROR(IF(OR(A219="",AE219=""),"",AE219-Z219),"")</f>
        <v/>
      </c>
      <c r="AI219" s="25">
        <f>IFERROR(IF(A219="","",IF(G219&gt;F219,"Check out-of-order rooms",IF(K219&gt;H219,"On the books exceeds sellable rooms",IF(R219&gt;H219,"Forecast exceeds sellable rooms",IF(AND(A219&lt;TODAY(),AB219=""),"Actual results missing","OK"))))),"")</f>
        <v/>
      </c>
    </row>
    <row r="220">
      <c r="A220" s="24" t="n"/>
      <c r="B220" s="25">
        <f>IFERROR(IF(A220="","",VLOOKUP(MOD(A220,7),'Assumptions'!$E$16:$F$22,2,0)),"")</f>
        <v/>
      </c>
      <c r="C220" s="25">
        <f>IFERROR(IF(A220="","",IF(A220&lt;TODAY(),"Past",IF(A220=TODAY(),"Today","Future"))),"")</f>
        <v/>
      </c>
      <c r="D220" s="26" t="n"/>
      <c r="E220" s="26" t="n"/>
      <c r="F220" s="27" t="n"/>
      <c r="G220" s="27" t="n"/>
      <c r="H220" s="28">
        <f>IFERROR(IF(A220="","",MAX(0,F220-G220)),"")</f>
        <v/>
      </c>
      <c r="I220" s="27" t="n"/>
      <c r="J220" s="27" t="n"/>
      <c r="K220" s="28">
        <f>IFERROR(IF(A220="","",I220+J220),"")</f>
        <v/>
      </c>
      <c r="L220" s="29">
        <f>IFERROR(IF(A220="","",K220/H220),"")</f>
        <v/>
      </c>
      <c r="M220" s="29">
        <f>IFERROR(IF(A220="","",VLOOKUP(B220,'Assumptions'!$A$16:$B$22,2,0)),"")</f>
        <v/>
      </c>
      <c r="N220" s="27" t="n"/>
      <c r="O220" s="27" t="n"/>
      <c r="P220" s="27" t="n"/>
      <c r="Q220" s="28">
        <f>IFERROR(IF(A220="","",MIN(H220,MAX(0,K220,ROUND(H220*M220,0)+N220+O220))),"")</f>
        <v/>
      </c>
      <c r="R220" s="28">
        <f>IFERROR(IF(A220="","",MIN(H220,MAX(0,IF(P220="",Q220,P220)))),"")</f>
        <v/>
      </c>
      <c r="S220" s="28">
        <f>IFERROR(IF(A220="","",MAX(0,R220-K220)),"")</f>
        <v/>
      </c>
      <c r="T220" s="29">
        <f>IFERROR(IF(A220="","",R220/H220),"")</f>
        <v/>
      </c>
      <c r="U220" s="29">
        <f>IFERROR(IF(A220="","",'Assumptions'!$B$5),"")</f>
        <v/>
      </c>
      <c r="V220" s="29">
        <f>IFERROR(IF(A220="","",T220-U220),"")</f>
        <v/>
      </c>
      <c r="W220" s="50" t="n"/>
      <c r="X220" s="50" t="n"/>
      <c r="Y220" s="51">
        <f>IFERROR(IF(A220="","",IF(X220&lt;&gt;"",X220,IF(W220&lt;&gt;"",W220,'Assumptions'!$B$8))),"")</f>
        <v/>
      </c>
      <c r="Z220" s="51">
        <f>IFERROR(IF(A220="","",R220*Y220),"")</f>
        <v/>
      </c>
      <c r="AA220" s="51">
        <f>IFERROR(IF(A220="","",Z220/H220),"")</f>
        <v/>
      </c>
      <c r="AB220" s="32" t="n"/>
      <c r="AC220" s="52" t="n"/>
      <c r="AD220" s="29">
        <f>IFERROR(IF(OR(A220="",AB220=""),"",AB220/H220),"")</f>
        <v/>
      </c>
      <c r="AE220" s="51">
        <f>IFERROR(IF(OR(A220="",AB220="",AC220=""),"",AB220*AC220),"")</f>
        <v/>
      </c>
      <c r="AF220" s="28">
        <f>IFERROR(IF(OR(A220="",AB220=""),"",AB220-R220),"")</f>
        <v/>
      </c>
      <c r="AG220" s="29">
        <f>IFERROR(IF(OR(A220="",AB220=""),"",IF(AD220-T220&lt;0,T220-AD220,AD220-T220)),"")</f>
        <v/>
      </c>
      <c r="AH220" s="51">
        <f>IFERROR(IF(OR(A220="",AE220=""),"",AE220-Z220),"")</f>
        <v/>
      </c>
      <c r="AI220" s="25">
        <f>IFERROR(IF(A220="","",IF(G220&gt;F220,"Check out-of-order rooms",IF(K220&gt;H220,"On the books exceeds sellable rooms",IF(R220&gt;H220,"Forecast exceeds sellable rooms",IF(AND(A220&lt;TODAY(),AB220=""),"Actual results missing","OK"))))),"")</f>
        <v/>
      </c>
    </row>
    <row r="221">
      <c r="A221" s="24" t="n"/>
      <c r="B221" s="25">
        <f>IFERROR(IF(A221="","",VLOOKUP(MOD(A221,7),'Assumptions'!$E$16:$F$22,2,0)),"")</f>
        <v/>
      </c>
      <c r="C221" s="25">
        <f>IFERROR(IF(A221="","",IF(A221&lt;TODAY(),"Past",IF(A221=TODAY(),"Today","Future"))),"")</f>
        <v/>
      </c>
      <c r="D221" s="26" t="n"/>
      <c r="E221" s="26" t="n"/>
      <c r="F221" s="27" t="n"/>
      <c r="G221" s="27" t="n"/>
      <c r="H221" s="28">
        <f>IFERROR(IF(A221="","",MAX(0,F221-G221)),"")</f>
        <v/>
      </c>
      <c r="I221" s="27" t="n"/>
      <c r="J221" s="27" t="n"/>
      <c r="K221" s="28">
        <f>IFERROR(IF(A221="","",I221+J221),"")</f>
        <v/>
      </c>
      <c r="L221" s="29">
        <f>IFERROR(IF(A221="","",K221/H221),"")</f>
        <v/>
      </c>
      <c r="M221" s="29">
        <f>IFERROR(IF(A221="","",VLOOKUP(B221,'Assumptions'!$A$16:$B$22,2,0)),"")</f>
        <v/>
      </c>
      <c r="N221" s="27" t="n"/>
      <c r="O221" s="27" t="n"/>
      <c r="P221" s="27" t="n"/>
      <c r="Q221" s="28">
        <f>IFERROR(IF(A221="","",MIN(H221,MAX(0,K221,ROUND(H221*M221,0)+N221+O221))),"")</f>
        <v/>
      </c>
      <c r="R221" s="28">
        <f>IFERROR(IF(A221="","",MIN(H221,MAX(0,IF(P221="",Q221,P221)))),"")</f>
        <v/>
      </c>
      <c r="S221" s="28">
        <f>IFERROR(IF(A221="","",MAX(0,R221-K221)),"")</f>
        <v/>
      </c>
      <c r="T221" s="29">
        <f>IFERROR(IF(A221="","",R221/H221),"")</f>
        <v/>
      </c>
      <c r="U221" s="29">
        <f>IFERROR(IF(A221="","",'Assumptions'!$B$5),"")</f>
        <v/>
      </c>
      <c r="V221" s="29">
        <f>IFERROR(IF(A221="","",T221-U221),"")</f>
        <v/>
      </c>
      <c r="W221" s="50" t="n"/>
      <c r="X221" s="50" t="n"/>
      <c r="Y221" s="51">
        <f>IFERROR(IF(A221="","",IF(X221&lt;&gt;"",X221,IF(W221&lt;&gt;"",W221,'Assumptions'!$B$8))),"")</f>
        <v/>
      </c>
      <c r="Z221" s="51">
        <f>IFERROR(IF(A221="","",R221*Y221),"")</f>
        <v/>
      </c>
      <c r="AA221" s="51">
        <f>IFERROR(IF(A221="","",Z221/H221),"")</f>
        <v/>
      </c>
      <c r="AB221" s="32" t="n"/>
      <c r="AC221" s="52" t="n"/>
      <c r="AD221" s="29">
        <f>IFERROR(IF(OR(A221="",AB221=""),"",AB221/H221),"")</f>
        <v/>
      </c>
      <c r="AE221" s="51">
        <f>IFERROR(IF(OR(A221="",AB221="",AC221=""),"",AB221*AC221),"")</f>
        <v/>
      </c>
      <c r="AF221" s="28">
        <f>IFERROR(IF(OR(A221="",AB221=""),"",AB221-R221),"")</f>
        <v/>
      </c>
      <c r="AG221" s="29">
        <f>IFERROR(IF(OR(A221="",AB221=""),"",IF(AD221-T221&lt;0,T221-AD221,AD221-T221)),"")</f>
        <v/>
      </c>
      <c r="AH221" s="51">
        <f>IFERROR(IF(OR(A221="",AE221=""),"",AE221-Z221),"")</f>
        <v/>
      </c>
      <c r="AI221" s="25">
        <f>IFERROR(IF(A221="","",IF(G221&gt;F221,"Check out-of-order rooms",IF(K221&gt;H221,"On the books exceeds sellable rooms",IF(R221&gt;H221,"Forecast exceeds sellable rooms",IF(AND(A221&lt;TODAY(),AB221=""),"Actual results missing","OK"))))),"")</f>
        <v/>
      </c>
    </row>
    <row r="222">
      <c r="A222" s="24" t="n"/>
      <c r="B222" s="25">
        <f>IFERROR(IF(A222="","",VLOOKUP(MOD(A222,7),'Assumptions'!$E$16:$F$22,2,0)),"")</f>
        <v/>
      </c>
      <c r="C222" s="25">
        <f>IFERROR(IF(A222="","",IF(A222&lt;TODAY(),"Past",IF(A222=TODAY(),"Today","Future"))),"")</f>
        <v/>
      </c>
      <c r="D222" s="26" t="n"/>
      <c r="E222" s="26" t="n"/>
      <c r="F222" s="27" t="n"/>
      <c r="G222" s="27" t="n"/>
      <c r="H222" s="28">
        <f>IFERROR(IF(A222="","",MAX(0,F222-G222)),"")</f>
        <v/>
      </c>
      <c r="I222" s="27" t="n"/>
      <c r="J222" s="27" t="n"/>
      <c r="K222" s="28">
        <f>IFERROR(IF(A222="","",I222+J222),"")</f>
        <v/>
      </c>
      <c r="L222" s="29">
        <f>IFERROR(IF(A222="","",K222/H222),"")</f>
        <v/>
      </c>
      <c r="M222" s="29">
        <f>IFERROR(IF(A222="","",VLOOKUP(B222,'Assumptions'!$A$16:$B$22,2,0)),"")</f>
        <v/>
      </c>
      <c r="N222" s="27" t="n"/>
      <c r="O222" s="27" t="n"/>
      <c r="P222" s="27" t="n"/>
      <c r="Q222" s="28">
        <f>IFERROR(IF(A222="","",MIN(H222,MAX(0,K222,ROUND(H222*M222,0)+N222+O222))),"")</f>
        <v/>
      </c>
      <c r="R222" s="28">
        <f>IFERROR(IF(A222="","",MIN(H222,MAX(0,IF(P222="",Q222,P222)))),"")</f>
        <v/>
      </c>
      <c r="S222" s="28">
        <f>IFERROR(IF(A222="","",MAX(0,R222-K222)),"")</f>
        <v/>
      </c>
      <c r="T222" s="29">
        <f>IFERROR(IF(A222="","",R222/H222),"")</f>
        <v/>
      </c>
      <c r="U222" s="29">
        <f>IFERROR(IF(A222="","",'Assumptions'!$B$5),"")</f>
        <v/>
      </c>
      <c r="V222" s="29">
        <f>IFERROR(IF(A222="","",T222-U222),"")</f>
        <v/>
      </c>
      <c r="W222" s="50" t="n"/>
      <c r="X222" s="50" t="n"/>
      <c r="Y222" s="51">
        <f>IFERROR(IF(A222="","",IF(X222&lt;&gt;"",X222,IF(W222&lt;&gt;"",W222,'Assumptions'!$B$8))),"")</f>
        <v/>
      </c>
      <c r="Z222" s="51">
        <f>IFERROR(IF(A222="","",R222*Y222),"")</f>
        <v/>
      </c>
      <c r="AA222" s="51">
        <f>IFERROR(IF(A222="","",Z222/H222),"")</f>
        <v/>
      </c>
      <c r="AB222" s="32" t="n"/>
      <c r="AC222" s="52" t="n"/>
      <c r="AD222" s="29">
        <f>IFERROR(IF(OR(A222="",AB222=""),"",AB222/H222),"")</f>
        <v/>
      </c>
      <c r="AE222" s="51">
        <f>IFERROR(IF(OR(A222="",AB222="",AC222=""),"",AB222*AC222),"")</f>
        <v/>
      </c>
      <c r="AF222" s="28">
        <f>IFERROR(IF(OR(A222="",AB222=""),"",AB222-R222),"")</f>
        <v/>
      </c>
      <c r="AG222" s="29">
        <f>IFERROR(IF(OR(A222="",AB222=""),"",IF(AD222-T222&lt;0,T222-AD222,AD222-T222)),"")</f>
        <v/>
      </c>
      <c r="AH222" s="51">
        <f>IFERROR(IF(OR(A222="",AE222=""),"",AE222-Z222),"")</f>
        <v/>
      </c>
      <c r="AI222" s="25">
        <f>IFERROR(IF(A222="","",IF(G222&gt;F222,"Check out-of-order rooms",IF(K222&gt;H222,"On the books exceeds sellable rooms",IF(R222&gt;H222,"Forecast exceeds sellable rooms",IF(AND(A222&lt;TODAY(),AB222=""),"Actual results missing","OK"))))),"")</f>
        <v/>
      </c>
    </row>
    <row r="223">
      <c r="A223" s="24" t="n"/>
      <c r="B223" s="25">
        <f>IFERROR(IF(A223="","",VLOOKUP(MOD(A223,7),'Assumptions'!$E$16:$F$22,2,0)),"")</f>
        <v/>
      </c>
      <c r="C223" s="25">
        <f>IFERROR(IF(A223="","",IF(A223&lt;TODAY(),"Past",IF(A223=TODAY(),"Today","Future"))),"")</f>
        <v/>
      </c>
      <c r="D223" s="26" t="n"/>
      <c r="E223" s="26" t="n"/>
      <c r="F223" s="27" t="n"/>
      <c r="G223" s="27" t="n"/>
      <c r="H223" s="28">
        <f>IFERROR(IF(A223="","",MAX(0,F223-G223)),"")</f>
        <v/>
      </c>
      <c r="I223" s="27" t="n"/>
      <c r="J223" s="27" t="n"/>
      <c r="K223" s="28">
        <f>IFERROR(IF(A223="","",I223+J223),"")</f>
        <v/>
      </c>
      <c r="L223" s="29">
        <f>IFERROR(IF(A223="","",K223/H223),"")</f>
        <v/>
      </c>
      <c r="M223" s="29">
        <f>IFERROR(IF(A223="","",VLOOKUP(B223,'Assumptions'!$A$16:$B$22,2,0)),"")</f>
        <v/>
      </c>
      <c r="N223" s="27" t="n"/>
      <c r="O223" s="27" t="n"/>
      <c r="P223" s="27" t="n"/>
      <c r="Q223" s="28">
        <f>IFERROR(IF(A223="","",MIN(H223,MAX(0,K223,ROUND(H223*M223,0)+N223+O223))),"")</f>
        <v/>
      </c>
      <c r="R223" s="28">
        <f>IFERROR(IF(A223="","",MIN(H223,MAX(0,IF(P223="",Q223,P223)))),"")</f>
        <v/>
      </c>
      <c r="S223" s="28">
        <f>IFERROR(IF(A223="","",MAX(0,R223-K223)),"")</f>
        <v/>
      </c>
      <c r="T223" s="29">
        <f>IFERROR(IF(A223="","",R223/H223),"")</f>
        <v/>
      </c>
      <c r="U223" s="29">
        <f>IFERROR(IF(A223="","",'Assumptions'!$B$5),"")</f>
        <v/>
      </c>
      <c r="V223" s="29">
        <f>IFERROR(IF(A223="","",T223-U223),"")</f>
        <v/>
      </c>
      <c r="W223" s="50" t="n"/>
      <c r="X223" s="50" t="n"/>
      <c r="Y223" s="51">
        <f>IFERROR(IF(A223="","",IF(X223&lt;&gt;"",X223,IF(W223&lt;&gt;"",W223,'Assumptions'!$B$8))),"")</f>
        <v/>
      </c>
      <c r="Z223" s="51">
        <f>IFERROR(IF(A223="","",R223*Y223),"")</f>
        <v/>
      </c>
      <c r="AA223" s="51">
        <f>IFERROR(IF(A223="","",Z223/H223),"")</f>
        <v/>
      </c>
      <c r="AB223" s="32" t="n"/>
      <c r="AC223" s="52" t="n"/>
      <c r="AD223" s="29">
        <f>IFERROR(IF(OR(A223="",AB223=""),"",AB223/H223),"")</f>
        <v/>
      </c>
      <c r="AE223" s="51">
        <f>IFERROR(IF(OR(A223="",AB223="",AC223=""),"",AB223*AC223),"")</f>
        <v/>
      </c>
      <c r="AF223" s="28">
        <f>IFERROR(IF(OR(A223="",AB223=""),"",AB223-R223),"")</f>
        <v/>
      </c>
      <c r="AG223" s="29">
        <f>IFERROR(IF(OR(A223="",AB223=""),"",IF(AD223-T223&lt;0,T223-AD223,AD223-T223)),"")</f>
        <v/>
      </c>
      <c r="AH223" s="51">
        <f>IFERROR(IF(OR(A223="",AE223=""),"",AE223-Z223),"")</f>
        <v/>
      </c>
      <c r="AI223" s="25">
        <f>IFERROR(IF(A223="","",IF(G223&gt;F223,"Check out-of-order rooms",IF(K223&gt;H223,"On the books exceeds sellable rooms",IF(R223&gt;H223,"Forecast exceeds sellable rooms",IF(AND(A223&lt;TODAY(),AB223=""),"Actual results missing","OK"))))),"")</f>
        <v/>
      </c>
    </row>
    <row r="224">
      <c r="A224" s="24" t="n"/>
      <c r="B224" s="25">
        <f>IFERROR(IF(A224="","",VLOOKUP(MOD(A224,7),'Assumptions'!$E$16:$F$22,2,0)),"")</f>
        <v/>
      </c>
      <c r="C224" s="25">
        <f>IFERROR(IF(A224="","",IF(A224&lt;TODAY(),"Past",IF(A224=TODAY(),"Today","Future"))),"")</f>
        <v/>
      </c>
      <c r="D224" s="26" t="n"/>
      <c r="E224" s="26" t="n"/>
      <c r="F224" s="27" t="n"/>
      <c r="G224" s="27" t="n"/>
      <c r="H224" s="28">
        <f>IFERROR(IF(A224="","",MAX(0,F224-G224)),"")</f>
        <v/>
      </c>
      <c r="I224" s="27" t="n"/>
      <c r="J224" s="27" t="n"/>
      <c r="K224" s="28">
        <f>IFERROR(IF(A224="","",I224+J224),"")</f>
        <v/>
      </c>
      <c r="L224" s="29">
        <f>IFERROR(IF(A224="","",K224/H224),"")</f>
        <v/>
      </c>
      <c r="M224" s="29">
        <f>IFERROR(IF(A224="","",VLOOKUP(B224,'Assumptions'!$A$16:$B$22,2,0)),"")</f>
        <v/>
      </c>
      <c r="N224" s="27" t="n"/>
      <c r="O224" s="27" t="n"/>
      <c r="P224" s="27" t="n"/>
      <c r="Q224" s="28">
        <f>IFERROR(IF(A224="","",MIN(H224,MAX(0,K224,ROUND(H224*M224,0)+N224+O224))),"")</f>
        <v/>
      </c>
      <c r="R224" s="28">
        <f>IFERROR(IF(A224="","",MIN(H224,MAX(0,IF(P224="",Q224,P224)))),"")</f>
        <v/>
      </c>
      <c r="S224" s="28">
        <f>IFERROR(IF(A224="","",MAX(0,R224-K224)),"")</f>
        <v/>
      </c>
      <c r="T224" s="29">
        <f>IFERROR(IF(A224="","",R224/H224),"")</f>
        <v/>
      </c>
      <c r="U224" s="29">
        <f>IFERROR(IF(A224="","",'Assumptions'!$B$5),"")</f>
        <v/>
      </c>
      <c r="V224" s="29">
        <f>IFERROR(IF(A224="","",T224-U224),"")</f>
        <v/>
      </c>
      <c r="W224" s="50" t="n"/>
      <c r="X224" s="50" t="n"/>
      <c r="Y224" s="51">
        <f>IFERROR(IF(A224="","",IF(X224&lt;&gt;"",X224,IF(W224&lt;&gt;"",W224,'Assumptions'!$B$8))),"")</f>
        <v/>
      </c>
      <c r="Z224" s="51">
        <f>IFERROR(IF(A224="","",R224*Y224),"")</f>
        <v/>
      </c>
      <c r="AA224" s="51">
        <f>IFERROR(IF(A224="","",Z224/H224),"")</f>
        <v/>
      </c>
      <c r="AB224" s="32" t="n"/>
      <c r="AC224" s="52" t="n"/>
      <c r="AD224" s="29">
        <f>IFERROR(IF(OR(A224="",AB224=""),"",AB224/H224),"")</f>
        <v/>
      </c>
      <c r="AE224" s="51">
        <f>IFERROR(IF(OR(A224="",AB224="",AC224=""),"",AB224*AC224),"")</f>
        <v/>
      </c>
      <c r="AF224" s="28">
        <f>IFERROR(IF(OR(A224="",AB224=""),"",AB224-R224),"")</f>
        <v/>
      </c>
      <c r="AG224" s="29">
        <f>IFERROR(IF(OR(A224="",AB224=""),"",IF(AD224-T224&lt;0,T224-AD224,AD224-T224)),"")</f>
        <v/>
      </c>
      <c r="AH224" s="51">
        <f>IFERROR(IF(OR(A224="",AE224=""),"",AE224-Z224),"")</f>
        <v/>
      </c>
      <c r="AI224" s="25">
        <f>IFERROR(IF(A224="","",IF(G224&gt;F224,"Check out-of-order rooms",IF(K224&gt;H224,"On the books exceeds sellable rooms",IF(R224&gt;H224,"Forecast exceeds sellable rooms",IF(AND(A224&lt;TODAY(),AB224=""),"Actual results missing","OK"))))),"")</f>
        <v/>
      </c>
    </row>
    <row r="225">
      <c r="A225" s="24" t="n"/>
      <c r="B225" s="25">
        <f>IFERROR(IF(A225="","",VLOOKUP(MOD(A225,7),'Assumptions'!$E$16:$F$22,2,0)),"")</f>
        <v/>
      </c>
      <c r="C225" s="25">
        <f>IFERROR(IF(A225="","",IF(A225&lt;TODAY(),"Past",IF(A225=TODAY(),"Today","Future"))),"")</f>
        <v/>
      </c>
      <c r="D225" s="26" t="n"/>
      <c r="E225" s="26" t="n"/>
      <c r="F225" s="27" t="n"/>
      <c r="G225" s="27" t="n"/>
      <c r="H225" s="28">
        <f>IFERROR(IF(A225="","",MAX(0,F225-G225)),"")</f>
        <v/>
      </c>
      <c r="I225" s="27" t="n"/>
      <c r="J225" s="27" t="n"/>
      <c r="K225" s="28">
        <f>IFERROR(IF(A225="","",I225+J225),"")</f>
        <v/>
      </c>
      <c r="L225" s="29">
        <f>IFERROR(IF(A225="","",K225/H225),"")</f>
        <v/>
      </c>
      <c r="M225" s="29">
        <f>IFERROR(IF(A225="","",VLOOKUP(B225,'Assumptions'!$A$16:$B$22,2,0)),"")</f>
        <v/>
      </c>
      <c r="N225" s="27" t="n"/>
      <c r="O225" s="27" t="n"/>
      <c r="P225" s="27" t="n"/>
      <c r="Q225" s="28">
        <f>IFERROR(IF(A225="","",MIN(H225,MAX(0,K225,ROUND(H225*M225,0)+N225+O225))),"")</f>
        <v/>
      </c>
      <c r="R225" s="28">
        <f>IFERROR(IF(A225="","",MIN(H225,MAX(0,IF(P225="",Q225,P225)))),"")</f>
        <v/>
      </c>
      <c r="S225" s="28">
        <f>IFERROR(IF(A225="","",MAX(0,R225-K225)),"")</f>
        <v/>
      </c>
      <c r="T225" s="29">
        <f>IFERROR(IF(A225="","",R225/H225),"")</f>
        <v/>
      </c>
      <c r="U225" s="29">
        <f>IFERROR(IF(A225="","",'Assumptions'!$B$5),"")</f>
        <v/>
      </c>
      <c r="V225" s="29">
        <f>IFERROR(IF(A225="","",T225-U225),"")</f>
        <v/>
      </c>
      <c r="W225" s="50" t="n"/>
      <c r="X225" s="50" t="n"/>
      <c r="Y225" s="51">
        <f>IFERROR(IF(A225="","",IF(X225&lt;&gt;"",X225,IF(W225&lt;&gt;"",W225,'Assumptions'!$B$8))),"")</f>
        <v/>
      </c>
      <c r="Z225" s="51">
        <f>IFERROR(IF(A225="","",R225*Y225),"")</f>
        <v/>
      </c>
      <c r="AA225" s="51">
        <f>IFERROR(IF(A225="","",Z225/H225),"")</f>
        <v/>
      </c>
      <c r="AB225" s="32" t="n"/>
      <c r="AC225" s="52" t="n"/>
      <c r="AD225" s="29">
        <f>IFERROR(IF(OR(A225="",AB225=""),"",AB225/H225),"")</f>
        <v/>
      </c>
      <c r="AE225" s="51">
        <f>IFERROR(IF(OR(A225="",AB225="",AC225=""),"",AB225*AC225),"")</f>
        <v/>
      </c>
      <c r="AF225" s="28">
        <f>IFERROR(IF(OR(A225="",AB225=""),"",AB225-R225),"")</f>
        <v/>
      </c>
      <c r="AG225" s="29">
        <f>IFERROR(IF(OR(A225="",AB225=""),"",IF(AD225-T225&lt;0,T225-AD225,AD225-T225)),"")</f>
        <v/>
      </c>
      <c r="AH225" s="51">
        <f>IFERROR(IF(OR(A225="",AE225=""),"",AE225-Z225),"")</f>
        <v/>
      </c>
      <c r="AI225" s="25">
        <f>IFERROR(IF(A225="","",IF(G225&gt;F225,"Check out-of-order rooms",IF(K225&gt;H225,"On the books exceeds sellable rooms",IF(R225&gt;H225,"Forecast exceeds sellable rooms",IF(AND(A225&lt;TODAY(),AB225=""),"Actual results missing","OK"))))),"")</f>
        <v/>
      </c>
    </row>
    <row r="226">
      <c r="A226" s="24" t="n"/>
      <c r="B226" s="25">
        <f>IFERROR(IF(A226="","",VLOOKUP(MOD(A226,7),'Assumptions'!$E$16:$F$22,2,0)),"")</f>
        <v/>
      </c>
      <c r="C226" s="25">
        <f>IFERROR(IF(A226="","",IF(A226&lt;TODAY(),"Past",IF(A226=TODAY(),"Today","Future"))),"")</f>
        <v/>
      </c>
      <c r="D226" s="26" t="n"/>
      <c r="E226" s="26" t="n"/>
      <c r="F226" s="27" t="n"/>
      <c r="G226" s="27" t="n"/>
      <c r="H226" s="28">
        <f>IFERROR(IF(A226="","",MAX(0,F226-G226)),"")</f>
        <v/>
      </c>
      <c r="I226" s="27" t="n"/>
      <c r="J226" s="27" t="n"/>
      <c r="K226" s="28">
        <f>IFERROR(IF(A226="","",I226+J226),"")</f>
        <v/>
      </c>
      <c r="L226" s="29">
        <f>IFERROR(IF(A226="","",K226/H226),"")</f>
        <v/>
      </c>
      <c r="M226" s="29">
        <f>IFERROR(IF(A226="","",VLOOKUP(B226,'Assumptions'!$A$16:$B$22,2,0)),"")</f>
        <v/>
      </c>
      <c r="N226" s="27" t="n"/>
      <c r="O226" s="27" t="n"/>
      <c r="P226" s="27" t="n"/>
      <c r="Q226" s="28">
        <f>IFERROR(IF(A226="","",MIN(H226,MAX(0,K226,ROUND(H226*M226,0)+N226+O226))),"")</f>
        <v/>
      </c>
      <c r="R226" s="28">
        <f>IFERROR(IF(A226="","",MIN(H226,MAX(0,IF(P226="",Q226,P226)))),"")</f>
        <v/>
      </c>
      <c r="S226" s="28">
        <f>IFERROR(IF(A226="","",MAX(0,R226-K226)),"")</f>
        <v/>
      </c>
      <c r="T226" s="29">
        <f>IFERROR(IF(A226="","",R226/H226),"")</f>
        <v/>
      </c>
      <c r="U226" s="29">
        <f>IFERROR(IF(A226="","",'Assumptions'!$B$5),"")</f>
        <v/>
      </c>
      <c r="V226" s="29">
        <f>IFERROR(IF(A226="","",T226-U226),"")</f>
        <v/>
      </c>
      <c r="W226" s="50" t="n"/>
      <c r="X226" s="50" t="n"/>
      <c r="Y226" s="51">
        <f>IFERROR(IF(A226="","",IF(X226&lt;&gt;"",X226,IF(W226&lt;&gt;"",W226,'Assumptions'!$B$8))),"")</f>
        <v/>
      </c>
      <c r="Z226" s="51">
        <f>IFERROR(IF(A226="","",R226*Y226),"")</f>
        <v/>
      </c>
      <c r="AA226" s="51">
        <f>IFERROR(IF(A226="","",Z226/H226),"")</f>
        <v/>
      </c>
      <c r="AB226" s="32" t="n"/>
      <c r="AC226" s="52" t="n"/>
      <c r="AD226" s="29">
        <f>IFERROR(IF(OR(A226="",AB226=""),"",AB226/H226),"")</f>
        <v/>
      </c>
      <c r="AE226" s="51">
        <f>IFERROR(IF(OR(A226="",AB226="",AC226=""),"",AB226*AC226),"")</f>
        <v/>
      </c>
      <c r="AF226" s="28">
        <f>IFERROR(IF(OR(A226="",AB226=""),"",AB226-R226),"")</f>
        <v/>
      </c>
      <c r="AG226" s="29">
        <f>IFERROR(IF(OR(A226="",AB226=""),"",IF(AD226-T226&lt;0,T226-AD226,AD226-T226)),"")</f>
        <v/>
      </c>
      <c r="AH226" s="51">
        <f>IFERROR(IF(OR(A226="",AE226=""),"",AE226-Z226),"")</f>
        <v/>
      </c>
      <c r="AI226" s="25">
        <f>IFERROR(IF(A226="","",IF(G226&gt;F226,"Check out-of-order rooms",IF(K226&gt;H226,"On the books exceeds sellable rooms",IF(R226&gt;H226,"Forecast exceeds sellable rooms",IF(AND(A226&lt;TODAY(),AB226=""),"Actual results missing","OK"))))),"")</f>
        <v/>
      </c>
    </row>
    <row r="227">
      <c r="A227" s="24" t="n"/>
      <c r="B227" s="25">
        <f>IFERROR(IF(A227="","",VLOOKUP(MOD(A227,7),'Assumptions'!$E$16:$F$22,2,0)),"")</f>
        <v/>
      </c>
      <c r="C227" s="25">
        <f>IFERROR(IF(A227="","",IF(A227&lt;TODAY(),"Past",IF(A227=TODAY(),"Today","Future"))),"")</f>
        <v/>
      </c>
      <c r="D227" s="26" t="n"/>
      <c r="E227" s="26" t="n"/>
      <c r="F227" s="27" t="n"/>
      <c r="G227" s="27" t="n"/>
      <c r="H227" s="28">
        <f>IFERROR(IF(A227="","",MAX(0,F227-G227)),"")</f>
        <v/>
      </c>
      <c r="I227" s="27" t="n"/>
      <c r="J227" s="27" t="n"/>
      <c r="K227" s="28">
        <f>IFERROR(IF(A227="","",I227+J227),"")</f>
        <v/>
      </c>
      <c r="L227" s="29">
        <f>IFERROR(IF(A227="","",K227/H227),"")</f>
        <v/>
      </c>
      <c r="M227" s="29">
        <f>IFERROR(IF(A227="","",VLOOKUP(B227,'Assumptions'!$A$16:$B$22,2,0)),"")</f>
        <v/>
      </c>
      <c r="N227" s="27" t="n"/>
      <c r="O227" s="27" t="n"/>
      <c r="P227" s="27" t="n"/>
      <c r="Q227" s="28">
        <f>IFERROR(IF(A227="","",MIN(H227,MAX(0,K227,ROUND(H227*M227,0)+N227+O227))),"")</f>
        <v/>
      </c>
      <c r="R227" s="28">
        <f>IFERROR(IF(A227="","",MIN(H227,MAX(0,IF(P227="",Q227,P227)))),"")</f>
        <v/>
      </c>
      <c r="S227" s="28">
        <f>IFERROR(IF(A227="","",MAX(0,R227-K227)),"")</f>
        <v/>
      </c>
      <c r="T227" s="29">
        <f>IFERROR(IF(A227="","",R227/H227),"")</f>
        <v/>
      </c>
      <c r="U227" s="29">
        <f>IFERROR(IF(A227="","",'Assumptions'!$B$5),"")</f>
        <v/>
      </c>
      <c r="V227" s="29">
        <f>IFERROR(IF(A227="","",T227-U227),"")</f>
        <v/>
      </c>
      <c r="W227" s="50" t="n"/>
      <c r="X227" s="50" t="n"/>
      <c r="Y227" s="51">
        <f>IFERROR(IF(A227="","",IF(X227&lt;&gt;"",X227,IF(W227&lt;&gt;"",W227,'Assumptions'!$B$8))),"")</f>
        <v/>
      </c>
      <c r="Z227" s="51">
        <f>IFERROR(IF(A227="","",R227*Y227),"")</f>
        <v/>
      </c>
      <c r="AA227" s="51">
        <f>IFERROR(IF(A227="","",Z227/H227),"")</f>
        <v/>
      </c>
      <c r="AB227" s="32" t="n"/>
      <c r="AC227" s="52" t="n"/>
      <c r="AD227" s="29">
        <f>IFERROR(IF(OR(A227="",AB227=""),"",AB227/H227),"")</f>
        <v/>
      </c>
      <c r="AE227" s="51">
        <f>IFERROR(IF(OR(A227="",AB227="",AC227=""),"",AB227*AC227),"")</f>
        <v/>
      </c>
      <c r="AF227" s="28">
        <f>IFERROR(IF(OR(A227="",AB227=""),"",AB227-R227),"")</f>
        <v/>
      </c>
      <c r="AG227" s="29">
        <f>IFERROR(IF(OR(A227="",AB227=""),"",IF(AD227-T227&lt;0,T227-AD227,AD227-T227)),"")</f>
        <v/>
      </c>
      <c r="AH227" s="51">
        <f>IFERROR(IF(OR(A227="",AE227=""),"",AE227-Z227),"")</f>
        <v/>
      </c>
      <c r="AI227" s="25">
        <f>IFERROR(IF(A227="","",IF(G227&gt;F227,"Check out-of-order rooms",IF(K227&gt;H227,"On the books exceeds sellable rooms",IF(R227&gt;H227,"Forecast exceeds sellable rooms",IF(AND(A227&lt;TODAY(),AB227=""),"Actual results missing","OK"))))),"")</f>
        <v/>
      </c>
    </row>
    <row r="228">
      <c r="A228" s="24" t="n"/>
      <c r="B228" s="25">
        <f>IFERROR(IF(A228="","",VLOOKUP(MOD(A228,7),'Assumptions'!$E$16:$F$22,2,0)),"")</f>
        <v/>
      </c>
      <c r="C228" s="25">
        <f>IFERROR(IF(A228="","",IF(A228&lt;TODAY(),"Past",IF(A228=TODAY(),"Today","Future"))),"")</f>
        <v/>
      </c>
      <c r="D228" s="26" t="n"/>
      <c r="E228" s="26" t="n"/>
      <c r="F228" s="27" t="n"/>
      <c r="G228" s="27" t="n"/>
      <c r="H228" s="28">
        <f>IFERROR(IF(A228="","",MAX(0,F228-G228)),"")</f>
        <v/>
      </c>
      <c r="I228" s="27" t="n"/>
      <c r="J228" s="27" t="n"/>
      <c r="K228" s="28">
        <f>IFERROR(IF(A228="","",I228+J228),"")</f>
        <v/>
      </c>
      <c r="L228" s="29">
        <f>IFERROR(IF(A228="","",K228/H228),"")</f>
        <v/>
      </c>
      <c r="M228" s="29">
        <f>IFERROR(IF(A228="","",VLOOKUP(B228,'Assumptions'!$A$16:$B$22,2,0)),"")</f>
        <v/>
      </c>
      <c r="N228" s="27" t="n"/>
      <c r="O228" s="27" t="n"/>
      <c r="P228" s="27" t="n"/>
      <c r="Q228" s="28">
        <f>IFERROR(IF(A228="","",MIN(H228,MAX(0,K228,ROUND(H228*M228,0)+N228+O228))),"")</f>
        <v/>
      </c>
      <c r="R228" s="28">
        <f>IFERROR(IF(A228="","",MIN(H228,MAX(0,IF(P228="",Q228,P228)))),"")</f>
        <v/>
      </c>
      <c r="S228" s="28">
        <f>IFERROR(IF(A228="","",MAX(0,R228-K228)),"")</f>
        <v/>
      </c>
      <c r="T228" s="29">
        <f>IFERROR(IF(A228="","",R228/H228),"")</f>
        <v/>
      </c>
      <c r="U228" s="29">
        <f>IFERROR(IF(A228="","",'Assumptions'!$B$5),"")</f>
        <v/>
      </c>
      <c r="V228" s="29">
        <f>IFERROR(IF(A228="","",T228-U228),"")</f>
        <v/>
      </c>
      <c r="W228" s="50" t="n"/>
      <c r="X228" s="50" t="n"/>
      <c r="Y228" s="51">
        <f>IFERROR(IF(A228="","",IF(X228&lt;&gt;"",X228,IF(W228&lt;&gt;"",W228,'Assumptions'!$B$8))),"")</f>
        <v/>
      </c>
      <c r="Z228" s="51">
        <f>IFERROR(IF(A228="","",R228*Y228),"")</f>
        <v/>
      </c>
      <c r="AA228" s="51">
        <f>IFERROR(IF(A228="","",Z228/H228),"")</f>
        <v/>
      </c>
      <c r="AB228" s="32" t="n"/>
      <c r="AC228" s="52" t="n"/>
      <c r="AD228" s="29">
        <f>IFERROR(IF(OR(A228="",AB228=""),"",AB228/H228),"")</f>
        <v/>
      </c>
      <c r="AE228" s="51">
        <f>IFERROR(IF(OR(A228="",AB228="",AC228=""),"",AB228*AC228),"")</f>
        <v/>
      </c>
      <c r="AF228" s="28">
        <f>IFERROR(IF(OR(A228="",AB228=""),"",AB228-R228),"")</f>
        <v/>
      </c>
      <c r="AG228" s="29">
        <f>IFERROR(IF(OR(A228="",AB228=""),"",IF(AD228-T228&lt;0,T228-AD228,AD228-T228)),"")</f>
        <v/>
      </c>
      <c r="AH228" s="51">
        <f>IFERROR(IF(OR(A228="",AE228=""),"",AE228-Z228),"")</f>
        <v/>
      </c>
      <c r="AI228" s="25">
        <f>IFERROR(IF(A228="","",IF(G228&gt;F228,"Check out-of-order rooms",IF(K228&gt;H228,"On the books exceeds sellable rooms",IF(R228&gt;H228,"Forecast exceeds sellable rooms",IF(AND(A228&lt;TODAY(),AB228=""),"Actual results missing","OK"))))),"")</f>
        <v/>
      </c>
    </row>
    <row r="229">
      <c r="A229" s="24" t="n"/>
      <c r="B229" s="25">
        <f>IFERROR(IF(A229="","",VLOOKUP(MOD(A229,7),'Assumptions'!$E$16:$F$22,2,0)),"")</f>
        <v/>
      </c>
      <c r="C229" s="25">
        <f>IFERROR(IF(A229="","",IF(A229&lt;TODAY(),"Past",IF(A229=TODAY(),"Today","Future"))),"")</f>
        <v/>
      </c>
      <c r="D229" s="26" t="n"/>
      <c r="E229" s="26" t="n"/>
      <c r="F229" s="27" t="n"/>
      <c r="G229" s="27" t="n"/>
      <c r="H229" s="28">
        <f>IFERROR(IF(A229="","",MAX(0,F229-G229)),"")</f>
        <v/>
      </c>
      <c r="I229" s="27" t="n"/>
      <c r="J229" s="27" t="n"/>
      <c r="K229" s="28">
        <f>IFERROR(IF(A229="","",I229+J229),"")</f>
        <v/>
      </c>
      <c r="L229" s="29">
        <f>IFERROR(IF(A229="","",K229/H229),"")</f>
        <v/>
      </c>
      <c r="M229" s="29">
        <f>IFERROR(IF(A229="","",VLOOKUP(B229,'Assumptions'!$A$16:$B$22,2,0)),"")</f>
        <v/>
      </c>
      <c r="N229" s="27" t="n"/>
      <c r="O229" s="27" t="n"/>
      <c r="P229" s="27" t="n"/>
      <c r="Q229" s="28">
        <f>IFERROR(IF(A229="","",MIN(H229,MAX(0,K229,ROUND(H229*M229,0)+N229+O229))),"")</f>
        <v/>
      </c>
      <c r="R229" s="28">
        <f>IFERROR(IF(A229="","",MIN(H229,MAX(0,IF(P229="",Q229,P229)))),"")</f>
        <v/>
      </c>
      <c r="S229" s="28">
        <f>IFERROR(IF(A229="","",MAX(0,R229-K229)),"")</f>
        <v/>
      </c>
      <c r="T229" s="29">
        <f>IFERROR(IF(A229="","",R229/H229),"")</f>
        <v/>
      </c>
      <c r="U229" s="29">
        <f>IFERROR(IF(A229="","",'Assumptions'!$B$5),"")</f>
        <v/>
      </c>
      <c r="V229" s="29">
        <f>IFERROR(IF(A229="","",T229-U229),"")</f>
        <v/>
      </c>
      <c r="W229" s="50" t="n"/>
      <c r="X229" s="50" t="n"/>
      <c r="Y229" s="51">
        <f>IFERROR(IF(A229="","",IF(X229&lt;&gt;"",X229,IF(W229&lt;&gt;"",W229,'Assumptions'!$B$8))),"")</f>
        <v/>
      </c>
      <c r="Z229" s="51">
        <f>IFERROR(IF(A229="","",R229*Y229),"")</f>
        <v/>
      </c>
      <c r="AA229" s="51">
        <f>IFERROR(IF(A229="","",Z229/H229),"")</f>
        <v/>
      </c>
      <c r="AB229" s="32" t="n"/>
      <c r="AC229" s="52" t="n"/>
      <c r="AD229" s="29">
        <f>IFERROR(IF(OR(A229="",AB229=""),"",AB229/H229),"")</f>
        <v/>
      </c>
      <c r="AE229" s="51">
        <f>IFERROR(IF(OR(A229="",AB229="",AC229=""),"",AB229*AC229),"")</f>
        <v/>
      </c>
      <c r="AF229" s="28">
        <f>IFERROR(IF(OR(A229="",AB229=""),"",AB229-R229),"")</f>
        <v/>
      </c>
      <c r="AG229" s="29">
        <f>IFERROR(IF(OR(A229="",AB229=""),"",IF(AD229-T229&lt;0,T229-AD229,AD229-T229)),"")</f>
        <v/>
      </c>
      <c r="AH229" s="51">
        <f>IFERROR(IF(OR(A229="",AE229=""),"",AE229-Z229),"")</f>
        <v/>
      </c>
      <c r="AI229" s="25">
        <f>IFERROR(IF(A229="","",IF(G229&gt;F229,"Check out-of-order rooms",IF(K229&gt;H229,"On the books exceeds sellable rooms",IF(R229&gt;H229,"Forecast exceeds sellable rooms",IF(AND(A229&lt;TODAY(),AB229=""),"Actual results missing","OK"))))),"")</f>
        <v/>
      </c>
    </row>
    <row r="230">
      <c r="A230" s="24" t="n"/>
      <c r="B230" s="25">
        <f>IFERROR(IF(A230="","",VLOOKUP(MOD(A230,7),'Assumptions'!$E$16:$F$22,2,0)),"")</f>
        <v/>
      </c>
      <c r="C230" s="25">
        <f>IFERROR(IF(A230="","",IF(A230&lt;TODAY(),"Past",IF(A230=TODAY(),"Today","Future"))),"")</f>
        <v/>
      </c>
      <c r="D230" s="26" t="n"/>
      <c r="E230" s="26" t="n"/>
      <c r="F230" s="27" t="n"/>
      <c r="G230" s="27" t="n"/>
      <c r="H230" s="28">
        <f>IFERROR(IF(A230="","",MAX(0,F230-G230)),"")</f>
        <v/>
      </c>
      <c r="I230" s="27" t="n"/>
      <c r="J230" s="27" t="n"/>
      <c r="K230" s="28">
        <f>IFERROR(IF(A230="","",I230+J230),"")</f>
        <v/>
      </c>
      <c r="L230" s="29">
        <f>IFERROR(IF(A230="","",K230/H230),"")</f>
        <v/>
      </c>
      <c r="M230" s="29">
        <f>IFERROR(IF(A230="","",VLOOKUP(B230,'Assumptions'!$A$16:$B$22,2,0)),"")</f>
        <v/>
      </c>
      <c r="N230" s="27" t="n"/>
      <c r="O230" s="27" t="n"/>
      <c r="P230" s="27" t="n"/>
      <c r="Q230" s="28">
        <f>IFERROR(IF(A230="","",MIN(H230,MAX(0,K230,ROUND(H230*M230,0)+N230+O230))),"")</f>
        <v/>
      </c>
      <c r="R230" s="28">
        <f>IFERROR(IF(A230="","",MIN(H230,MAX(0,IF(P230="",Q230,P230)))),"")</f>
        <v/>
      </c>
      <c r="S230" s="28">
        <f>IFERROR(IF(A230="","",MAX(0,R230-K230)),"")</f>
        <v/>
      </c>
      <c r="T230" s="29">
        <f>IFERROR(IF(A230="","",R230/H230),"")</f>
        <v/>
      </c>
      <c r="U230" s="29">
        <f>IFERROR(IF(A230="","",'Assumptions'!$B$5),"")</f>
        <v/>
      </c>
      <c r="V230" s="29">
        <f>IFERROR(IF(A230="","",T230-U230),"")</f>
        <v/>
      </c>
      <c r="W230" s="50" t="n"/>
      <c r="X230" s="50" t="n"/>
      <c r="Y230" s="51">
        <f>IFERROR(IF(A230="","",IF(X230&lt;&gt;"",X230,IF(W230&lt;&gt;"",W230,'Assumptions'!$B$8))),"")</f>
        <v/>
      </c>
      <c r="Z230" s="51">
        <f>IFERROR(IF(A230="","",R230*Y230),"")</f>
        <v/>
      </c>
      <c r="AA230" s="51">
        <f>IFERROR(IF(A230="","",Z230/H230),"")</f>
        <v/>
      </c>
      <c r="AB230" s="32" t="n"/>
      <c r="AC230" s="52" t="n"/>
      <c r="AD230" s="29">
        <f>IFERROR(IF(OR(A230="",AB230=""),"",AB230/H230),"")</f>
        <v/>
      </c>
      <c r="AE230" s="51">
        <f>IFERROR(IF(OR(A230="",AB230="",AC230=""),"",AB230*AC230),"")</f>
        <v/>
      </c>
      <c r="AF230" s="28">
        <f>IFERROR(IF(OR(A230="",AB230=""),"",AB230-R230),"")</f>
        <v/>
      </c>
      <c r="AG230" s="29">
        <f>IFERROR(IF(OR(A230="",AB230=""),"",IF(AD230-T230&lt;0,T230-AD230,AD230-T230)),"")</f>
        <v/>
      </c>
      <c r="AH230" s="51">
        <f>IFERROR(IF(OR(A230="",AE230=""),"",AE230-Z230),"")</f>
        <v/>
      </c>
      <c r="AI230" s="25">
        <f>IFERROR(IF(A230="","",IF(G230&gt;F230,"Check out-of-order rooms",IF(K230&gt;H230,"On the books exceeds sellable rooms",IF(R230&gt;H230,"Forecast exceeds sellable rooms",IF(AND(A230&lt;TODAY(),AB230=""),"Actual results missing","OK"))))),"")</f>
        <v/>
      </c>
    </row>
    <row r="231">
      <c r="A231" s="24" t="n"/>
      <c r="B231" s="25">
        <f>IFERROR(IF(A231="","",VLOOKUP(MOD(A231,7),'Assumptions'!$E$16:$F$22,2,0)),"")</f>
        <v/>
      </c>
      <c r="C231" s="25">
        <f>IFERROR(IF(A231="","",IF(A231&lt;TODAY(),"Past",IF(A231=TODAY(),"Today","Future"))),"")</f>
        <v/>
      </c>
      <c r="D231" s="26" t="n"/>
      <c r="E231" s="26" t="n"/>
      <c r="F231" s="27" t="n"/>
      <c r="G231" s="27" t="n"/>
      <c r="H231" s="28">
        <f>IFERROR(IF(A231="","",MAX(0,F231-G231)),"")</f>
        <v/>
      </c>
      <c r="I231" s="27" t="n"/>
      <c r="J231" s="27" t="n"/>
      <c r="K231" s="28">
        <f>IFERROR(IF(A231="","",I231+J231),"")</f>
        <v/>
      </c>
      <c r="L231" s="29">
        <f>IFERROR(IF(A231="","",K231/H231),"")</f>
        <v/>
      </c>
      <c r="M231" s="29">
        <f>IFERROR(IF(A231="","",VLOOKUP(B231,'Assumptions'!$A$16:$B$22,2,0)),"")</f>
        <v/>
      </c>
      <c r="N231" s="27" t="n"/>
      <c r="O231" s="27" t="n"/>
      <c r="P231" s="27" t="n"/>
      <c r="Q231" s="28">
        <f>IFERROR(IF(A231="","",MIN(H231,MAX(0,K231,ROUND(H231*M231,0)+N231+O231))),"")</f>
        <v/>
      </c>
      <c r="R231" s="28">
        <f>IFERROR(IF(A231="","",MIN(H231,MAX(0,IF(P231="",Q231,P231)))),"")</f>
        <v/>
      </c>
      <c r="S231" s="28">
        <f>IFERROR(IF(A231="","",MAX(0,R231-K231)),"")</f>
        <v/>
      </c>
      <c r="T231" s="29">
        <f>IFERROR(IF(A231="","",R231/H231),"")</f>
        <v/>
      </c>
      <c r="U231" s="29">
        <f>IFERROR(IF(A231="","",'Assumptions'!$B$5),"")</f>
        <v/>
      </c>
      <c r="V231" s="29">
        <f>IFERROR(IF(A231="","",T231-U231),"")</f>
        <v/>
      </c>
      <c r="W231" s="50" t="n"/>
      <c r="X231" s="50" t="n"/>
      <c r="Y231" s="51">
        <f>IFERROR(IF(A231="","",IF(X231&lt;&gt;"",X231,IF(W231&lt;&gt;"",W231,'Assumptions'!$B$8))),"")</f>
        <v/>
      </c>
      <c r="Z231" s="51">
        <f>IFERROR(IF(A231="","",R231*Y231),"")</f>
        <v/>
      </c>
      <c r="AA231" s="51">
        <f>IFERROR(IF(A231="","",Z231/H231),"")</f>
        <v/>
      </c>
      <c r="AB231" s="32" t="n"/>
      <c r="AC231" s="52" t="n"/>
      <c r="AD231" s="29">
        <f>IFERROR(IF(OR(A231="",AB231=""),"",AB231/H231),"")</f>
        <v/>
      </c>
      <c r="AE231" s="51">
        <f>IFERROR(IF(OR(A231="",AB231="",AC231=""),"",AB231*AC231),"")</f>
        <v/>
      </c>
      <c r="AF231" s="28">
        <f>IFERROR(IF(OR(A231="",AB231=""),"",AB231-R231),"")</f>
        <v/>
      </c>
      <c r="AG231" s="29">
        <f>IFERROR(IF(OR(A231="",AB231=""),"",IF(AD231-T231&lt;0,T231-AD231,AD231-T231)),"")</f>
        <v/>
      </c>
      <c r="AH231" s="51">
        <f>IFERROR(IF(OR(A231="",AE231=""),"",AE231-Z231),"")</f>
        <v/>
      </c>
      <c r="AI231" s="25">
        <f>IFERROR(IF(A231="","",IF(G231&gt;F231,"Check out-of-order rooms",IF(K231&gt;H231,"On the books exceeds sellable rooms",IF(R231&gt;H231,"Forecast exceeds sellable rooms",IF(AND(A231&lt;TODAY(),AB231=""),"Actual results missing","OK"))))),"")</f>
        <v/>
      </c>
    </row>
    <row r="232">
      <c r="A232" s="24" t="n"/>
      <c r="B232" s="25">
        <f>IFERROR(IF(A232="","",VLOOKUP(MOD(A232,7),'Assumptions'!$E$16:$F$22,2,0)),"")</f>
        <v/>
      </c>
      <c r="C232" s="25">
        <f>IFERROR(IF(A232="","",IF(A232&lt;TODAY(),"Past",IF(A232=TODAY(),"Today","Future"))),"")</f>
        <v/>
      </c>
      <c r="D232" s="26" t="n"/>
      <c r="E232" s="26" t="n"/>
      <c r="F232" s="27" t="n"/>
      <c r="G232" s="27" t="n"/>
      <c r="H232" s="28">
        <f>IFERROR(IF(A232="","",MAX(0,F232-G232)),"")</f>
        <v/>
      </c>
      <c r="I232" s="27" t="n"/>
      <c r="J232" s="27" t="n"/>
      <c r="K232" s="28">
        <f>IFERROR(IF(A232="","",I232+J232),"")</f>
        <v/>
      </c>
      <c r="L232" s="29">
        <f>IFERROR(IF(A232="","",K232/H232),"")</f>
        <v/>
      </c>
      <c r="M232" s="29">
        <f>IFERROR(IF(A232="","",VLOOKUP(B232,'Assumptions'!$A$16:$B$22,2,0)),"")</f>
        <v/>
      </c>
      <c r="N232" s="27" t="n"/>
      <c r="O232" s="27" t="n"/>
      <c r="P232" s="27" t="n"/>
      <c r="Q232" s="28">
        <f>IFERROR(IF(A232="","",MIN(H232,MAX(0,K232,ROUND(H232*M232,0)+N232+O232))),"")</f>
        <v/>
      </c>
      <c r="R232" s="28">
        <f>IFERROR(IF(A232="","",MIN(H232,MAX(0,IF(P232="",Q232,P232)))),"")</f>
        <v/>
      </c>
      <c r="S232" s="28">
        <f>IFERROR(IF(A232="","",MAX(0,R232-K232)),"")</f>
        <v/>
      </c>
      <c r="T232" s="29">
        <f>IFERROR(IF(A232="","",R232/H232),"")</f>
        <v/>
      </c>
      <c r="U232" s="29">
        <f>IFERROR(IF(A232="","",'Assumptions'!$B$5),"")</f>
        <v/>
      </c>
      <c r="V232" s="29">
        <f>IFERROR(IF(A232="","",T232-U232),"")</f>
        <v/>
      </c>
      <c r="W232" s="50" t="n"/>
      <c r="X232" s="50" t="n"/>
      <c r="Y232" s="51">
        <f>IFERROR(IF(A232="","",IF(X232&lt;&gt;"",X232,IF(W232&lt;&gt;"",W232,'Assumptions'!$B$8))),"")</f>
        <v/>
      </c>
      <c r="Z232" s="51">
        <f>IFERROR(IF(A232="","",R232*Y232),"")</f>
        <v/>
      </c>
      <c r="AA232" s="51">
        <f>IFERROR(IF(A232="","",Z232/H232),"")</f>
        <v/>
      </c>
      <c r="AB232" s="32" t="n"/>
      <c r="AC232" s="52" t="n"/>
      <c r="AD232" s="29">
        <f>IFERROR(IF(OR(A232="",AB232=""),"",AB232/H232),"")</f>
        <v/>
      </c>
      <c r="AE232" s="51">
        <f>IFERROR(IF(OR(A232="",AB232="",AC232=""),"",AB232*AC232),"")</f>
        <v/>
      </c>
      <c r="AF232" s="28">
        <f>IFERROR(IF(OR(A232="",AB232=""),"",AB232-R232),"")</f>
        <v/>
      </c>
      <c r="AG232" s="29">
        <f>IFERROR(IF(OR(A232="",AB232=""),"",IF(AD232-T232&lt;0,T232-AD232,AD232-T232)),"")</f>
        <v/>
      </c>
      <c r="AH232" s="51">
        <f>IFERROR(IF(OR(A232="",AE232=""),"",AE232-Z232),"")</f>
        <v/>
      </c>
      <c r="AI232" s="25">
        <f>IFERROR(IF(A232="","",IF(G232&gt;F232,"Check out-of-order rooms",IF(K232&gt;H232,"On the books exceeds sellable rooms",IF(R232&gt;H232,"Forecast exceeds sellable rooms",IF(AND(A232&lt;TODAY(),AB232=""),"Actual results missing","OK"))))),"")</f>
        <v/>
      </c>
    </row>
    <row r="233">
      <c r="A233" s="24" t="n"/>
      <c r="B233" s="25">
        <f>IFERROR(IF(A233="","",VLOOKUP(MOD(A233,7),'Assumptions'!$E$16:$F$22,2,0)),"")</f>
        <v/>
      </c>
      <c r="C233" s="25">
        <f>IFERROR(IF(A233="","",IF(A233&lt;TODAY(),"Past",IF(A233=TODAY(),"Today","Future"))),"")</f>
        <v/>
      </c>
      <c r="D233" s="26" t="n"/>
      <c r="E233" s="26" t="n"/>
      <c r="F233" s="27" t="n"/>
      <c r="G233" s="27" t="n"/>
      <c r="H233" s="28">
        <f>IFERROR(IF(A233="","",MAX(0,F233-G233)),"")</f>
        <v/>
      </c>
      <c r="I233" s="27" t="n"/>
      <c r="J233" s="27" t="n"/>
      <c r="K233" s="28">
        <f>IFERROR(IF(A233="","",I233+J233),"")</f>
        <v/>
      </c>
      <c r="L233" s="29">
        <f>IFERROR(IF(A233="","",K233/H233),"")</f>
        <v/>
      </c>
      <c r="M233" s="29">
        <f>IFERROR(IF(A233="","",VLOOKUP(B233,'Assumptions'!$A$16:$B$22,2,0)),"")</f>
        <v/>
      </c>
      <c r="N233" s="27" t="n"/>
      <c r="O233" s="27" t="n"/>
      <c r="P233" s="27" t="n"/>
      <c r="Q233" s="28">
        <f>IFERROR(IF(A233="","",MIN(H233,MAX(0,K233,ROUND(H233*M233,0)+N233+O233))),"")</f>
        <v/>
      </c>
      <c r="R233" s="28">
        <f>IFERROR(IF(A233="","",MIN(H233,MAX(0,IF(P233="",Q233,P233)))),"")</f>
        <v/>
      </c>
      <c r="S233" s="28">
        <f>IFERROR(IF(A233="","",MAX(0,R233-K233)),"")</f>
        <v/>
      </c>
      <c r="T233" s="29">
        <f>IFERROR(IF(A233="","",R233/H233),"")</f>
        <v/>
      </c>
      <c r="U233" s="29">
        <f>IFERROR(IF(A233="","",'Assumptions'!$B$5),"")</f>
        <v/>
      </c>
      <c r="V233" s="29">
        <f>IFERROR(IF(A233="","",T233-U233),"")</f>
        <v/>
      </c>
      <c r="W233" s="50" t="n"/>
      <c r="X233" s="50" t="n"/>
      <c r="Y233" s="51">
        <f>IFERROR(IF(A233="","",IF(X233&lt;&gt;"",X233,IF(W233&lt;&gt;"",W233,'Assumptions'!$B$8))),"")</f>
        <v/>
      </c>
      <c r="Z233" s="51">
        <f>IFERROR(IF(A233="","",R233*Y233),"")</f>
        <v/>
      </c>
      <c r="AA233" s="51">
        <f>IFERROR(IF(A233="","",Z233/H233),"")</f>
        <v/>
      </c>
      <c r="AB233" s="32" t="n"/>
      <c r="AC233" s="52" t="n"/>
      <c r="AD233" s="29">
        <f>IFERROR(IF(OR(A233="",AB233=""),"",AB233/H233),"")</f>
        <v/>
      </c>
      <c r="AE233" s="51">
        <f>IFERROR(IF(OR(A233="",AB233="",AC233=""),"",AB233*AC233),"")</f>
        <v/>
      </c>
      <c r="AF233" s="28">
        <f>IFERROR(IF(OR(A233="",AB233=""),"",AB233-R233),"")</f>
        <v/>
      </c>
      <c r="AG233" s="29">
        <f>IFERROR(IF(OR(A233="",AB233=""),"",IF(AD233-T233&lt;0,T233-AD233,AD233-T233)),"")</f>
        <v/>
      </c>
      <c r="AH233" s="51">
        <f>IFERROR(IF(OR(A233="",AE233=""),"",AE233-Z233),"")</f>
        <v/>
      </c>
      <c r="AI233" s="25">
        <f>IFERROR(IF(A233="","",IF(G233&gt;F233,"Check out-of-order rooms",IF(K233&gt;H233,"On the books exceeds sellable rooms",IF(R233&gt;H233,"Forecast exceeds sellable rooms",IF(AND(A233&lt;TODAY(),AB233=""),"Actual results missing","OK"))))),"")</f>
        <v/>
      </c>
    </row>
    <row r="234">
      <c r="A234" s="24" t="n"/>
      <c r="B234" s="25">
        <f>IFERROR(IF(A234="","",VLOOKUP(MOD(A234,7),'Assumptions'!$E$16:$F$22,2,0)),"")</f>
        <v/>
      </c>
      <c r="C234" s="25">
        <f>IFERROR(IF(A234="","",IF(A234&lt;TODAY(),"Past",IF(A234=TODAY(),"Today","Future"))),"")</f>
        <v/>
      </c>
      <c r="D234" s="26" t="n"/>
      <c r="E234" s="26" t="n"/>
      <c r="F234" s="27" t="n"/>
      <c r="G234" s="27" t="n"/>
      <c r="H234" s="28">
        <f>IFERROR(IF(A234="","",MAX(0,F234-G234)),"")</f>
        <v/>
      </c>
      <c r="I234" s="27" t="n"/>
      <c r="J234" s="27" t="n"/>
      <c r="K234" s="28">
        <f>IFERROR(IF(A234="","",I234+J234),"")</f>
        <v/>
      </c>
      <c r="L234" s="29">
        <f>IFERROR(IF(A234="","",K234/H234),"")</f>
        <v/>
      </c>
      <c r="M234" s="29">
        <f>IFERROR(IF(A234="","",VLOOKUP(B234,'Assumptions'!$A$16:$B$22,2,0)),"")</f>
        <v/>
      </c>
      <c r="N234" s="27" t="n"/>
      <c r="O234" s="27" t="n"/>
      <c r="P234" s="27" t="n"/>
      <c r="Q234" s="28">
        <f>IFERROR(IF(A234="","",MIN(H234,MAX(0,K234,ROUND(H234*M234,0)+N234+O234))),"")</f>
        <v/>
      </c>
      <c r="R234" s="28">
        <f>IFERROR(IF(A234="","",MIN(H234,MAX(0,IF(P234="",Q234,P234)))),"")</f>
        <v/>
      </c>
      <c r="S234" s="28">
        <f>IFERROR(IF(A234="","",MAX(0,R234-K234)),"")</f>
        <v/>
      </c>
      <c r="T234" s="29">
        <f>IFERROR(IF(A234="","",R234/H234),"")</f>
        <v/>
      </c>
      <c r="U234" s="29">
        <f>IFERROR(IF(A234="","",'Assumptions'!$B$5),"")</f>
        <v/>
      </c>
      <c r="V234" s="29">
        <f>IFERROR(IF(A234="","",T234-U234),"")</f>
        <v/>
      </c>
      <c r="W234" s="50" t="n"/>
      <c r="X234" s="50" t="n"/>
      <c r="Y234" s="51">
        <f>IFERROR(IF(A234="","",IF(X234&lt;&gt;"",X234,IF(W234&lt;&gt;"",W234,'Assumptions'!$B$8))),"")</f>
        <v/>
      </c>
      <c r="Z234" s="51">
        <f>IFERROR(IF(A234="","",R234*Y234),"")</f>
        <v/>
      </c>
      <c r="AA234" s="51">
        <f>IFERROR(IF(A234="","",Z234/H234),"")</f>
        <v/>
      </c>
      <c r="AB234" s="32" t="n"/>
      <c r="AC234" s="52" t="n"/>
      <c r="AD234" s="29">
        <f>IFERROR(IF(OR(A234="",AB234=""),"",AB234/H234),"")</f>
        <v/>
      </c>
      <c r="AE234" s="51">
        <f>IFERROR(IF(OR(A234="",AB234="",AC234=""),"",AB234*AC234),"")</f>
        <v/>
      </c>
      <c r="AF234" s="28">
        <f>IFERROR(IF(OR(A234="",AB234=""),"",AB234-R234),"")</f>
        <v/>
      </c>
      <c r="AG234" s="29">
        <f>IFERROR(IF(OR(A234="",AB234=""),"",IF(AD234-T234&lt;0,T234-AD234,AD234-T234)),"")</f>
        <v/>
      </c>
      <c r="AH234" s="51">
        <f>IFERROR(IF(OR(A234="",AE234=""),"",AE234-Z234),"")</f>
        <v/>
      </c>
      <c r="AI234" s="25">
        <f>IFERROR(IF(A234="","",IF(G234&gt;F234,"Check out-of-order rooms",IF(K234&gt;H234,"On the books exceeds sellable rooms",IF(R234&gt;H234,"Forecast exceeds sellable rooms",IF(AND(A234&lt;TODAY(),AB234=""),"Actual results missing","OK"))))),"")</f>
        <v/>
      </c>
    </row>
    <row r="235">
      <c r="A235" s="24" t="n"/>
      <c r="B235" s="25">
        <f>IFERROR(IF(A235="","",VLOOKUP(MOD(A235,7),'Assumptions'!$E$16:$F$22,2,0)),"")</f>
        <v/>
      </c>
      <c r="C235" s="25">
        <f>IFERROR(IF(A235="","",IF(A235&lt;TODAY(),"Past",IF(A235=TODAY(),"Today","Future"))),"")</f>
        <v/>
      </c>
      <c r="D235" s="26" t="n"/>
      <c r="E235" s="26" t="n"/>
      <c r="F235" s="27" t="n"/>
      <c r="G235" s="27" t="n"/>
      <c r="H235" s="28">
        <f>IFERROR(IF(A235="","",MAX(0,F235-G235)),"")</f>
        <v/>
      </c>
      <c r="I235" s="27" t="n"/>
      <c r="J235" s="27" t="n"/>
      <c r="K235" s="28">
        <f>IFERROR(IF(A235="","",I235+J235),"")</f>
        <v/>
      </c>
      <c r="L235" s="29">
        <f>IFERROR(IF(A235="","",K235/H235),"")</f>
        <v/>
      </c>
      <c r="M235" s="29">
        <f>IFERROR(IF(A235="","",VLOOKUP(B235,'Assumptions'!$A$16:$B$22,2,0)),"")</f>
        <v/>
      </c>
      <c r="N235" s="27" t="n"/>
      <c r="O235" s="27" t="n"/>
      <c r="P235" s="27" t="n"/>
      <c r="Q235" s="28">
        <f>IFERROR(IF(A235="","",MIN(H235,MAX(0,K235,ROUND(H235*M235,0)+N235+O235))),"")</f>
        <v/>
      </c>
      <c r="R235" s="28">
        <f>IFERROR(IF(A235="","",MIN(H235,MAX(0,IF(P235="",Q235,P235)))),"")</f>
        <v/>
      </c>
      <c r="S235" s="28">
        <f>IFERROR(IF(A235="","",MAX(0,R235-K235)),"")</f>
        <v/>
      </c>
      <c r="T235" s="29">
        <f>IFERROR(IF(A235="","",R235/H235),"")</f>
        <v/>
      </c>
      <c r="U235" s="29">
        <f>IFERROR(IF(A235="","",'Assumptions'!$B$5),"")</f>
        <v/>
      </c>
      <c r="V235" s="29">
        <f>IFERROR(IF(A235="","",T235-U235),"")</f>
        <v/>
      </c>
      <c r="W235" s="50" t="n"/>
      <c r="X235" s="50" t="n"/>
      <c r="Y235" s="51">
        <f>IFERROR(IF(A235="","",IF(X235&lt;&gt;"",X235,IF(W235&lt;&gt;"",W235,'Assumptions'!$B$8))),"")</f>
        <v/>
      </c>
      <c r="Z235" s="51">
        <f>IFERROR(IF(A235="","",R235*Y235),"")</f>
        <v/>
      </c>
      <c r="AA235" s="51">
        <f>IFERROR(IF(A235="","",Z235/H235),"")</f>
        <v/>
      </c>
      <c r="AB235" s="32" t="n"/>
      <c r="AC235" s="52" t="n"/>
      <c r="AD235" s="29">
        <f>IFERROR(IF(OR(A235="",AB235=""),"",AB235/H235),"")</f>
        <v/>
      </c>
      <c r="AE235" s="51">
        <f>IFERROR(IF(OR(A235="",AB235="",AC235=""),"",AB235*AC235),"")</f>
        <v/>
      </c>
      <c r="AF235" s="28">
        <f>IFERROR(IF(OR(A235="",AB235=""),"",AB235-R235),"")</f>
        <v/>
      </c>
      <c r="AG235" s="29">
        <f>IFERROR(IF(OR(A235="",AB235=""),"",IF(AD235-T235&lt;0,T235-AD235,AD235-T235)),"")</f>
        <v/>
      </c>
      <c r="AH235" s="51">
        <f>IFERROR(IF(OR(A235="",AE235=""),"",AE235-Z235),"")</f>
        <v/>
      </c>
      <c r="AI235" s="25">
        <f>IFERROR(IF(A235="","",IF(G235&gt;F235,"Check out-of-order rooms",IF(K235&gt;H235,"On the books exceeds sellable rooms",IF(R235&gt;H235,"Forecast exceeds sellable rooms",IF(AND(A235&lt;TODAY(),AB235=""),"Actual results missing","OK"))))),"")</f>
        <v/>
      </c>
    </row>
    <row r="236">
      <c r="A236" s="24" t="n"/>
      <c r="B236" s="25">
        <f>IFERROR(IF(A236="","",VLOOKUP(MOD(A236,7),'Assumptions'!$E$16:$F$22,2,0)),"")</f>
        <v/>
      </c>
      <c r="C236" s="25">
        <f>IFERROR(IF(A236="","",IF(A236&lt;TODAY(),"Past",IF(A236=TODAY(),"Today","Future"))),"")</f>
        <v/>
      </c>
      <c r="D236" s="26" t="n"/>
      <c r="E236" s="26" t="n"/>
      <c r="F236" s="27" t="n"/>
      <c r="G236" s="27" t="n"/>
      <c r="H236" s="28">
        <f>IFERROR(IF(A236="","",MAX(0,F236-G236)),"")</f>
        <v/>
      </c>
      <c r="I236" s="27" t="n"/>
      <c r="J236" s="27" t="n"/>
      <c r="K236" s="28">
        <f>IFERROR(IF(A236="","",I236+J236),"")</f>
        <v/>
      </c>
      <c r="L236" s="29">
        <f>IFERROR(IF(A236="","",K236/H236),"")</f>
        <v/>
      </c>
      <c r="M236" s="29">
        <f>IFERROR(IF(A236="","",VLOOKUP(B236,'Assumptions'!$A$16:$B$22,2,0)),"")</f>
        <v/>
      </c>
      <c r="N236" s="27" t="n"/>
      <c r="O236" s="27" t="n"/>
      <c r="P236" s="27" t="n"/>
      <c r="Q236" s="28">
        <f>IFERROR(IF(A236="","",MIN(H236,MAX(0,K236,ROUND(H236*M236,0)+N236+O236))),"")</f>
        <v/>
      </c>
      <c r="R236" s="28">
        <f>IFERROR(IF(A236="","",MIN(H236,MAX(0,IF(P236="",Q236,P236)))),"")</f>
        <v/>
      </c>
      <c r="S236" s="28">
        <f>IFERROR(IF(A236="","",MAX(0,R236-K236)),"")</f>
        <v/>
      </c>
      <c r="T236" s="29">
        <f>IFERROR(IF(A236="","",R236/H236),"")</f>
        <v/>
      </c>
      <c r="U236" s="29">
        <f>IFERROR(IF(A236="","",'Assumptions'!$B$5),"")</f>
        <v/>
      </c>
      <c r="V236" s="29">
        <f>IFERROR(IF(A236="","",T236-U236),"")</f>
        <v/>
      </c>
      <c r="W236" s="50" t="n"/>
      <c r="X236" s="50" t="n"/>
      <c r="Y236" s="51">
        <f>IFERROR(IF(A236="","",IF(X236&lt;&gt;"",X236,IF(W236&lt;&gt;"",W236,'Assumptions'!$B$8))),"")</f>
        <v/>
      </c>
      <c r="Z236" s="51">
        <f>IFERROR(IF(A236="","",R236*Y236),"")</f>
        <v/>
      </c>
      <c r="AA236" s="51">
        <f>IFERROR(IF(A236="","",Z236/H236),"")</f>
        <v/>
      </c>
      <c r="AB236" s="32" t="n"/>
      <c r="AC236" s="52" t="n"/>
      <c r="AD236" s="29">
        <f>IFERROR(IF(OR(A236="",AB236=""),"",AB236/H236),"")</f>
        <v/>
      </c>
      <c r="AE236" s="51">
        <f>IFERROR(IF(OR(A236="",AB236="",AC236=""),"",AB236*AC236),"")</f>
        <v/>
      </c>
      <c r="AF236" s="28">
        <f>IFERROR(IF(OR(A236="",AB236=""),"",AB236-R236),"")</f>
        <v/>
      </c>
      <c r="AG236" s="29">
        <f>IFERROR(IF(OR(A236="",AB236=""),"",IF(AD236-T236&lt;0,T236-AD236,AD236-T236)),"")</f>
        <v/>
      </c>
      <c r="AH236" s="51">
        <f>IFERROR(IF(OR(A236="",AE236=""),"",AE236-Z236),"")</f>
        <v/>
      </c>
      <c r="AI236" s="25">
        <f>IFERROR(IF(A236="","",IF(G236&gt;F236,"Check out-of-order rooms",IF(K236&gt;H236,"On the books exceeds sellable rooms",IF(R236&gt;H236,"Forecast exceeds sellable rooms",IF(AND(A236&lt;TODAY(),AB236=""),"Actual results missing","OK"))))),"")</f>
        <v/>
      </c>
    </row>
    <row r="237">
      <c r="A237" s="24" t="n"/>
      <c r="B237" s="25">
        <f>IFERROR(IF(A237="","",VLOOKUP(MOD(A237,7),'Assumptions'!$E$16:$F$22,2,0)),"")</f>
        <v/>
      </c>
      <c r="C237" s="25">
        <f>IFERROR(IF(A237="","",IF(A237&lt;TODAY(),"Past",IF(A237=TODAY(),"Today","Future"))),"")</f>
        <v/>
      </c>
      <c r="D237" s="26" t="n"/>
      <c r="E237" s="26" t="n"/>
      <c r="F237" s="27" t="n"/>
      <c r="G237" s="27" t="n"/>
      <c r="H237" s="28">
        <f>IFERROR(IF(A237="","",MAX(0,F237-G237)),"")</f>
        <v/>
      </c>
      <c r="I237" s="27" t="n"/>
      <c r="J237" s="27" t="n"/>
      <c r="K237" s="28">
        <f>IFERROR(IF(A237="","",I237+J237),"")</f>
        <v/>
      </c>
      <c r="L237" s="29">
        <f>IFERROR(IF(A237="","",K237/H237),"")</f>
        <v/>
      </c>
      <c r="M237" s="29">
        <f>IFERROR(IF(A237="","",VLOOKUP(B237,'Assumptions'!$A$16:$B$22,2,0)),"")</f>
        <v/>
      </c>
      <c r="N237" s="27" t="n"/>
      <c r="O237" s="27" t="n"/>
      <c r="P237" s="27" t="n"/>
      <c r="Q237" s="28">
        <f>IFERROR(IF(A237="","",MIN(H237,MAX(0,K237,ROUND(H237*M237,0)+N237+O237))),"")</f>
        <v/>
      </c>
      <c r="R237" s="28">
        <f>IFERROR(IF(A237="","",MIN(H237,MAX(0,IF(P237="",Q237,P237)))),"")</f>
        <v/>
      </c>
      <c r="S237" s="28">
        <f>IFERROR(IF(A237="","",MAX(0,R237-K237)),"")</f>
        <v/>
      </c>
      <c r="T237" s="29">
        <f>IFERROR(IF(A237="","",R237/H237),"")</f>
        <v/>
      </c>
      <c r="U237" s="29">
        <f>IFERROR(IF(A237="","",'Assumptions'!$B$5),"")</f>
        <v/>
      </c>
      <c r="V237" s="29">
        <f>IFERROR(IF(A237="","",T237-U237),"")</f>
        <v/>
      </c>
      <c r="W237" s="50" t="n"/>
      <c r="X237" s="50" t="n"/>
      <c r="Y237" s="51">
        <f>IFERROR(IF(A237="","",IF(X237&lt;&gt;"",X237,IF(W237&lt;&gt;"",W237,'Assumptions'!$B$8))),"")</f>
        <v/>
      </c>
      <c r="Z237" s="51">
        <f>IFERROR(IF(A237="","",R237*Y237),"")</f>
        <v/>
      </c>
      <c r="AA237" s="51">
        <f>IFERROR(IF(A237="","",Z237/H237),"")</f>
        <v/>
      </c>
      <c r="AB237" s="32" t="n"/>
      <c r="AC237" s="52" t="n"/>
      <c r="AD237" s="29">
        <f>IFERROR(IF(OR(A237="",AB237=""),"",AB237/H237),"")</f>
        <v/>
      </c>
      <c r="AE237" s="51">
        <f>IFERROR(IF(OR(A237="",AB237="",AC237=""),"",AB237*AC237),"")</f>
        <v/>
      </c>
      <c r="AF237" s="28">
        <f>IFERROR(IF(OR(A237="",AB237=""),"",AB237-R237),"")</f>
        <v/>
      </c>
      <c r="AG237" s="29">
        <f>IFERROR(IF(OR(A237="",AB237=""),"",IF(AD237-T237&lt;0,T237-AD237,AD237-T237)),"")</f>
        <v/>
      </c>
      <c r="AH237" s="51">
        <f>IFERROR(IF(OR(A237="",AE237=""),"",AE237-Z237),"")</f>
        <v/>
      </c>
      <c r="AI237" s="25">
        <f>IFERROR(IF(A237="","",IF(G237&gt;F237,"Check out-of-order rooms",IF(K237&gt;H237,"On the books exceeds sellable rooms",IF(R237&gt;H237,"Forecast exceeds sellable rooms",IF(AND(A237&lt;TODAY(),AB237=""),"Actual results missing","OK"))))),"")</f>
        <v/>
      </c>
    </row>
    <row r="238">
      <c r="A238" s="24" t="n"/>
      <c r="B238" s="25">
        <f>IFERROR(IF(A238="","",VLOOKUP(MOD(A238,7),'Assumptions'!$E$16:$F$22,2,0)),"")</f>
        <v/>
      </c>
      <c r="C238" s="25">
        <f>IFERROR(IF(A238="","",IF(A238&lt;TODAY(),"Past",IF(A238=TODAY(),"Today","Future"))),"")</f>
        <v/>
      </c>
      <c r="D238" s="26" t="n"/>
      <c r="E238" s="26" t="n"/>
      <c r="F238" s="27" t="n"/>
      <c r="G238" s="27" t="n"/>
      <c r="H238" s="28">
        <f>IFERROR(IF(A238="","",MAX(0,F238-G238)),"")</f>
        <v/>
      </c>
      <c r="I238" s="27" t="n"/>
      <c r="J238" s="27" t="n"/>
      <c r="K238" s="28">
        <f>IFERROR(IF(A238="","",I238+J238),"")</f>
        <v/>
      </c>
      <c r="L238" s="29">
        <f>IFERROR(IF(A238="","",K238/H238),"")</f>
        <v/>
      </c>
      <c r="M238" s="29">
        <f>IFERROR(IF(A238="","",VLOOKUP(B238,'Assumptions'!$A$16:$B$22,2,0)),"")</f>
        <v/>
      </c>
      <c r="N238" s="27" t="n"/>
      <c r="O238" s="27" t="n"/>
      <c r="P238" s="27" t="n"/>
      <c r="Q238" s="28">
        <f>IFERROR(IF(A238="","",MIN(H238,MAX(0,K238,ROUND(H238*M238,0)+N238+O238))),"")</f>
        <v/>
      </c>
      <c r="R238" s="28">
        <f>IFERROR(IF(A238="","",MIN(H238,MAX(0,IF(P238="",Q238,P238)))),"")</f>
        <v/>
      </c>
      <c r="S238" s="28">
        <f>IFERROR(IF(A238="","",MAX(0,R238-K238)),"")</f>
        <v/>
      </c>
      <c r="T238" s="29">
        <f>IFERROR(IF(A238="","",R238/H238),"")</f>
        <v/>
      </c>
      <c r="U238" s="29">
        <f>IFERROR(IF(A238="","",'Assumptions'!$B$5),"")</f>
        <v/>
      </c>
      <c r="V238" s="29">
        <f>IFERROR(IF(A238="","",T238-U238),"")</f>
        <v/>
      </c>
      <c r="W238" s="50" t="n"/>
      <c r="X238" s="50" t="n"/>
      <c r="Y238" s="51">
        <f>IFERROR(IF(A238="","",IF(X238&lt;&gt;"",X238,IF(W238&lt;&gt;"",W238,'Assumptions'!$B$8))),"")</f>
        <v/>
      </c>
      <c r="Z238" s="51">
        <f>IFERROR(IF(A238="","",R238*Y238),"")</f>
        <v/>
      </c>
      <c r="AA238" s="51">
        <f>IFERROR(IF(A238="","",Z238/H238),"")</f>
        <v/>
      </c>
      <c r="AB238" s="32" t="n"/>
      <c r="AC238" s="52" t="n"/>
      <c r="AD238" s="29">
        <f>IFERROR(IF(OR(A238="",AB238=""),"",AB238/H238),"")</f>
        <v/>
      </c>
      <c r="AE238" s="51">
        <f>IFERROR(IF(OR(A238="",AB238="",AC238=""),"",AB238*AC238),"")</f>
        <v/>
      </c>
      <c r="AF238" s="28">
        <f>IFERROR(IF(OR(A238="",AB238=""),"",AB238-R238),"")</f>
        <v/>
      </c>
      <c r="AG238" s="29">
        <f>IFERROR(IF(OR(A238="",AB238=""),"",IF(AD238-T238&lt;0,T238-AD238,AD238-T238)),"")</f>
        <v/>
      </c>
      <c r="AH238" s="51">
        <f>IFERROR(IF(OR(A238="",AE238=""),"",AE238-Z238),"")</f>
        <v/>
      </c>
      <c r="AI238" s="25">
        <f>IFERROR(IF(A238="","",IF(G238&gt;F238,"Check out-of-order rooms",IF(K238&gt;H238,"On the books exceeds sellable rooms",IF(R238&gt;H238,"Forecast exceeds sellable rooms",IF(AND(A238&lt;TODAY(),AB238=""),"Actual results missing","OK"))))),"")</f>
        <v/>
      </c>
    </row>
    <row r="239">
      <c r="A239" s="24" t="n"/>
      <c r="B239" s="25">
        <f>IFERROR(IF(A239="","",VLOOKUP(MOD(A239,7),'Assumptions'!$E$16:$F$22,2,0)),"")</f>
        <v/>
      </c>
      <c r="C239" s="25">
        <f>IFERROR(IF(A239="","",IF(A239&lt;TODAY(),"Past",IF(A239=TODAY(),"Today","Future"))),"")</f>
        <v/>
      </c>
      <c r="D239" s="26" t="n"/>
      <c r="E239" s="26" t="n"/>
      <c r="F239" s="27" t="n"/>
      <c r="G239" s="27" t="n"/>
      <c r="H239" s="28">
        <f>IFERROR(IF(A239="","",MAX(0,F239-G239)),"")</f>
        <v/>
      </c>
      <c r="I239" s="27" t="n"/>
      <c r="J239" s="27" t="n"/>
      <c r="K239" s="28">
        <f>IFERROR(IF(A239="","",I239+J239),"")</f>
        <v/>
      </c>
      <c r="L239" s="29">
        <f>IFERROR(IF(A239="","",K239/H239),"")</f>
        <v/>
      </c>
      <c r="M239" s="29">
        <f>IFERROR(IF(A239="","",VLOOKUP(B239,'Assumptions'!$A$16:$B$22,2,0)),"")</f>
        <v/>
      </c>
      <c r="N239" s="27" t="n"/>
      <c r="O239" s="27" t="n"/>
      <c r="P239" s="27" t="n"/>
      <c r="Q239" s="28">
        <f>IFERROR(IF(A239="","",MIN(H239,MAX(0,K239,ROUND(H239*M239,0)+N239+O239))),"")</f>
        <v/>
      </c>
      <c r="R239" s="28">
        <f>IFERROR(IF(A239="","",MIN(H239,MAX(0,IF(P239="",Q239,P239)))),"")</f>
        <v/>
      </c>
      <c r="S239" s="28">
        <f>IFERROR(IF(A239="","",MAX(0,R239-K239)),"")</f>
        <v/>
      </c>
      <c r="T239" s="29">
        <f>IFERROR(IF(A239="","",R239/H239),"")</f>
        <v/>
      </c>
      <c r="U239" s="29">
        <f>IFERROR(IF(A239="","",'Assumptions'!$B$5),"")</f>
        <v/>
      </c>
      <c r="V239" s="29">
        <f>IFERROR(IF(A239="","",T239-U239),"")</f>
        <v/>
      </c>
      <c r="W239" s="50" t="n"/>
      <c r="X239" s="50" t="n"/>
      <c r="Y239" s="51">
        <f>IFERROR(IF(A239="","",IF(X239&lt;&gt;"",X239,IF(W239&lt;&gt;"",W239,'Assumptions'!$B$8))),"")</f>
        <v/>
      </c>
      <c r="Z239" s="51">
        <f>IFERROR(IF(A239="","",R239*Y239),"")</f>
        <v/>
      </c>
      <c r="AA239" s="51">
        <f>IFERROR(IF(A239="","",Z239/H239),"")</f>
        <v/>
      </c>
      <c r="AB239" s="32" t="n"/>
      <c r="AC239" s="52" t="n"/>
      <c r="AD239" s="29">
        <f>IFERROR(IF(OR(A239="",AB239=""),"",AB239/H239),"")</f>
        <v/>
      </c>
      <c r="AE239" s="51">
        <f>IFERROR(IF(OR(A239="",AB239="",AC239=""),"",AB239*AC239),"")</f>
        <v/>
      </c>
      <c r="AF239" s="28">
        <f>IFERROR(IF(OR(A239="",AB239=""),"",AB239-R239),"")</f>
        <v/>
      </c>
      <c r="AG239" s="29">
        <f>IFERROR(IF(OR(A239="",AB239=""),"",IF(AD239-T239&lt;0,T239-AD239,AD239-T239)),"")</f>
        <v/>
      </c>
      <c r="AH239" s="51">
        <f>IFERROR(IF(OR(A239="",AE239=""),"",AE239-Z239),"")</f>
        <v/>
      </c>
      <c r="AI239" s="25">
        <f>IFERROR(IF(A239="","",IF(G239&gt;F239,"Check out-of-order rooms",IF(K239&gt;H239,"On the books exceeds sellable rooms",IF(R239&gt;H239,"Forecast exceeds sellable rooms",IF(AND(A239&lt;TODAY(),AB239=""),"Actual results missing","OK"))))),"")</f>
        <v/>
      </c>
    </row>
    <row r="240">
      <c r="A240" s="24" t="n"/>
      <c r="B240" s="25">
        <f>IFERROR(IF(A240="","",VLOOKUP(MOD(A240,7),'Assumptions'!$E$16:$F$22,2,0)),"")</f>
        <v/>
      </c>
      <c r="C240" s="25">
        <f>IFERROR(IF(A240="","",IF(A240&lt;TODAY(),"Past",IF(A240=TODAY(),"Today","Future"))),"")</f>
        <v/>
      </c>
      <c r="D240" s="26" t="n"/>
      <c r="E240" s="26" t="n"/>
      <c r="F240" s="27" t="n"/>
      <c r="G240" s="27" t="n"/>
      <c r="H240" s="28">
        <f>IFERROR(IF(A240="","",MAX(0,F240-G240)),"")</f>
        <v/>
      </c>
      <c r="I240" s="27" t="n"/>
      <c r="J240" s="27" t="n"/>
      <c r="K240" s="28">
        <f>IFERROR(IF(A240="","",I240+J240),"")</f>
        <v/>
      </c>
      <c r="L240" s="29">
        <f>IFERROR(IF(A240="","",K240/H240),"")</f>
        <v/>
      </c>
      <c r="M240" s="29">
        <f>IFERROR(IF(A240="","",VLOOKUP(B240,'Assumptions'!$A$16:$B$22,2,0)),"")</f>
        <v/>
      </c>
      <c r="N240" s="27" t="n"/>
      <c r="O240" s="27" t="n"/>
      <c r="P240" s="27" t="n"/>
      <c r="Q240" s="28">
        <f>IFERROR(IF(A240="","",MIN(H240,MAX(0,K240,ROUND(H240*M240,0)+N240+O240))),"")</f>
        <v/>
      </c>
      <c r="R240" s="28">
        <f>IFERROR(IF(A240="","",MIN(H240,MAX(0,IF(P240="",Q240,P240)))),"")</f>
        <v/>
      </c>
      <c r="S240" s="28">
        <f>IFERROR(IF(A240="","",MAX(0,R240-K240)),"")</f>
        <v/>
      </c>
      <c r="T240" s="29">
        <f>IFERROR(IF(A240="","",R240/H240),"")</f>
        <v/>
      </c>
      <c r="U240" s="29">
        <f>IFERROR(IF(A240="","",'Assumptions'!$B$5),"")</f>
        <v/>
      </c>
      <c r="V240" s="29">
        <f>IFERROR(IF(A240="","",T240-U240),"")</f>
        <v/>
      </c>
      <c r="W240" s="50" t="n"/>
      <c r="X240" s="50" t="n"/>
      <c r="Y240" s="51">
        <f>IFERROR(IF(A240="","",IF(X240&lt;&gt;"",X240,IF(W240&lt;&gt;"",W240,'Assumptions'!$B$8))),"")</f>
        <v/>
      </c>
      <c r="Z240" s="51">
        <f>IFERROR(IF(A240="","",R240*Y240),"")</f>
        <v/>
      </c>
      <c r="AA240" s="51">
        <f>IFERROR(IF(A240="","",Z240/H240),"")</f>
        <v/>
      </c>
      <c r="AB240" s="32" t="n"/>
      <c r="AC240" s="52" t="n"/>
      <c r="AD240" s="29">
        <f>IFERROR(IF(OR(A240="",AB240=""),"",AB240/H240),"")</f>
        <v/>
      </c>
      <c r="AE240" s="51">
        <f>IFERROR(IF(OR(A240="",AB240="",AC240=""),"",AB240*AC240),"")</f>
        <v/>
      </c>
      <c r="AF240" s="28">
        <f>IFERROR(IF(OR(A240="",AB240=""),"",AB240-R240),"")</f>
        <v/>
      </c>
      <c r="AG240" s="29">
        <f>IFERROR(IF(OR(A240="",AB240=""),"",IF(AD240-T240&lt;0,T240-AD240,AD240-T240)),"")</f>
        <v/>
      </c>
      <c r="AH240" s="51">
        <f>IFERROR(IF(OR(A240="",AE240=""),"",AE240-Z240),"")</f>
        <v/>
      </c>
      <c r="AI240" s="25">
        <f>IFERROR(IF(A240="","",IF(G240&gt;F240,"Check out-of-order rooms",IF(K240&gt;H240,"On the books exceeds sellable rooms",IF(R240&gt;H240,"Forecast exceeds sellable rooms",IF(AND(A240&lt;TODAY(),AB240=""),"Actual results missing","OK"))))),"")</f>
        <v/>
      </c>
    </row>
    <row r="241">
      <c r="A241" s="24" t="n"/>
      <c r="B241" s="25">
        <f>IFERROR(IF(A241="","",VLOOKUP(MOD(A241,7),'Assumptions'!$E$16:$F$22,2,0)),"")</f>
        <v/>
      </c>
      <c r="C241" s="25">
        <f>IFERROR(IF(A241="","",IF(A241&lt;TODAY(),"Past",IF(A241=TODAY(),"Today","Future"))),"")</f>
        <v/>
      </c>
      <c r="D241" s="26" t="n"/>
      <c r="E241" s="26" t="n"/>
      <c r="F241" s="27" t="n"/>
      <c r="G241" s="27" t="n"/>
      <c r="H241" s="28">
        <f>IFERROR(IF(A241="","",MAX(0,F241-G241)),"")</f>
        <v/>
      </c>
      <c r="I241" s="27" t="n"/>
      <c r="J241" s="27" t="n"/>
      <c r="K241" s="28">
        <f>IFERROR(IF(A241="","",I241+J241),"")</f>
        <v/>
      </c>
      <c r="L241" s="29">
        <f>IFERROR(IF(A241="","",K241/H241),"")</f>
        <v/>
      </c>
      <c r="M241" s="29">
        <f>IFERROR(IF(A241="","",VLOOKUP(B241,'Assumptions'!$A$16:$B$22,2,0)),"")</f>
        <v/>
      </c>
      <c r="N241" s="27" t="n"/>
      <c r="O241" s="27" t="n"/>
      <c r="P241" s="27" t="n"/>
      <c r="Q241" s="28">
        <f>IFERROR(IF(A241="","",MIN(H241,MAX(0,K241,ROUND(H241*M241,0)+N241+O241))),"")</f>
        <v/>
      </c>
      <c r="R241" s="28">
        <f>IFERROR(IF(A241="","",MIN(H241,MAX(0,IF(P241="",Q241,P241)))),"")</f>
        <v/>
      </c>
      <c r="S241" s="28">
        <f>IFERROR(IF(A241="","",MAX(0,R241-K241)),"")</f>
        <v/>
      </c>
      <c r="T241" s="29">
        <f>IFERROR(IF(A241="","",R241/H241),"")</f>
        <v/>
      </c>
      <c r="U241" s="29">
        <f>IFERROR(IF(A241="","",'Assumptions'!$B$5),"")</f>
        <v/>
      </c>
      <c r="V241" s="29">
        <f>IFERROR(IF(A241="","",T241-U241),"")</f>
        <v/>
      </c>
      <c r="W241" s="50" t="n"/>
      <c r="X241" s="50" t="n"/>
      <c r="Y241" s="51">
        <f>IFERROR(IF(A241="","",IF(X241&lt;&gt;"",X241,IF(W241&lt;&gt;"",W241,'Assumptions'!$B$8))),"")</f>
        <v/>
      </c>
      <c r="Z241" s="51">
        <f>IFERROR(IF(A241="","",R241*Y241),"")</f>
        <v/>
      </c>
      <c r="AA241" s="51">
        <f>IFERROR(IF(A241="","",Z241/H241),"")</f>
        <v/>
      </c>
      <c r="AB241" s="32" t="n"/>
      <c r="AC241" s="52" t="n"/>
      <c r="AD241" s="29">
        <f>IFERROR(IF(OR(A241="",AB241=""),"",AB241/H241),"")</f>
        <v/>
      </c>
      <c r="AE241" s="51">
        <f>IFERROR(IF(OR(A241="",AB241="",AC241=""),"",AB241*AC241),"")</f>
        <v/>
      </c>
      <c r="AF241" s="28">
        <f>IFERROR(IF(OR(A241="",AB241=""),"",AB241-R241),"")</f>
        <v/>
      </c>
      <c r="AG241" s="29">
        <f>IFERROR(IF(OR(A241="",AB241=""),"",IF(AD241-T241&lt;0,T241-AD241,AD241-T241)),"")</f>
        <v/>
      </c>
      <c r="AH241" s="51">
        <f>IFERROR(IF(OR(A241="",AE241=""),"",AE241-Z241),"")</f>
        <v/>
      </c>
      <c r="AI241" s="25">
        <f>IFERROR(IF(A241="","",IF(G241&gt;F241,"Check out-of-order rooms",IF(K241&gt;H241,"On the books exceeds sellable rooms",IF(R241&gt;H241,"Forecast exceeds sellable rooms",IF(AND(A241&lt;TODAY(),AB241=""),"Actual results missing","OK"))))),"")</f>
        <v/>
      </c>
    </row>
    <row r="242">
      <c r="A242" s="24" t="n"/>
      <c r="B242" s="25">
        <f>IFERROR(IF(A242="","",VLOOKUP(MOD(A242,7),'Assumptions'!$E$16:$F$22,2,0)),"")</f>
        <v/>
      </c>
      <c r="C242" s="25">
        <f>IFERROR(IF(A242="","",IF(A242&lt;TODAY(),"Past",IF(A242=TODAY(),"Today","Future"))),"")</f>
        <v/>
      </c>
      <c r="D242" s="26" t="n"/>
      <c r="E242" s="26" t="n"/>
      <c r="F242" s="27" t="n"/>
      <c r="G242" s="27" t="n"/>
      <c r="H242" s="28">
        <f>IFERROR(IF(A242="","",MAX(0,F242-G242)),"")</f>
        <v/>
      </c>
      <c r="I242" s="27" t="n"/>
      <c r="J242" s="27" t="n"/>
      <c r="K242" s="28">
        <f>IFERROR(IF(A242="","",I242+J242),"")</f>
        <v/>
      </c>
      <c r="L242" s="29">
        <f>IFERROR(IF(A242="","",K242/H242),"")</f>
        <v/>
      </c>
      <c r="M242" s="29">
        <f>IFERROR(IF(A242="","",VLOOKUP(B242,'Assumptions'!$A$16:$B$22,2,0)),"")</f>
        <v/>
      </c>
      <c r="N242" s="27" t="n"/>
      <c r="O242" s="27" t="n"/>
      <c r="P242" s="27" t="n"/>
      <c r="Q242" s="28">
        <f>IFERROR(IF(A242="","",MIN(H242,MAX(0,K242,ROUND(H242*M242,0)+N242+O242))),"")</f>
        <v/>
      </c>
      <c r="R242" s="28">
        <f>IFERROR(IF(A242="","",MIN(H242,MAX(0,IF(P242="",Q242,P242)))),"")</f>
        <v/>
      </c>
      <c r="S242" s="28">
        <f>IFERROR(IF(A242="","",MAX(0,R242-K242)),"")</f>
        <v/>
      </c>
      <c r="T242" s="29">
        <f>IFERROR(IF(A242="","",R242/H242),"")</f>
        <v/>
      </c>
      <c r="U242" s="29">
        <f>IFERROR(IF(A242="","",'Assumptions'!$B$5),"")</f>
        <v/>
      </c>
      <c r="V242" s="29">
        <f>IFERROR(IF(A242="","",T242-U242),"")</f>
        <v/>
      </c>
      <c r="W242" s="50" t="n"/>
      <c r="X242" s="50" t="n"/>
      <c r="Y242" s="51">
        <f>IFERROR(IF(A242="","",IF(X242&lt;&gt;"",X242,IF(W242&lt;&gt;"",W242,'Assumptions'!$B$8))),"")</f>
        <v/>
      </c>
      <c r="Z242" s="51">
        <f>IFERROR(IF(A242="","",R242*Y242),"")</f>
        <v/>
      </c>
      <c r="AA242" s="51">
        <f>IFERROR(IF(A242="","",Z242/H242),"")</f>
        <v/>
      </c>
      <c r="AB242" s="32" t="n"/>
      <c r="AC242" s="52" t="n"/>
      <c r="AD242" s="29">
        <f>IFERROR(IF(OR(A242="",AB242=""),"",AB242/H242),"")</f>
        <v/>
      </c>
      <c r="AE242" s="51">
        <f>IFERROR(IF(OR(A242="",AB242="",AC242=""),"",AB242*AC242),"")</f>
        <v/>
      </c>
      <c r="AF242" s="28">
        <f>IFERROR(IF(OR(A242="",AB242=""),"",AB242-R242),"")</f>
        <v/>
      </c>
      <c r="AG242" s="29">
        <f>IFERROR(IF(OR(A242="",AB242=""),"",IF(AD242-T242&lt;0,T242-AD242,AD242-T242)),"")</f>
        <v/>
      </c>
      <c r="AH242" s="51">
        <f>IFERROR(IF(OR(A242="",AE242=""),"",AE242-Z242),"")</f>
        <v/>
      </c>
      <c r="AI242" s="25">
        <f>IFERROR(IF(A242="","",IF(G242&gt;F242,"Check out-of-order rooms",IF(K242&gt;H242,"On the books exceeds sellable rooms",IF(R242&gt;H242,"Forecast exceeds sellable rooms",IF(AND(A242&lt;TODAY(),AB242=""),"Actual results missing","OK"))))),"")</f>
        <v/>
      </c>
    </row>
    <row r="243">
      <c r="A243" s="24" t="n"/>
      <c r="B243" s="25">
        <f>IFERROR(IF(A243="","",VLOOKUP(MOD(A243,7),'Assumptions'!$E$16:$F$22,2,0)),"")</f>
        <v/>
      </c>
      <c r="C243" s="25">
        <f>IFERROR(IF(A243="","",IF(A243&lt;TODAY(),"Past",IF(A243=TODAY(),"Today","Future"))),"")</f>
        <v/>
      </c>
      <c r="D243" s="26" t="n"/>
      <c r="E243" s="26" t="n"/>
      <c r="F243" s="27" t="n"/>
      <c r="G243" s="27" t="n"/>
      <c r="H243" s="28">
        <f>IFERROR(IF(A243="","",MAX(0,F243-G243)),"")</f>
        <v/>
      </c>
      <c r="I243" s="27" t="n"/>
      <c r="J243" s="27" t="n"/>
      <c r="K243" s="28">
        <f>IFERROR(IF(A243="","",I243+J243),"")</f>
        <v/>
      </c>
      <c r="L243" s="29">
        <f>IFERROR(IF(A243="","",K243/H243),"")</f>
        <v/>
      </c>
      <c r="M243" s="29">
        <f>IFERROR(IF(A243="","",VLOOKUP(B243,'Assumptions'!$A$16:$B$22,2,0)),"")</f>
        <v/>
      </c>
      <c r="N243" s="27" t="n"/>
      <c r="O243" s="27" t="n"/>
      <c r="P243" s="27" t="n"/>
      <c r="Q243" s="28">
        <f>IFERROR(IF(A243="","",MIN(H243,MAX(0,K243,ROUND(H243*M243,0)+N243+O243))),"")</f>
        <v/>
      </c>
      <c r="R243" s="28">
        <f>IFERROR(IF(A243="","",MIN(H243,MAX(0,IF(P243="",Q243,P243)))),"")</f>
        <v/>
      </c>
      <c r="S243" s="28">
        <f>IFERROR(IF(A243="","",MAX(0,R243-K243)),"")</f>
        <v/>
      </c>
      <c r="T243" s="29">
        <f>IFERROR(IF(A243="","",R243/H243),"")</f>
        <v/>
      </c>
      <c r="U243" s="29">
        <f>IFERROR(IF(A243="","",'Assumptions'!$B$5),"")</f>
        <v/>
      </c>
      <c r="V243" s="29">
        <f>IFERROR(IF(A243="","",T243-U243),"")</f>
        <v/>
      </c>
      <c r="W243" s="50" t="n"/>
      <c r="X243" s="50" t="n"/>
      <c r="Y243" s="51">
        <f>IFERROR(IF(A243="","",IF(X243&lt;&gt;"",X243,IF(W243&lt;&gt;"",W243,'Assumptions'!$B$8))),"")</f>
        <v/>
      </c>
      <c r="Z243" s="51">
        <f>IFERROR(IF(A243="","",R243*Y243),"")</f>
        <v/>
      </c>
      <c r="AA243" s="51">
        <f>IFERROR(IF(A243="","",Z243/H243),"")</f>
        <v/>
      </c>
      <c r="AB243" s="32" t="n"/>
      <c r="AC243" s="52" t="n"/>
      <c r="AD243" s="29">
        <f>IFERROR(IF(OR(A243="",AB243=""),"",AB243/H243),"")</f>
        <v/>
      </c>
      <c r="AE243" s="51">
        <f>IFERROR(IF(OR(A243="",AB243="",AC243=""),"",AB243*AC243),"")</f>
        <v/>
      </c>
      <c r="AF243" s="28">
        <f>IFERROR(IF(OR(A243="",AB243=""),"",AB243-R243),"")</f>
        <v/>
      </c>
      <c r="AG243" s="29">
        <f>IFERROR(IF(OR(A243="",AB243=""),"",IF(AD243-T243&lt;0,T243-AD243,AD243-T243)),"")</f>
        <v/>
      </c>
      <c r="AH243" s="51">
        <f>IFERROR(IF(OR(A243="",AE243=""),"",AE243-Z243),"")</f>
        <v/>
      </c>
      <c r="AI243" s="25">
        <f>IFERROR(IF(A243="","",IF(G243&gt;F243,"Check out-of-order rooms",IF(K243&gt;H243,"On the books exceeds sellable rooms",IF(R243&gt;H243,"Forecast exceeds sellable rooms",IF(AND(A243&lt;TODAY(),AB243=""),"Actual results missing","OK"))))),"")</f>
        <v/>
      </c>
    </row>
    <row r="244">
      <c r="A244" s="24" t="n"/>
      <c r="B244" s="25">
        <f>IFERROR(IF(A244="","",VLOOKUP(MOD(A244,7),'Assumptions'!$E$16:$F$22,2,0)),"")</f>
        <v/>
      </c>
      <c r="C244" s="25">
        <f>IFERROR(IF(A244="","",IF(A244&lt;TODAY(),"Past",IF(A244=TODAY(),"Today","Future"))),"")</f>
        <v/>
      </c>
      <c r="D244" s="26" t="n"/>
      <c r="E244" s="26" t="n"/>
      <c r="F244" s="27" t="n"/>
      <c r="G244" s="27" t="n"/>
      <c r="H244" s="28">
        <f>IFERROR(IF(A244="","",MAX(0,F244-G244)),"")</f>
        <v/>
      </c>
      <c r="I244" s="27" t="n"/>
      <c r="J244" s="27" t="n"/>
      <c r="K244" s="28">
        <f>IFERROR(IF(A244="","",I244+J244),"")</f>
        <v/>
      </c>
      <c r="L244" s="29">
        <f>IFERROR(IF(A244="","",K244/H244),"")</f>
        <v/>
      </c>
      <c r="M244" s="29">
        <f>IFERROR(IF(A244="","",VLOOKUP(B244,'Assumptions'!$A$16:$B$22,2,0)),"")</f>
        <v/>
      </c>
      <c r="N244" s="27" t="n"/>
      <c r="O244" s="27" t="n"/>
      <c r="P244" s="27" t="n"/>
      <c r="Q244" s="28">
        <f>IFERROR(IF(A244="","",MIN(H244,MAX(0,K244,ROUND(H244*M244,0)+N244+O244))),"")</f>
        <v/>
      </c>
      <c r="R244" s="28">
        <f>IFERROR(IF(A244="","",MIN(H244,MAX(0,IF(P244="",Q244,P244)))),"")</f>
        <v/>
      </c>
      <c r="S244" s="28">
        <f>IFERROR(IF(A244="","",MAX(0,R244-K244)),"")</f>
        <v/>
      </c>
      <c r="T244" s="29">
        <f>IFERROR(IF(A244="","",R244/H244),"")</f>
        <v/>
      </c>
      <c r="U244" s="29">
        <f>IFERROR(IF(A244="","",'Assumptions'!$B$5),"")</f>
        <v/>
      </c>
      <c r="V244" s="29">
        <f>IFERROR(IF(A244="","",T244-U244),"")</f>
        <v/>
      </c>
      <c r="W244" s="50" t="n"/>
      <c r="X244" s="50" t="n"/>
      <c r="Y244" s="51">
        <f>IFERROR(IF(A244="","",IF(X244&lt;&gt;"",X244,IF(W244&lt;&gt;"",W244,'Assumptions'!$B$8))),"")</f>
        <v/>
      </c>
      <c r="Z244" s="51">
        <f>IFERROR(IF(A244="","",R244*Y244),"")</f>
        <v/>
      </c>
      <c r="AA244" s="51">
        <f>IFERROR(IF(A244="","",Z244/H244),"")</f>
        <v/>
      </c>
      <c r="AB244" s="32" t="n"/>
      <c r="AC244" s="52" t="n"/>
      <c r="AD244" s="29">
        <f>IFERROR(IF(OR(A244="",AB244=""),"",AB244/H244),"")</f>
        <v/>
      </c>
      <c r="AE244" s="51">
        <f>IFERROR(IF(OR(A244="",AB244="",AC244=""),"",AB244*AC244),"")</f>
        <v/>
      </c>
      <c r="AF244" s="28">
        <f>IFERROR(IF(OR(A244="",AB244=""),"",AB244-R244),"")</f>
        <v/>
      </c>
      <c r="AG244" s="29">
        <f>IFERROR(IF(OR(A244="",AB244=""),"",IF(AD244-T244&lt;0,T244-AD244,AD244-T244)),"")</f>
        <v/>
      </c>
      <c r="AH244" s="51">
        <f>IFERROR(IF(OR(A244="",AE244=""),"",AE244-Z244),"")</f>
        <v/>
      </c>
      <c r="AI244" s="25">
        <f>IFERROR(IF(A244="","",IF(G244&gt;F244,"Check out-of-order rooms",IF(K244&gt;H244,"On the books exceeds sellable rooms",IF(R244&gt;H244,"Forecast exceeds sellable rooms",IF(AND(A244&lt;TODAY(),AB244=""),"Actual results missing","OK"))))),"")</f>
        <v/>
      </c>
    </row>
    <row r="245">
      <c r="A245" s="24" t="n"/>
      <c r="B245" s="25">
        <f>IFERROR(IF(A245="","",VLOOKUP(MOD(A245,7),'Assumptions'!$E$16:$F$22,2,0)),"")</f>
        <v/>
      </c>
      <c r="C245" s="25">
        <f>IFERROR(IF(A245="","",IF(A245&lt;TODAY(),"Past",IF(A245=TODAY(),"Today","Future"))),"")</f>
        <v/>
      </c>
      <c r="D245" s="26" t="n"/>
      <c r="E245" s="26" t="n"/>
      <c r="F245" s="27" t="n"/>
      <c r="G245" s="27" t="n"/>
      <c r="H245" s="28">
        <f>IFERROR(IF(A245="","",MAX(0,F245-G245)),"")</f>
        <v/>
      </c>
      <c r="I245" s="27" t="n"/>
      <c r="J245" s="27" t="n"/>
      <c r="K245" s="28">
        <f>IFERROR(IF(A245="","",I245+J245),"")</f>
        <v/>
      </c>
      <c r="L245" s="29">
        <f>IFERROR(IF(A245="","",K245/H245),"")</f>
        <v/>
      </c>
      <c r="M245" s="29">
        <f>IFERROR(IF(A245="","",VLOOKUP(B245,'Assumptions'!$A$16:$B$22,2,0)),"")</f>
        <v/>
      </c>
      <c r="N245" s="27" t="n"/>
      <c r="O245" s="27" t="n"/>
      <c r="P245" s="27" t="n"/>
      <c r="Q245" s="28">
        <f>IFERROR(IF(A245="","",MIN(H245,MAX(0,K245,ROUND(H245*M245,0)+N245+O245))),"")</f>
        <v/>
      </c>
      <c r="R245" s="28">
        <f>IFERROR(IF(A245="","",MIN(H245,MAX(0,IF(P245="",Q245,P245)))),"")</f>
        <v/>
      </c>
      <c r="S245" s="28">
        <f>IFERROR(IF(A245="","",MAX(0,R245-K245)),"")</f>
        <v/>
      </c>
      <c r="T245" s="29">
        <f>IFERROR(IF(A245="","",R245/H245),"")</f>
        <v/>
      </c>
      <c r="U245" s="29">
        <f>IFERROR(IF(A245="","",'Assumptions'!$B$5),"")</f>
        <v/>
      </c>
      <c r="V245" s="29">
        <f>IFERROR(IF(A245="","",T245-U245),"")</f>
        <v/>
      </c>
      <c r="W245" s="50" t="n"/>
      <c r="X245" s="50" t="n"/>
      <c r="Y245" s="51">
        <f>IFERROR(IF(A245="","",IF(X245&lt;&gt;"",X245,IF(W245&lt;&gt;"",W245,'Assumptions'!$B$8))),"")</f>
        <v/>
      </c>
      <c r="Z245" s="51">
        <f>IFERROR(IF(A245="","",R245*Y245),"")</f>
        <v/>
      </c>
      <c r="AA245" s="51">
        <f>IFERROR(IF(A245="","",Z245/H245),"")</f>
        <v/>
      </c>
      <c r="AB245" s="32" t="n"/>
      <c r="AC245" s="52" t="n"/>
      <c r="AD245" s="29">
        <f>IFERROR(IF(OR(A245="",AB245=""),"",AB245/H245),"")</f>
        <v/>
      </c>
      <c r="AE245" s="51">
        <f>IFERROR(IF(OR(A245="",AB245="",AC245=""),"",AB245*AC245),"")</f>
        <v/>
      </c>
      <c r="AF245" s="28">
        <f>IFERROR(IF(OR(A245="",AB245=""),"",AB245-R245),"")</f>
        <v/>
      </c>
      <c r="AG245" s="29">
        <f>IFERROR(IF(OR(A245="",AB245=""),"",IF(AD245-T245&lt;0,T245-AD245,AD245-T245)),"")</f>
        <v/>
      </c>
      <c r="AH245" s="51">
        <f>IFERROR(IF(OR(A245="",AE245=""),"",AE245-Z245),"")</f>
        <v/>
      </c>
      <c r="AI245" s="25">
        <f>IFERROR(IF(A245="","",IF(G245&gt;F245,"Check out-of-order rooms",IF(K245&gt;H245,"On the books exceeds sellable rooms",IF(R245&gt;H245,"Forecast exceeds sellable rooms",IF(AND(A245&lt;TODAY(),AB245=""),"Actual results missing","OK"))))),"")</f>
        <v/>
      </c>
    </row>
    <row r="246">
      <c r="A246" s="24" t="n"/>
      <c r="B246" s="25">
        <f>IFERROR(IF(A246="","",VLOOKUP(MOD(A246,7),'Assumptions'!$E$16:$F$22,2,0)),"")</f>
        <v/>
      </c>
      <c r="C246" s="25">
        <f>IFERROR(IF(A246="","",IF(A246&lt;TODAY(),"Past",IF(A246=TODAY(),"Today","Future"))),"")</f>
        <v/>
      </c>
      <c r="D246" s="26" t="n"/>
      <c r="E246" s="26" t="n"/>
      <c r="F246" s="27" t="n"/>
      <c r="G246" s="27" t="n"/>
      <c r="H246" s="28">
        <f>IFERROR(IF(A246="","",MAX(0,F246-G246)),"")</f>
        <v/>
      </c>
      <c r="I246" s="27" t="n"/>
      <c r="J246" s="27" t="n"/>
      <c r="K246" s="28">
        <f>IFERROR(IF(A246="","",I246+J246),"")</f>
        <v/>
      </c>
      <c r="L246" s="29">
        <f>IFERROR(IF(A246="","",K246/H246),"")</f>
        <v/>
      </c>
      <c r="M246" s="29">
        <f>IFERROR(IF(A246="","",VLOOKUP(B246,'Assumptions'!$A$16:$B$22,2,0)),"")</f>
        <v/>
      </c>
      <c r="N246" s="27" t="n"/>
      <c r="O246" s="27" t="n"/>
      <c r="P246" s="27" t="n"/>
      <c r="Q246" s="28">
        <f>IFERROR(IF(A246="","",MIN(H246,MAX(0,K246,ROUND(H246*M246,0)+N246+O246))),"")</f>
        <v/>
      </c>
      <c r="R246" s="28">
        <f>IFERROR(IF(A246="","",MIN(H246,MAX(0,IF(P246="",Q246,P246)))),"")</f>
        <v/>
      </c>
      <c r="S246" s="28">
        <f>IFERROR(IF(A246="","",MAX(0,R246-K246)),"")</f>
        <v/>
      </c>
      <c r="T246" s="29">
        <f>IFERROR(IF(A246="","",R246/H246),"")</f>
        <v/>
      </c>
      <c r="U246" s="29">
        <f>IFERROR(IF(A246="","",'Assumptions'!$B$5),"")</f>
        <v/>
      </c>
      <c r="V246" s="29">
        <f>IFERROR(IF(A246="","",T246-U246),"")</f>
        <v/>
      </c>
      <c r="W246" s="50" t="n"/>
      <c r="X246" s="50" t="n"/>
      <c r="Y246" s="51">
        <f>IFERROR(IF(A246="","",IF(X246&lt;&gt;"",X246,IF(W246&lt;&gt;"",W246,'Assumptions'!$B$8))),"")</f>
        <v/>
      </c>
      <c r="Z246" s="51">
        <f>IFERROR(IF(A246="","",R246*Y246),"")</f>
        <v/>
      </c>
      <c r="AA246" s="51">
        <f>IFERROR(IF(A246="","",Z246/H246),"")</f>
        <v/>
      </c>
      <c r="AB246" s="32" t="n"/>
      <c r="AC246" s="52" t="n"/>
      <c r="AD246" s="29">
        <f>IFERROR(IF(OR(A246="",AB246=""),"",AB246/H246),"")</f>
        <v/>
      </c>
      <c r="AE246" s="51">
        <f>IFERROR(IF(OR(A246="",AB246="",AC246=""),"",AB246*AC246),"")</f>
        <v/>
      </c>
      <c r="AF246" s="28">
        <f>IFERROR(IF(OR(A246="",AB246=""),"",AB246-R246),"")</f>
        <v/>
      </c>
      <c r="AG246" s="29">
        <f>IFERROR(IF(OR(A246="",AB246=""),"",IF(AD246-T246&lt;0,T246-AD246,AD246-T246)),"")</f>
        <v/>
      </c>
      <c r="AH246" s="51">
        <f>IFERROR(IF(OR(A246="",AE246=""),"",AE246-Z246),"")</f>
        <v/>
      </c>
      <c r="AI246" s="25">
        <f>IFERROR(IF(A246="","",IF(G246&gt;F246,"Check out-of-order rooms",IF(K246&gt;H246,"On the books exceeds sellable rooms",IF(R246&gt;H246,"Forecast exceeds sellable rooms",IF(AND(A246&lt;TODAY(),AB246=""),"Actual results missing","OK"))))),"")</f>
        <v/>
      </c>
    </row>
    <row r="247">
      <c r="A247" s="24" t="n"/>
      <c r="B247" s="25">
        <f>IFERROR(IF(A247="","",VLOOKUP(MOD(A247,7),'Assumptions'!$E$16:$F$22,2,0)),"")</f>
        <v/>
      </c>
      <c r="C247" s="25">
        <f>IFERROR(IF(A247="","",IF(A247&lt;TODAY(),"Past",IF(A247=TODAY(),"Today","Future"))),"")</f>
        <v/>
      </c>
      <c r="D247" s="26" t="n"/>
      <c r="E247" s="26" t="n"/>
      <c r="F247" s="27" t="n"/>
      <c r="G247" s="27" t="n"/>
      <c r="H247" s="28">
        <f>IFERROR(IF(A247="","",MAX(0,F247-G247)),"")</f>
        <v/>
      </c>
      <c r="I247" s="27" t="n"/>
      <c r="J247" s="27" t="n"/>
      <c r="K247" s="28">
        <f>IFERROR(IF(A247="","",I247+J247),"")</f>
        <v/>
      </c>
      <c r="L247" s="29">
        <f>IFERROR(IF(A247="","",K247/H247),"")</f>
        <v/>
      </c>
      <c r="M247" s="29">
        <f>IFERROR(IF(A247="","",VLOOKUP(B247,'Assumptions'!$A$16:$B$22,2,0)),"")</f>
        <v/>
      </c>
      <c r="N247" s="27" t="n"/>
      <c r="O247" s="27" t="n"/>
      <c r="P247" s="27" t="n"/>
      <c r="Q247" s="28">
        <f>IFERROR(IF(A247="","",MIN(H247,MAX(0,K247,ROUND(H247*M247,0)+N247+O247))),"")</f>
        <v/>
      </c>
      <c r="R247" s="28">
        <f>IFERROR(IF(A247="","",MIN(H247,MAX(0,IF(P247="",Q247,P247)))),"")</f>
        <v/>
      </c>
      <c r="S247" s="28">
        <f>IFERROR(IF(A247="","",MAX(0,R247-K247)),"")</f>
        <v/>
      </c>
      <c r="T247" s="29">
        <f>IFERROR(IF(A247="","",R247/H247),"")</f>
        <v/>
      </c>
      <c r="U247" s="29">
        <f>IFERROR(IF(A247="","",'Assumptions'!$B$5),"")</f>
        <v/>
      </c>
      <c r="V247" s="29">
        <f>IFERROR(IF(A247="","",T247-U247),"")</f>
        <v/>
      </c>
      <c r="W247" s="50" t="n"/>
      <c r="X247" s="50" t="n"/>
      <c r="Y247" s="51">
        <f>IFERROR(IF(A247="","",IF(X247&lt;&gt;"",X247,IF(W247&lt;&gt;"",W247,'Assumptions'!$B$8))),"")</f>
        <v/>
      </c>
      <c r="Z247" s="51">
        <f>IFERROR(IF(A247="","",R247*Y247),"")</f>
        <v/>
      </c>
      <c r="AA247" s="51">
        <f>IFERROR(IF(A247="","",Z247/H247),"")</f>
        <v/>
      </c>
      <c r="AB247" s="32" t="n"/>
      <c r="AC247" s="52" t="n"/>
      <c r="AD247" s="29">
        <f>IFERROR(IF(OR(A247="",AB247=""),"",AB247/H247),"")</f>
        <v/>
      </c>
      <c r="AE247" s="51">
        <f>IFERROR(IF(OR(A247="",AB247="",AC247=""),"",AB247*AC247),"")</f>
        <v/>
      </c>
      <c r="AF247" s="28">
        <f>IFERROR(IF(OR(A247="",AB247=""),"",AB247-R247),"")</f>
        <v/>
      </c>
      <c r="AG247" s="29">
        <f>IFERROR(IF(OR(A247="",AB247=""),"",IF(AD247-T247&lt;0,T247-AD247,AD247-T247)),"")</f>
        <v/>
      </c>
      <c r="AH247" s="51">
        <f>IFERROR(IF(OR(A247="",AE247=""),"",AE247-Z247),"")</f>
        <v/>
      </c>
      <c r="AI247" s="25">
        <f>IFERROR(IF(A247="","",IF(G247&gt;F247,"Check out-of-order rooms",IF(K247&gt;H247,"On the books exceeds sellable rooms",IF(R247&gt;H247,"Forecast exceeds sellable rooms",IF(AND(A247&lt;TODAY(),AB247=""),"Actual results missing","OK"))))),"")</f>
        <v/>
      </c>
    </row>
    <row r="248">
      <c r="A248" s="24" t="n"/>
      <c r="B248" s="25">
        <f>IFERROR(IF(A248="","",VLOOKUP(MOD(A248,7),'Assumptions'!$E$16:$F$22,2,0)),"")</f>
        <v/>
      </c>
      <c r="C248" s="25">
        <f>IFERROR(IF(A248="","",IF(A248&lt;TODAY(),"Past",IF(A248=TODAY(),"Today","Future"))),"")</f>
        <v/>
      </c>
      <c r="D248" s="26" t="n"/>
      <c r="E248" s="26" t="n"/>
      <c r="F248" s="27" t="n"/>
      <c r="G248" s="27" t="n"/>
      <c r="H248" s="28">
        <f>IFERROR(IF(A248="","",MAX(0,F248-G248)),"")</f>
        <v/>
      </c>
      <c r="I248" s="27" t="n"/>
      <c r="J248" s="27" t="n"/>
      <c r="K248" s="28">
        <f>IFERROR(IF(A248="","",I248+J248),"")</f>
        <v/>
      </c>
      <c r="L248" s="29">
        <f>IFERROR(IF(A248="","",K248/H248),"")</f>
        <v/>
      </c>
      <c r="M248" s="29">
        <f>IFERROR(IF(A248="","",VLOOKUP(B248,'Assumptions'!$A$16:$B$22,2,0)),"")</f>
        <v/>
      </c>
      <c r="N248" s="27" t="n"/>
      <c r="O248" s="27" t="n"/>
      <c r="P248" s="27" t="n"/>
      <c r="Q248" s="28">
        <f>IFERROR(IF(A248="","",MIN(H248,MAX(0,K248,ROUND(H248*M248,0)+N248+O248))),"")</f>
        <v/>
      </c>
      <c r="R248" s="28">
        <f>IFERROR(IF(A248="","",MIN(H248,MAX(0,IF(P248="",Q248,P248)))),"")</f>
        <v/>
      </c>
      <c r="S248" s="28">
        <f>IFERROR(IF(A248="","",MAX(0,R248-K248)),"")</f>
        <v/>
      </c>
      <c r="T248" s="29">
        <f>IFERROR(IF(A248="","",R248/H248),"")</f>
        <v/>
      </c>
      <c r="U248" s="29">
        <f>IFERROR(IF(A248="","",'Assumptions'!$B$5),"")</f>
        <v/>
      </c>
      <c r="V248" s="29">
        <f>IFERROR(IF(A248="","",T248-U248),"")</f>
        <v/>
      </c>
      <c r="W248" s="50" t="n"/>
      <c r="X248" s="50" t="n"/>
      <c r="Y248" s="51">
        <f>IFERROR(IF(A248="","",IF(X248&lt;&gt;"",X248,IF(W248&lt;&gt;"",W248,'Assumptions'!$B$8))),"")</f>
        <v/>
      </c>
      <c r="Z248" s="51">
        <f>IFERROR(IF(A248="","",R248*Y248),"")</f>
        <v/>
      </c>
      <c r="AA248" s="51">
        <f>IFERROR(IF(A248="","",Z248/H248),"")</f>
        <v/>
      </c>
      <c r="AB248" s="32" t="n"/>
      <c r="AC248" s="52" t="n"/>
      <c r="AD248" s="29">
        <f>IFERROR(IF(OR(A248="",AB248=""),"",AB248/H248),"")</f>
        <v/>
      </c>
      <c r="AE248" s="51">
        <f>IFERROR(IF(OR(A248="",AB248="",AC248=""),"",AB248*AC248),"")</f>
        <v/>
      </c>
      <c r="AF248" s="28">
        <f>IFERROR(IF(OR(A248="",AB248=""),"",AB248-R248),"")</f>
        <v/>
      </c>
      <c r="AG248" s="29">
        <f>IFERROR(IF(OR(A248="",AB248=""),"",IF(AD248-T248&lt;0,T248-AD248,AD248-T248)),"")</f>
        <v/>
      </c>
      <c r="AH248" s="51">
        <f>IFERROR(IF(OR(A248="",AE248=""),"",AE248-Z248),"")</f>
        <v/>
      </c>
      <c r="AI248" s="25">
        <f>IFERROR(IF(A248="","",IF(G248&gt;F248,"Check out-of-order rooms",IF(K248&gt;H248,"On the books exceeds sellable rooms",IF(R248&gt;H248,"Forecast exceeds sellable rooms",IF(AND(A248&lt;TODAY(),AB248=""),"Actual results missing","OK"))))),"")</f>
        <v/>
      </c>
    </row>
    <row r="249">
      <c r="A249" s="24" t="n"/>
      <c r="B249" s="25">
        <f>IFERROR(IF(A249="","",VLOOKUP(MOD(A249,7),'Assumptions'!$E$16:$F$22,2,0)),"")</f>
        <v/>
      </c>
      <c r="C249" s="25">
        <f>IFERROR(IF(A249="","",IF(A249&lt;TODAY(),"Past",IF(A249=TODAY(),"Today","Future"))),"")</f>
        <v/>
      </c>
      <c r="D249" s="26" t="n"/>
      <c r="E249" s="26" t="n"/>
      <c r="F249" s="27" t="n"/>
      <c r="G249" s="27" t="n"/>
      <c r="H249" s="28">
        <f>IFERROR(IF(A249="","",MAX(0,F249-G249)),"")</f>
        <v/>
      </c>
      <c r="I249" s="27" t="n"/>
      <c r="J249" s="27" t="n"/>
      <c r="K249" s="28">
        <f>IFERROR(IF(A249="","",I249+J249),"")</f>
        <v/>
      </c>
      <c r="L249" s="29">
        <f>IFERROR(IF(A249="","",K249/H249),"")</f>
        <v/>
      </c>
      <c r="M249" s="29">
        <f>IFERROR(IF(A249="","",VLOOKUP(B249,'Assumptions'!$A$16:$B$22,2,0)),"")</f>
        <v/>
      </c>
      <c r="N249" s="27" t="n"/>
      <c r="O249" s="27" t="n"/>
      <c r="P249" s="27" t="n"/>
      <c r="Q249" s="28">
        <f>IFERROR(IF(A249="","",MIN(H249,MAX(0,K249,ROUND(H249*M249,0)+N249+O249))),"")</f>
        <v/>
      </c>
      <c r="R249" s="28">
        <f>IFERROR(IF(A249="","",MIN(H249,MAX(0,IF(P249="",Q249,P249)))),"")</f>
        <v/>
      </c>
      <c r="S249" s="28">
        <f>IFERROR(IF(A249="","",MAX(0,R249-K249)),"")</f>
        <v/>
      </c>
      <c r="T249" s="29">
        <f>IFERROR(IF(A249="","",R249/H249),"")</f>
        <v/>
      </c>
      <c r="U249" s="29">
        <f>IFERROR(IF(A249="","",'Assumptions'!$B$5),"")</f>
        <v/>
      </c>
      <c r="V249" s="29">
        <f>IFERROR(IF(A249="","",T249-U249),"")</f>
        <v/>
      </c>
      <c r="W249" s="50" t="n"/>
      <c r="X249" s="50" t="n"/>
      <c r="Y249" s="51">
        <f>IFERROR(IF(A249="","",IF(X249&lt;&gt;"",X249,IF(W249&lt;&gt;"",W249,'Assumptions'!$B$8))),"")</f>
        <v/>
      </c>
      <c r="Z249" s="51">
        <f>IFERROR(IF(A249="","",R249*Y249),"")</f>
        <v/>
      </c>
      <c r="AA249" s="51">
        <f>IFERROR(IF(A249="","",Z249/H249),"")</f>
        <v/>
      </c>
      <c r="AB249" s="32" t="n"/>
      <c r="AC249" s="52" t="n"/>
      <c r="AD249" s="29">
        <f>IFERROR(IF(OR(A249="",AB249=""),"",AB249/H249),"")</f>
        <v/>
      </c>
      <c r="AE249" s="51">
        <f>IFERROR(IF(OR(A249="",AB249="",AC249=""),"",AB249*AC249),"")</f>
        <v/>
      </c>
      <c r="AF249" s="28">
        <f>IFERROR(IF(OR(A249="",AB249=""),"",AB249-R249),"")</f>
        <v/>
      </c>
      <c r="AG249" s="29">
        <f>IFERROR(IF(OR(A249="",AB249=""),"",IF(AD249-T249&lt;0,T249-AD249,AD249-T249)),"")</f>
        <v/>
      </c>
      <c r="AH249" s="51">
        <f>IFERROR(IF(OR(A249="",AE249=""),"",AE249-Z249),"")</f>
        <v/>
      </c>
      <c r="AI249" s="25">
        <f>IFERROR(IF(A249="","",IF(G249&gt;F249,"Check out-of-order rooms",IF(K249&gt;H249,"On the books exceeds sellable rooms",IF(R249&gt;H249,"Forecast exceeds sellable rooms",IF(AND(A249&lt;TODAY(),AB249=""),"Actual results missing","OK"))))),"")</f>
        <v/>
      </c>
    </row>
    <row r="250">
      <c r="A250" s="24" t="n"/>
      <c r="B250" s="25">
        <f>IFERROR(IF(A250="","",VLOOKUP(MOD(A250,7),'Assumptions'!$E$16:$F$22,2,0)),"")</f>
        <v/>
      </c>
      <c r="C250" s="25">
        <f>IFERROR(IF(A250="","",IF(A250&lt;TODAY(),"Past",IF(A250=TODAY(),"Today","Future"))),"")</f>
        <v/>
      </c>
      <c r="D250" s="26" t="n"/>
      <c r="E250" s="26" t="n"/>
      <c r="F250" s="27" t="n"/>
      <c r="G250" s="27" t="n"/>
      <c r="H250" s="28">
        <f>IFERROR(IF(A250="","",MAX(0,F250-G250)),"")</f>
        <v/>
      </c>
      <c r="I250" s="27" t="n"/>
      <c r="J250" s="27" t="n"/>
      <c r="K250" s="28">
        <f>IFERROR(IF(A250="","",I250+J250),"")</f>
        <v/>
      </c>
      <c r="L250" s="29">
        <f>IFERROR(IF(A250="","",K250/H250),"")</f>
        <v/>
      </c>
      <c r="M250" s="29">
        <f>IFERROR(IF(A250="","",VLOOKUP(B250,'Assumptions'!$A$16:$B$22,2,0)),"")</f>
        <v/>
      </c>
      <c r="N250" s="27" t="n"/>
      <c r="O250" s="27" t="n"/>
      <c r="P250" s="27" t="n"/>
      <c r="Q250" s="28">
        <f>IFERROR(IF(A250="","",MIN(H250,MAX(0,K250,ROUND(H250*M250,0)+N250+O250))),"")</f>
        <v/>
      </c>
      <c r="R250" s="28">
        <f>IFERROR(IF(A250="","",MIN(H250,MAX(0,IF(P250="",Q250,P250)))),"")</f>
        <v/>
      </c>
      <c r="S250" s="28">
        <f>IFERROR(IF(A250="","",MAX(0,R250-K250)),"")</f>
        <v/>
      </c>
      <c r="T250" s="29">
        <f>IFERROR(IF(A250="","",R250/H250),"")</f>
        <v/>
      </c>
      <c r="U250" s="29">
        <f>IFERROR(IF(A250="","",'Assumptions'!$B$5),"")</f>
        <v/>
      </c>
      <c r="V250" s="29">
        <f>IFERROR(IF(A250="","",T250-U250),"")</f>
        <v/>
      </c>
      <c r="W250" s="50" t="n"/>
      <c r="X250" s="50" t="n"/>
      <c r="Y250" s="51">
        <f>IFERROR(IF(A250="","",IF(X250&lt;&gt;"",X250,IF(W250&lt;&gt;"",W250,'Assumptions'!$B$8))),"")</f>
        <v/>
      </c>
      <c r="Z250" s="51">
        <f>IFERROR(IF(A250="","",R250*Y250),"")</f>
        <v/>
      </c>
      <c r="AA250" s="51">
        <f>IFERROR(IF(A250="","",Z250/H250),"")</f>
        <v/>
      </c>
      <c r="AB250" s="32" t="n"/>
      <c r="AC250" s="52" t="n"/>
      <c r="AD250" s="29">
        <f>IFERROR(IF(OR(A250="",AB250=""),"",AB250/H250),"")</f>
        <v/>
      </c>
      <c r="AE250" s="51">
        <f>IFERROR(IF(OR(A250="",AB250="",AC250=""),"",AB250*AC250),"")</f>
        <v/>
      </c>
      <c r="AF250" s="28">
        <f>IFERROR(IF(OR(A250="",AB250=""),"",AB250-R250),"")</f>
        <v/>
      </c>
      <c r="AG250" s="29">
        <f>IFERROR(IF(OR(A250="",AB250=""),"",IF(AD250-T250&lt;0,T250-AD250,AD250-T250)),"")</f>
        <v/>
      </c>
      <c r="AH250" s="51">
        <f>IFERROR(IF(OR(A250="",AE250=""),"",AE250-Z250),"")</f>
        <v/>
      </c>
      <c r="AI250" s="25">
        <f>IFERROR(IF(A250="","",IF(G250&gt;F250,"Check out-of-order rooms",IF(K250&gt;H250,"On the books exceeds sellable rooms",IF(R250&gt;H250,"Forecast exceeds sellable rooms",IF(AND(A250&lt;TODAY(),AB250=""),"Actual results missing","OK"))))),"")</f>
        <v/>
      </c>
    </row>
    <row r="251">
      <c r="A251" s="24" t="n"/>
      <c r="B251" s="25">
        <f>IFERROR(IF(A251="","",VLOOKUP(MOD(A251,7),'Assumptions'!$E$16:$F$22,2,0)),"")</f>
        <v/>
      </c>
      <c r="C251" s="25">
        <f>IFERROR(IF(A251="","",IF(A251&lt;TODAY(),"Past",IF(A251=TODAY(),"Today","Future"))),"")</f>
        <v/>
      </c>
      <c r="D251" s="26" t="n"/>
      <c r="E251" s="26" t="n"/>
      <c r="F251" s="27" t="n"/>
      <c r="G251" s="27" t="n"/>
      <c r="H251" s="28">
        <f>IFERROR(IF(A251="","",MAX(0,F251-G251)),"")</f>
        <v/>
      </c>
      <c r="I251" s="27" t="n"/>
      <c r="J251" s="27" t="n"/>
      <c r="K251" s="28">
        <f>IFERROR(IF(A251="","",I251+J251),"")</f>
        <v/>
      </c>
      <c r="L251" s="29">
        <f>IFERROR(IF(A251="","",K251/H251),"")</f>
        <v/>
      </c>
      <c r="M251" s="29">
        <f>IFERROR(IF(A251="","",VLOOKUP(B251,'Assumptions'!$A$16:$B$22,2,0)),"")</f>
        <v/>
      </c>
      <c r="N251" s="27" t="n"/>
      <c r="O251" s="27" t="n"/>
      <c r="P251" s="27" t="n"/>
      <c r="Q251" s="28">
        <f>IFERROR(IF(A251="","",MIN(H251,MAX(0,K251,ROUND(H251*M251,0)+N251+O251))),"")</f>
        <v/>
      </c>
      <c r="R251" s="28">
        <f>IFERROR(IF(A251="","",MIN(H251,MAX(0,IF(P251="",Q251,P251)))),"")</f>
        <v/>
      </c>
      <c r="S251" s="28">
        <f>IFERROR(IF(A251="","",MAX(0,R251-K251)),"")</f>
        <v/>
      </c>
      <c r="T251" s="29">
        <f>IFERROR(IF(A251="","",R251/H251),"")</f>
        <v/>
      </c>
      <c r="U251" s="29">
        <f>IFERROR(IF(A251="","",'Assumptions'!$B$5),"")</f>
        <v/>
      </c>
      <c r="V251" s="29">
        <f>IFERROR(IF(A251="","",T251-U251),"")</f>
        <v/>
      </c>
      <c r="W251" s="50" t="n"/>
      <c r="X251" s="50" t="n"/>
      <c r="Y251" s="51">
        <f>IFERROR(IF(A251="","",IF(X251&lt;&gt;"",X251,IF(W251&lt;&gt;"",W251,'Assumptions'!$B$8))),"")</f>
        <v/>
      </c>
      <c r="Z251" s="51">
        <f>IFERROR(IF(A251="","",R251*Y251),"")</f>
        <v/>
      </c>
      <c r="AA251" s="51">
        <f>IFERROR(IF(A251="","",Z251/H251),"")</f>
        <v/>
      </c>
      <c r="AB251" s="32" t="n"/>
      <c r="AC251" s="52" t="n"/>
      <c r="AD251" s="29">
        <f>IFERROR(IF(OR(A251="",AB251=""),"",AB251/H251),"")</f>
        <v/>
      </c>
      <c r="AE251" s="51">
        <f>IFERROR(IF(OR(A251="",AB251="",AC251=""),"",AB251*AC251),"")</f>
        <v/>
      </c>
      <c r="AF251" s="28">
        <f>IFERROR(IF(OR(A251="",AB251=""),"",AB251-R251),"")</f>
        <v/>
      </c>
      <c r="AG251" s="29">
        <f>IFERROR(IF(OR(A251="",AB251=""),"",IF(AD251-T251&lt;0,T251-AD251,AD251-T251)),"")</f>
        <v/>
      </c>
      <c r="AH251" s="51">
        <f>IFERROR(IF(OR(A251="",AE251=""),"",AE251-Z251),"")</f>
        <v/>
      </c>
      <c r="AI251" s="25">
        <f>IFERROR(IF(A251="","",IF(G251&gt;F251,"Check out-of-order rooms",IF(K251&gt;H251,"On the books exceeds sellable rooms",IF(R251&gt;H251,"Forecast exceeds sellable rooms",IF(AND(A251&lt;TODAY(),AB251=""),"Actual results missing","OK"))))),"")</f>
        <v/>
      </c>
    </row>
    <row r="252">
      <c r="A252" s="24" t="n"/>
      <c r="B252" s="25">
        <f>IFERROR(IF(A252="","",VLOOKUP(MOD(A252,7),'Assumptions'!$E$16:$F$22,2,0)),"")</f>
        <v/>
      </c>
      <c r="C252" s="25">
        <f>IFERROR(IF(A252="","",IF(A252&lt;TODAY(),"Past",IF(A252=TODAY(),"Today","Future"))),"")</f>
        <v/>
      </c>
      <c r="D252" s="26" t="n"/>
      <c r="E252" s="26" t="n"/>
      <c r="F252" s="27" t="n"/>
      <c r="G252" s="27" t="n"/>
      <c r="H252" s="28">
        <f>IFERROR(IF(A252="","",MAX(0,F252-G252)),"")</f>
        <v/>
      </c>
      <c r="I252" s="27" t="n"/>
      <c r="J252" s="27" t="n"/>
      <c r="K252" s="28">
        <f>IFERROR(IF(A252="","",I252+J252),"")</f>
        <v/>
      </c>
      <c r="L252" s="29">
        <f>IFERROR(IF(A252="","",K252/H252),"")</f>
        <v/>
      </c>
      <c r="M252" s="29">
        <f>IFERROR(IF(A252="","",VLOOKUP(B252,'Assumptions'!$A$16:$B$22,2,0)),"")</f>
        <v/>
      </c>
      <c r="N252" s="27" t="n"/>
      <c r="O252" s="27" t="n"/>
      <c r="P252" s="27" t="n"/>
      <c r="Q252" s="28">
        <f>IFERROR(IF(A252="","",MIN(H252,MAX(0,K252,ROUND(H252*M252,0)+N252+O252))),"")</f>
        <v/>
      </c>
      <c r="R252" s="28">
        <f>IFERROR(IF(A252="","",MIN(H252,MAX(0,IF(P252="",Q252,P252)))),"")</f>
        <v/>
      </c>
      <c r="S252" s="28">
        <f>IFERROR(IF(A252="","",MAX(0,R252-K252)),"")</f>
        <v/>
      </c>
      <c r="T252" s="29">
        <f>IFERROR(IF(A252="","",R252/H252),"")</f>
        <v/>
      </c>
      <c r="U252" s="29">
        <f>IFERROR(IF(A252="","",'Assumptions'!$B$5),"")</f>
        <v/>
      </c>
      <c r="V252" s="29">
        <f>IFERROR(IF(A252="","",T252-U252),"")</f>
        <v/>
      </c>
      <c r="W252" s="50" t="n"/>
      <c r="X252" s="50" t="n"/>
      <c r="Y252" s="51">
        <f>IFERROR(IF(A252="","",IF(X252&lt;&gt;"",X252,IF(W252&lt;&gt;"",W252,'Assumptions'!$B$8))),"")</f>
        <v/>
      </c>
      <c r="Z252" s="51">
        <f>IFERROR(IF(A252="","",R252*Y252),"")</f>
        <v/>
      </c>
      <c r="AA252" s="51">
        <f>IFERROR(IF(A252="","",Z252/H252),"")</f>
        <v/>
      </c>
      <c r="AB252" s="32" t="n"/>
      <c r="AC252" s="52" t="n"/>
      <c r="AD252" s="29">
        <f>IFERROR(IF(OR(A252="",AB252=""),"",AB252/H252),"")</f>
        <v/>
      </c>
      <c r="AE252" s="51">
        <f>IFERROR(IF(OR(A252="",AB252="",AC252=""),"",AB252*AC252),"")</f>
        <v/>
      </c>
      <c r="AF252" s="28">
        <f>IFERROR(IF(OR(A252="",AB252=""),"",AB252-R252),"")</f>
        <v/>
      </c>
      <c r="AG252" s="29">
        <f>IFERROR(IF(OR(A252="",AB252=""),"",IF(AD252-T252&lt;0,T252-AD252,AD252-T252)),"")</f>
        <v/>
      </c>
      <c r="AH252" s="51">
        <f>IFERROR(IF(OR(A252="",AE252=""),"",AE252-Z252),"")</f>
        <v/>
      </c>
      <c r="AI252" s="25">
        <f>IFERROR(IF(A252="","",IF(G252&gt;F252,"Check out-of-order rooms",IF(K252&gt;H252,"On the books exceeds sellable rooms",IF(R252&gt;H252,"Forecast exceeds sellable rooms",IF(AND(A252&lt;TODAY(),AB252=""),"Actual results missing","OK"))))),"")</f>
        <v/>
      </c>
    </row>
    <row r="253">
      <c r="A253" s="24" t="n"/>
      <c r="B253" s="25">
        <f>IFERROR(IF(A253="","",VLOOKUP(MOD(A253,7),'Assumptions'!$E$16:$F$22,2,0)),"")</f>
        <v/>
      </c>
      <c r="C253" s="25">
        <f>IFERROR(IF(A253="","",IF(A253&lt;TODAY(),"Past",IF(A253=TODAY(),"Today","Future"))),"")</f>
        <v/>
      </c>
      <c r="D253" s="26" t="n"/>
      <c r="E253" s="26" t="n"/>
      <c r="F253" s="27" t="n"/>
      <c r="G253" s="27" t="n"/>
      <c r="H253" s="28">
        <f>IFERROR(IF(A253="","",MAX(0,F253-G253)),"")</f>
        <v/>
      </c>
      <c r="I253" s="27" t="n"/>
      <c r="J253" s="27" t="n"/>
      <c r="K253" s="28">
        <f>IFERROR(IF(A253="","",I253+J253),"")</f>
        <v/>
      </c>
      <c r="L253" s="29">
        <f>IFERROR(IF(A253="","",K253/H253),"")</f>
        <v/>
      </c>
      <c r="M253" s="29">
        <f>IFERROR(IF(A253="","",VLOOKUP(B253,'Assumptions'!$A$16:$B$22,2,0)),"")</f>
        <v/>
      </c>
      <c r="N253" s="27" t="n"/>
      <c r="O253" s="27" t="n"/>
      <c r="P253" s="27" t="n"/>
      <c r="Q253" s="28">
        <f>IFERROR(IF(A253="","",MIN(H253,MAX(0,K253,ROUND(H253*M253,0)+N253+O253))),"")</f>
        <v/>
      </c>
      <c r="R253" s="28">
        <f>IFERROR(IF(A253="","",MIN(H253,MAX(0,IF(P253="",Q253,P253)))),"")</f>
        <v/>
      </c>
      <c r="S253" s="28">
        <f>IFERROR(IF(A253="","",MAX(0,R253-K253)),"")</f>
        <v/>
      </c>
      <c r="T253" s="29">
        <f>IFERROR(IF(A253="","",R253/H253),"")</f>
        <v/>
      </c>
      <c r="U253" s="29">
        <f>IFERROR(IF(A253="","",'Assumptions'!$B$5),"")</f>
        <v/>
      </c>
      <c r="V253" s="29">
        <f>IFERROR(IF(A253="","",T253-U253),"")</f>
        <v/>
      </c>
      <c r="W253" s="50" t="n"/>
      <c r="X253" s="50" t="n"/>
      <c r="Y253" s="51">
        <f>IFERROR(IF(A253="","",IF(X253&lt;&gt;"",X253,IF(W253&lt;&gt;"",W253,'Assumptions'!$B$8))),"")</f>
        <v/>
      </c>
      <c r="Z253" s="51">
        <f>IFERROR(IF(A253="","",R253*Y253),"")</f>
        <v/>
      </c>
      <c r="AA253" s="51">
        <f>IFERROR(IF(A253="","",Z253/H253),"")</f>
        <v/>
      </c>
      <c r="AB253" s="32" t="n"/>
      <c r="AC253" s="52" t="n"/>
      <c r="AD253" s="29">
        <f>IFERROR(IF(OR(A253="",AB253=""),"",AB253/H253),"")</f>
        <v/>
      </c>
      <c r="AE253" s="51">
        <f>IFERROR(IF(OR(A253="",AB253="",AC253=""),"",AB253*AC253),"")</f>
        <v/>
      </c>
      <c r="AF253" s="28">
        <f>IFERROR(IF(OR(A253="",AB253=""),"",AB253-R253),"")</f>
        <v/>
      </c>
      <c r="AG253" s="29">
        <f>IFERROR(IF(OR(A253="",AB253=""),"",IF(AD253-T253&lt;0,T253-AD253,AD253-T253)),"")</f>
        <v/>
      </c>
      <c r="AH253" s="51">
        <f>IFERROR(IF(OR(A253="",AE253=""),"",AE253-Z253),"")</f>
        <v/>
      </c>
      <c r="AI253" s="25">
        <f>IFERROR(IF(A253="","",IF(G253&gt;F253,"Check out-of-order rooms",IF(K253&gt;H253,"On the books exceeds sellable rooms",IF(R253&gt;H253,"Forecast exceeds sellable rooms",IF(AND(A253&lt;TODAY(),AB253=""),"Actual results missing","OK"))))),"")</f>
        <v/>
      </c>
    </row>
    <row r="254">
      <c r="A254" s="24" t="n"/>
      <c r="B254" s="25">
        <f>IFERROR(IF(A254="","",VLOOKUP(MOD(A254,7),'Assumptions'!$E$16:$F$22,2,0)),"")</f>
        <v/>
      </c>
      <c r="C254" s="25">
        <f>IFERROR(IF(A254="","",IF(A254&lt;TODAY(),"Past",IF(A254=TODAY(),"Today","Future"))),"")</f>
        <v/>
      </c>
      <c r="D254" s="26" t="n"/>
      <c r="E254" s="26" t="n"/>
      <c r="F254" s="27" t="n"/>
      <c r="G254" s="27" t="n"/>
      <c r="H254" s="28">
        <f>IFERROR(IF(A254="","",MAX(0,F254-G254)),"")</f>
        <v/>
      </c>
      <c r="I254" s="27" t="n"/>
      <c r="J254" s="27" t="n"/>
      <c r="K254" s="28">
        <f>IFERROR(IF(A254="","",I254+J254),"")</f>
        <v/>
      </c>
      <c r="L254" s="29">
        <f>IFERROR(IF(A254="","",K254/H254),"")</f>
        <v/>
      </c>
      <c r="M254" s="29">
        <f>IFERROR(IF(A254="","",VLOOKUP(B254,'Assumptions'!$A$16:$B$22,2,0)),"")</f>
        <v/>
      </c>
      <c r="N254" s="27" t="n"/>
      <c r="O254" s="27" t="n"/>
      <c r="P254" s="27" t="n"/>
      <c r="Q254" s="28">
        <f>IFERROR(IF(A254="","",MIN(H254,MAX(0,K254,ROUND(H254*M254,0)+N254+O254))),"")</f>
        <v/>
      </c>
      <c r="R254" s="28">
        <f>IFERROR(IF(A254="","",MIN(H254,MAX(0,IF(P254="",Q254,P254)))),"")</f>
        <v/>
      </c>
      <c r="S254" s="28">
        <f>IFERROR(IF(A254="","",MAX(0,R254-K254)),"")</f>
        <v/>
      </c>
      <c r="T254" s="29">
        <f>IFERROR(IF(A254="","",R254/H254),"")</f>
        <v/>
      </c>
      <c r="U254" s="29">
        <f>IFERROR(IF(A254="","",'Assumptions'!$B$5),"")</f>
        <v/>
      </c>
      <c r="V254" s="29">
        <f>IFERROR(IF(A254="","",T254-U254),"")</f>
        <v/>
      </c>
      <c r="W254" s="50" t="n"/>
      <c r="X254" s="50" t="n"/>
      <c r="Y254" s="51">
        <f>IFERROR(IF(A254="","",IF(X254&lt;&gt;"",X254,IF(W254&lt;&gt;"",W254,'Assumptions'!$B$8))),"")</f>
        <v/>
      </c>
      <c r="Z254" s="51">
        <f>IFERROR(IF(A254="","",R254*Y254),"")</f>
        <v/>
      </c>
      <c r="AA254" s="51">
        <f>IFERROR(IF(A254="","",Z254/H254),"")</f>
        <v/>
      </c>
      <c r="AB254" s="32" t="n"/>
      <c r="AC254" s="52" t="n"/>
      <c r="AD254" s="29">
        <f>IFERROR(IF(OR(A254="",AB254=""),"",AB254/H254),"")</f>
        <v/>
      </c>
      <c r="AE254" s="51">
        <f>IFERROR(IF(OR(A254="",AB254="",AC254=""),"",AB254*AC254),"")</f>
        <v/>
      </c>
      <c r="AF254" s="28">
        <f>IFERROR(IF(OR(A254="",AB254=""),"",AB254-R254),"")</f>
        <v/>
      </c>
      <c r="AG254" s="29">
        <f>IFERROR(IF(OR(A254="",AB254=""),"",IF(AD254-T254&lt;0,T254-AD254,AD254-T254)),"")</f>
        <v/>
      </c>
      <c r="AH254" s="51">
        <f>IFERROR(IF(OR(A254="",AE254=""),"",AE254-Z254),"")</f>
        <v/>
      </c>
      <c r="AI254" s="25">
        <f>IFERROR(IF(A254="","",IF(G254&gt;F254,"Check out-of-order rooms",IF(K254&gt;H254,"On the books exceeds sellable rooms",IF(R254&gt;H254,"Forecast exceeds sellable rooms",IF(AND(A254&lt;TODAY(),AB254=""),"Actual results missing","OK"))))),"")</f>
        <v/>
      </c>
    </row>
    <row r="255">
      <c r="A255" s="24" t="n"/>
      <c r="B255" s="25">
        <f>IFERROR(IF(A255="","",VLOOKUP(MOD(A255,7),'Assumptions'!$E$16:$F$22,2,0)),"")</f>
        <v/>
      </c>
      <c r="C255" s="25">
        <f>IFERROR(IF(A255="","",IF(A255&lt;TODAY(),"Past",IF(A255=TODAY(),"Today","Future"))),"")</f>
        <v/>
      </c>
      <c r="D255" s="26" t="n"/>
      <c r="E255" s="26" t="n"/>
      <c r="F255" s="27" t="n"/>
      <c r="G255" s="27" t="n"/>
      <c r="H255" s="28">
        <f>IFERROR(IF(A255="","",MAX(0,F255-G255)),"")</f>
        <v/>
      </c>
      <c r="I255" s="27" t="n"/>
      <c r="J255" s="27" t="n"/>
      <c r="K255" s="28">
        <f>IFERROR(IF(A255="","",I255+J255),"")</f>
        <v/>
      </c>
      <c r="L255" s="29">
        <f>IFERROR(IF(A255="","",K255/H255),"")</f>
        <v/>
      </c>
      <c r="M255" s="29">
        <f>IFERROR(IF(A255="","",VLOOKUP(B255,'Assumptions'!$A$16:$B$22,2,0)),"")</f>
        <v/>
      </c>
      <c r="N255" s="27" t="n"/>
      <c r="O255" s="27" t="n"/>
      <c r="P255" s="27" t="n"/>
      <c r="Q255" s="28">
        <f>IFERROR(IF(A255="","",MIN(H255,MAX(0,K255,ROUND(H255*M255,0)+N255+O255))),"")</f>
        <v/>
      </c>
      <c r="R255" s="28">
        <f>IFERROR(IF(A255="","",MIN(H255,MAX(0,IF(P255="",Q255,P255)))),"")</f>
        <v/>
      </c>
      <c r="S255" s="28">
        <f>IFERROR(IF(A255="","",MAX(0,R255-K255)),"")</f>
        <v/>
      </c>
      <c r="T255" s="29">
        <f>IFERROR(IF(A255="","",R255/H255),"")</f>
        <v/>
      </c>
      <c r="U255" s="29">
        <f>IFERROR(IF(A255="","",'Assumptions'!$B$5),"")</f>
        <v/>
      </c>
      <c r="V255" s="29">
        <f>IFERROR(IF(A255="","",T255-U255),"")</f>
        <v/>
      </c>
      <c r="W255" s="50" t="n"/>
      <c r="X255" s="50" t="n"/>
      <c r="Y255" s="51">
        <f>IFERROR(IF(A255="","",IF(X255&lt;&gt;"",X255,IF(W255&lt;&gt;"",W255,'Assumptions'!$B$8))),"")</f>
        <v/>
      </c>
      <c r="Z255" s="51">
        <f>IFERROR(IF(A255="","",R255*Y255),"")</f>
        <v/>
      </c>
      <c r="AA255" s="51">
        <f>IFERROR(IF(A255="","",Z255/H255),"")</f>
        <v/>
      </c>
      <c r="AB255" s="32" t="n"/>
      <c r="AC255" s="52" t="n"/>
      <c r="AD255" s="29">
        <f>IFERROR(IF(OR(A255="",AB255=""),"",AB255/H255),"")</f>
        <v/>
      </c>
      <c r="AE255" s="51">
        <f>IFERROR(IF(OR(A255="",AB255="",AC255=""),"",AB255*AC255),"")</f>
        <v/>
      </c>
      <c r="AF255" s="28">
        <f>IFERROR(IF(OR(A255="",AB255=""),"",AB255-R255),"")</f>
        <v/>
      </c>
      <c r="AG255" s="29">
        <f>IFERROR(IF(OR(A255="",AB255=""),"",IF(AD255-T255&lt;0,T255-AD255,AD255-T255)),"")</f>
        <v/>
      </c>
      <c r="AH255" s="51">
        <f>IFERROR(IF(OR(A255="",AE255=""),"",AE255-Z255),"")</f>
        <v/>
      </c>
      <c r="AI255" s="25">
        <f>IFERROR(IF(A255="","",IF(G255&gt;F255,"Check out-of-order rooms",IF(K255&gt;H255,"On the books exceeds sellable rooms",IF(R255&gt;H255,"Forecast exceeds sellable rooms",IF(AND(A255&lt;TODAY(),AB255=""),"Actual results missing","OK"))))),"")</f>
        <v/>
      </c>
    </row>
    <row r="256">
      <c r="A256" s="24" t="n"/>
      <c r="B256" s="25">
        <f>IFERROR(IF(A256="","",VLOOKUP(MOD(A256,7),'Assumptions'!$E$16:$F$22,2,0)),"")</f>
        <v/>
      </c>
      <c r="C256" s="25">
        <f>IFERROR(IF(A256="","",IF(A256&lt;TODAY(),"Past",IF(A256=TODAY(),"Today","Future"))),"")</f>
        <v/>
      </c>
      <c r="D256" s="26" t="n"/>
      <c r="E256" s="26" t="n"/>
      <c r="F256" s="27" t="n"/>
      <c r="G256" s="27" t="n"/>
      <c r="H256" s="28">
        <f>IFERROR(IF(A256="","",MAX(0,F256-G256)),"")</f>
        <v/>
      </c>
      <c r="I256" s="27" t="n"/>
      <c r="J256" s="27" t="n"/>
      <c r="K256" s="28">
        <f>IFERROR(IF(A256="","",I256+J256),"")</f>
        <v/>
      </c>
      <c r="L256" s="29">
        <f>IFERROR(IF(A256="","",K256/H256),"")</f>
        <v/>
      </c>
      <c r="M256" s="29">
        <f>IFERROR(IF(A256="","",VLOOKUP(B256,'Assumptions'!$A$16:$B$22,2,0)),"")</f>
        <v/>
      </c>
      <c r="N256" s="27" t="n"/>
      <c r="O256" s="27" t="n"/>
      <c r="P256" s="27" t="n"/>
      <c r="Q256" s="28">
        <f>IFERROR(IF(A256="","",MIN(H256,MAX(0,K256,ROUND(H256*M256,0)+N256+O256))),"")</f>
        <v/>
      </c>
      <c r="R256" s="28">
        <f>IFERROR(IF(A256="","",MIN(H256,MAX(0,IF(P256="",Q256,P256)))),"")</f>
        <v/>
      </c>
      <c r="S256" s="28">
        <f>IFERROR(IF(A256="","",MAX(0,R256-K256)),"")</f>
        <v/>
      </c>
      <c r="T256" s="29">
        <f>IFERROR(IF(A256="","",R256/H256),"")</f>
        <v/>
      </c>
      <c r="U256" s="29">
        <f>IFERROR(IF(A256="","",'Assumptions'!$B$5),"")</f>
        <v/>
      </c>
      <c r="V256" s="29">
        <f>IFERROR(IF(A256="","",T256-U256),"")</f>
        <v/>
      </c>
      <c r="W256" s="50" t="n"/>
      <c r="X256" s="50" t="n"/>
      <c r="Y256" s="51">
        <f>IFERROR(IF(A256="","",IF(X256&lt;&gt;"",X256,IF(W256&lt;&gt;"",W256,'Assumptions'!$B$8))),"")</f>
        <v/>
      </c>
      <c r="Z256" s="51">
        <f>IFERROR(IF(A256="","",R256*Y256),"")</f>
        <v/>
      </c>
      <c r="AA256" s="51">
        <f>IFERROR(IF(A256="","",Z256/H256),"")</f>
        <v/>
      </c>
      <c r="AB256" s="32" t="n"/>
      <c r="AC256" s="52" t="n"/>
      <c r="AD256" s="29">
        <f>IFERROR(IF(OR(A256="",AB256=""),"",AB256/H256),"")</f>
        <v/>
      </c>
      <c r="AE256" s="51">
        <f>IFERROR(IF(OR(A256="",AB256="",AC256=""),"",AB256*AC256),"")</f>
        <v/>
      </c>
      <c r="AF256" s="28">
        <f>IFERROR(IF(OR(A256="",AB256=""),"",AB256-R256),"")</f>
        <v/>
      </c>
      <c r="AG256" s="29">
        <f>IFERROR(IF(OR(A256="",AB256=""),"",IF(AD256-T256&lt;0,T256-AD256,AD256-T256)),"")</f>
        <v/>
      </c>
      <c r="AH256" s="51">
        <f>IFERROR(IF(OR(A256="",AE256=""),"",AE256-Z256),"")</f>
        <v/>
      </c>
      <c r="AI256" s="25">
        <f>IFERROR(IF(A256="","",IF(G256&gt;F256,"Check out-of-order rooms",IF(K256&gt;H256,"On the books exceeds sellable rooms",IF(R256&gt;H256,"Forecast exceeds sellable rooms",IF(AND(A256&lt;TODAY(),AB256=""),"Actual results missing","OK"))))),"")</f>
        <v/>
      </c>
    </row>
    <row r="257">
      <c r="A257" s="24" t="n"/>
      <c r="B257" s="25">
        <f>IFERROR(IF(A257="","",VLOOKUP(MOD(A257,7),'Assumptions'!$E$16:$F$22,2,0)),"")</f>
        <v/>
      </c>
      <c r="C257" s="25">
        <f>IFERROR(IF(A257="","",IF(A257&lt;TODAY(),"Past",IF(A257=TODAY(),"Today","Future"))),"")</f>
        <v/>
      </c>
      <c r="D257" s="26" t="n"/>
      <c r="E257" s="26" t="n"/>
      <c r="F257" s="27" t="n"/>
      <c r="G257" s="27" t="n"/>
      <c r="H257" s="28">
        <f>IFERROR(IF(A257="","",MAX(0,F257-G257)),"")</f>
        <v/>
      </c>
      <c r="I257" s="27" t="n"/>
      <c r="J257" s="27" t="n"/>
      <c r="K257" s="28">
        <f>IFERROR(IF(A257="","",I257+J257),"")</f>
        <v/>
      </c>
      <c r="L257" s="29">
        <f>IFERROR(IF(A257="","",K257/H257),"")</f>
        <v/>
      </c>
      <c r="M257" s="29">
        <f>IFERROR(IF(A257="","",VLOOKUP(B257,'Assumptions'!$A$16:$B$22,2,0)),"")</f>
        <v/>
      </c>
      <c r="N257" s="27" t="n"/>
      <c r="O257" s="27" t="n"/>
      <c r="P257" s="27" t="n"/>
      <c r="Q257" s="28">
        <f>IFERROR(IF(A257="","",MIN(H257,MAX(0,K257,ROUND(H257*M257,0)+N257+O257))),"")</f>
        <v/>
      </c>
      <c r="R257" s="28">
        <f>IFERROR(IF(A257="","",MIN(H257,MAX(0,IF(P257="",Q257,P257)))),"")</f>
        <v/>
      </c>
      <c r="S257" s="28">
        <f>IFERROR(IF(A257="","",MAX(0,R257-K257)),"")</f>
        <v/>
      </c>
      <c r="T257" s="29">
        <f>IFERROR(IF(A257="","",R257/H257),"")</f>
        <v/>
      </c>
      <c r="U257" s="29">
        <f>IFERROR(IF(A257="","",'Assumptions'!$B$5),"")</f>
        <v/>
      </c>
      <c r="V257" s="29">
        <f>IFERROR(IF(A257="","",T257-U257),"")</f>
        <v/>
      </c>
      <c r="W257" s="50" t="n"/>
      <c r="X257" s="50" t="n"/>
      <c r="Y257" s="51">
        <f>IFERROR(IF(A257="","",IF(X257&lt;&gt;"",X257,IF(W257&lt;&gt;"",W257,'Assumptions'!$B$8))),"")</f>
        <v/>
      </c>
      <c r="Z257" s="51">
        <f>IFERROR(IF(A257="","",R257*Y257),"")</f>
        <v/>
      </c>
      <c r="AA257" s="51">
        <f>IFERROR(IF(A257="","",Z257/H257),"")</f>
        <v/>
      </c>
      <c r="AB257" s="32" t="n"/>
      <c r="AC257" s="52" t="n"/>
      <c r="AD257" s="29">
        <f>IFERROR(IF(OR(A257="",AB257=""),"",AB257/H257),"")</f>
        <v/>
      </c>
      <c r="AE257" s="51">
        <f>IFERROR(IF(OR(A257="",AB257="",AC257=""),"",AB257*AC257),"")</f>
        <v/>
      </c>
      <c r="AF257" s="28">
        <f>IFERROR(IF(OR(A257="",AB257=""),"",AB257-R257),"")</f>
        <v/>
      </c>
      <c r="AG257" s="29">
        <f>IFERROR(IF(OR(A257="",AB257=""),"",IF(AD257-T257&lt;0,T257-AD257,AD257-T257)),"")</f>
        <v/>
      </c>
      <c r="AH257" s="51">
        <f>IFERROR(IF(OR(A257="",AE257=""),"",AE257-Z257),"")</f>
        <v/>
      </c>
      <c r="AI257" s="25">
        <f>IFERROR(IF(A257="","",IF(G257&gt;F257,"Check out-of-order rooms",IF(K257&gt;H257,"On the books exceeds sellable rooms",IF(R257&gt;H257,"Forecast exceeds sellable rooms",IF(AND(A257&lt;TODAY(),AB257=""),"Actual results missing","OK"))))),"")</f>
        <v/>
      </c>
    </row>
    <row r="258">
      <c r="A258" s="24" t="n"/>
      <c r="B258" s="25">
        <f>IFERROR(IF(A258="","",VLOOKUP(MOD(A258,7),'Assumptions'!$E$16:$F$22,2,0)),"")</f>
        <v/>
      </c>
      <c r="C258" s="25">
        <f>IFERROR(IF(A258="","",IF(A258&lt;TODAY(),"Past",IF(A258=TODAY(),"Today","Future"))),"")</f>
        <v/>
      </c>
      <c r="D258" s="26" t="n"/>
      <c r="E258" s="26" t="n"/>
      <c r="F258" s="27" t="n"/>
      <c r="G258" s="27" t="n"/>
      <c r="H258" s="28">
        <f>IFERROR(IF(A258="","",MAX(0,F258-G258)),"")</f>
        <v/>
      </c>
      <c r="I258" s="27" t="n"/>
      <c r="J258" s="27" t="n"/>
      <c r="K258" s="28">
        <f>IFERROR(IF(A258="","",I258+J258),"")</f>
        <v/>
      </c>
      <c r="L258" s="29">
        <f>IFERROR(IF(A258="","",K258/H258),"")</f>
        <v/>
      </c>
      <c r="M258" s="29">
        <f>IFERROR(IF(A258="","",VLOOKUP(B258,'Assumptions'!$A$16:$B$22,2,0)),"")</f>
        <v/>
      </c>
      <c r="N258" s="27" t="n"/>
      <c r="O258" s="27" t="n"/>
      <c r="P258" s="27" t="n"/>
      <c r="Q258" s="28">
        <f>IFERROR(IF(A258="","",MIN(H258,MAX(0,K258,ROUND(H258*M258,0)+N258+O258))),"")</f>
        <v/>
      </c>
      <c r="R258" s="28">
        <f>IFERROR(IF(A258="","",MIN(H258,MAX(0,IF(P258="",Q258,P258)))),"")</f>
        <v/>
      </c>
      <c r="S258" s="28">
        <f>IFERROR(IF(A258="","",MAX(0,R258-K258)),"")</f>
        <v/>
      </c>
      <c r="T258" s="29">
        <f>IFERROR(IF(A258="","",R258/H258),"")</f>
        <v/>
      </c>
      <c r="U258" s="29">
        <f>IFERROR(IF(A258="","",'Assumptions'!$B$5),"")</f>
        <v/>
      </c>
      <c r="V258" s="29">
        <f>IFERROR(IF(A258="","",T258-U258),"")</f>
        <v/>
      </c>
      <c r="W258" s="50" t="n"/>
      <c r="X258" s="50" t="n"/>
      <c r="Y258" s="51">
        <f>IFERROR(IF(A258="","",IF(X258&lt;&gt;"",X258,IF(W258&lt;&gt;"",W258,'Assumptions'!$B$8))),"")</f>
        <v/>
      </c>
      <c r="Z258" s="51">
        <f>IFERROR(IF(A258="","",R258*Y258),"")</f>
        <v/>
      </c>
      <c r="AA258" s="51">
        <f>IFERROR(IF(A258="","",Z258/H258),"")</f>
        <v/>
      </c>
      <c r="AB258" s="32" t="n"/>
      <c r="AC258" s="52" t="n"/>
      <c r="AD258" s="29">
        <f>IFERROR(IF(OR(A258="",AB258=""),"",AB258/H258),"")</f>
        <v/>
      </c>
      <c r="AE258" s="51">
        <f>IFERROR(IF(OR(A258="",AB258="",AC258=""),"",AB258*AC258),"")</f>
        <v/>
      </c>
      <c r="AF258" s="28">
        <f>IFERROR(IF(OR(A258="",AB258=""),"",AB258-R258),"")</f>
        <v/>
      </c>
      <c r="AG258" s="29">
        <f>IFERROR(IF(OR(A258="",AB258=""),"",IF(AD258-T258&lt;0,T258-AD258,AD258-T258)),"")</f>
        <v/>
      </c>
      <c r="AH258" s="51">
        <f>IFERROR(IF(OR(A258="",AE258=""),"",AE258-Z258),"")</f>
        <v/>
      </c>
      <c r="AI258" s="25">
        <f>IFERROR(IF(A258="","",IF(G258&gt;F258,"Check out-of-order rooms",IF(K258&gt;H258,"On the books exceeds sellable rooms",IF(R258&gt;H258,"Forecast exceeds sellable rooms",IF(AND(A258&lt;TODAY(),AB258=""),"Actual results missing","OK"))))),"")</f>
        <v/>
      </c>
    </row>
    <row r="259">
      <c r="A259" s="24" t="n"/>
      <c r="B259" s="25">
        <f>IFERROR(IF(A259="","",VLOOKUP(MOD(A259,7),'Assumptions'!$E$16:$F$22,2,0)),"")</f>
        <v/>
      </c>
      <c r="C259" s="25">
        <f>IFERROR(IF(A259="","",IF(A259&lt;TODAY(),"Past",IF(A259=TODAY(),"Today","Future"))),"")</f>
        <v/>
      </c>
      <c r="D259" s="26" t="n"/>
      <c r="E259" s="26" t="n"/>
      <c r="F259" s="27" t="n"/>
      <c r="G259" s="27" t="n"/>
      <c r="H259" s="28">
        <f>IFERROR(IF(A259="","",MAX(0,F259-G259)),"")</f>
        <v/>
      </c>
      <c r="I259" s="27" t="n"/>
      <c r="J259" s="27" t="n"/>
      <c r="K259" s="28">
        <f>IFERROR(IF(A259="","",I259+J259),"")</f>
        <v/>
      </c>
      <c r="L259" s="29">
        <f>IFERROR(IF(A259="","",K259/H259),"")</f>
        <v/>
      </c>
      <c r="M259" s="29">
        <f>IFERROR(IF(A259="","",VLOOKUP(B259,'Assumptions'!$A$16:$B$22,2,0)),"")</f>
        <v/>
      </c>
      <c r="N259" s="27" t="n"/>
      <c r="O259" s="27" t="n"/>
      <c r="P259" s="27" t="n"/>
      <c r="Q259" s="28">
        <f>IFERROR(IF(A259="","",MIN(H259,MAX(0,K259,ROUND(H259*M259,0)+N259+O259))),"")</f>
        <v/>
      </c>
      <c r="R259" s="28">
        <f>IFERROR(IF(A259="","",MIN(H259,MAX(0,IF(P259="",Q259,P259)))),"")</f>
        <v/>
      </c>
      <c r="S259" s="28">
        <f>IFERROR(IF(A259="","",MAX(0,R259-K259)),"")</f>
        <v/>
      </c>
      <c r="T259" s="29">
        <f>IFERROR(IF(A259="","",R259/H259),"")</f>
        <v/>
      </c>
      <c r="U259" s="29">
        <f>IFERROR(IF(A259="","",'Assumptions'!$B$5),"")</f>
        <v/>
      </c>
      <c r="V259" s="29">
        <f>IFERROR(IF(A259="","",T259-U259),"")</f>
        <v/>
      </c>
      <c r="W259" s="50" t="n"/>
      <c r="X259" s="50" t="n"/>
      <c r="Y259" s="51">
        <f>IFERROR(IF(A259="","",IF(X259&lt;&gt;"",X259,IF(W259&lt;&gt;"",W259,'Assumptions'!$B$8))),"")</f>
        <v/>
      </c>
      <c r="Z259" s="51">
        <f>IFERROR(IF(A259="","",R259*Y259),"")</f>
        <v/>
      </c>
      <c r="AA259" s="51">
        <f>IFERROR(IF(A259="","",Z259/H259),"")</f>
        <v/>
      </c>
      <c r="AB259" s="32" t="n"/>
      <c r="AC259" s="52" t="n"/>
      <c r="AD259" s="29">
        <f>IFERROR(IF(OR(A259="",AB259=""),"",AB259/H259),"")</f>
        <v/>
      </c>
      <c r="AE259" s="51">
        <f>IFERROR(IF(OR(A259="",AB259="",AC259=""),"",AB259*AC259),"")</f>
        <v/>
      </c>
      <c r="AF259" s="28">
        <f>IFERROR(IF(OR(A259="",AB259=""),"",AB259-R259),"")</f>
        <v/>
      </c>
      <c r="AG259" s="29">
        <f>IFERROR(IF(OR(A259="",AB259=""),"",IF(AD259-T259&lt;0,T259-AD259,AD259-T259)),"")</f>
        <v/>
      </c>
      <c r="AH259" s="51">
        <f>IFERROR(IF(OR(A259="",AE259=""),"",AE259-Z259),"")</f>
        <v/>
      </c>
      <c r="AI259" s="25">
        <f>IFERROR(IF(A259="","",IF(G259&gt;F259,"Check out-of-order rooms",IF(K259&gt;H259,"On the books exceeds sellable rooms",IF(R259&gt;H259,"Forecast exceeds sellable rooms",IF(AND(A259&lt;TODAY(),AB259=""),"Actual results missing","OK"))))),"")</f>
        <v/>
      </c>
    </row>
    <row r="260">
      <c r="A260" s="24" t="n"/>
      <c r="B260" s="25">
        <f>IFERROR(IF(A260="","",VLOOKUP(MOD(A260,7),'Assumptions'!$E$16:$F$22,2,0)),"")</f>
        <v/>
      </c>
      <c r="C260" s="25">
        <f>IFERROR(IF(A260="","",IF(A260&lt;TODAY(),"Past",IF(A260=TODAY(),"Today","Future"))),"")</f>
        <v/>
      </c>
      <c r="D260" s="26" t="n"/>
      <c r="E260" s="26" t="n"/>
      <c r="F260" s="27" t="n"/>
      <c r="G260" s="27" t="n"/>
      <c r="H260" s="28">
        <f>IFERROR(IF(A260="","",MAX(0,F260-G260)),"")</f>
        <v/>
      </c>
      <c r="I260" s="27" t="n"/>
      <c r="J260" s="27" t="n"/>
      <c r="K260" s="28">
        <f>IFERROR(IF(A260="","",I260+J260),"")</f>
        <v/>
      </c>
      <c r="L260" s="29">
        <f>IFERROR(IF(A260="","",K260/H260),"")</f>
        <v/>
      </c>
      <c r="M260" s="29">
        <f>IFERROR(IF(A260="","",VLOOKUP(B260,'Assumptions'!$A$16:$B$22,2,0)),"")</f>
        <v/>
      </c>
      <c r="N260" s="27" t="n"/>
      <c r="O260" s="27" t="n"/>
      <c r="P260" s="27" t="n"/>
      <c r="Q260" s="28">
        <f>IFERROR(IF(A260="","",MIN(H260,MAX(0,K260,ROUND(H260*M260,0)+N260+O260))),"")</f>
        <v/>
      </c>
      <c r="R260" s="28">
        <f>IFERROR(IF(A260="","",MIN(H260,MAX(0,IF(P260="",Q260,P260)))),"")</f>
        <v/>
      </c>
      <c r="S260" s="28">
        <f>IFERROR(IF(A260="","",MAX(0,R260-K260)),"")</f>
        <v/>
      </c>
      <c r="T260" s="29">
        <f>IFERROR(IF(A260="","",R260/H260),"")</f>
        <v/>
      </c>
      <c r="U260" s="29">
        <f>IFERROR(IF(A260="","",'Assumptions'!$B$5),"")</f>
        <v/>
      </c>
      <c r="V260" s="29">
        <f>IFERROR(IF(A260="","",T260-U260),"")</f>
        <v/>
      </c>
      <c r="W260" s="50" t="n"/>
      <c r="X260" s="50" t="n"/>
      <c r="Y260" s="51">
        <f>IFERROR(IF(A260="","",IF(X260&lt;&gt;"",X260,IF(W260&lt;&gt;"",W260,'Assumptions'!$B$8))),"")</f>
        <v/>
      </c>
      <c r="Z260" s="51">
        <f>IFERROR(IF(A260="","",R260*Y260),"")</f>
        <v/>
      </c>
      <c r="AA260" s="51">
        <f>IFERROR(IF(A260="","",Z260/H260),"")</f>
        <v/>
      </c>
      <c r="AB260" s="32" t="n"/>
      <c r="AC260" s="52" t="n"/>
      <c r="AD260" s="29">
        <f>IFERROR(IF(OR(A260="",AB260=""),"",AB260/H260),"")</f>
        <v/>
      </c>
      <c r="AE260" s="51">
        <f>IFERROR(IF(OR(A260="",AB260="",AC260=""),"",AB260*AC260),"")</f>
        <v/>
      </c>
      <c r="AF260" s="28">
        <f>IFERROR(IF(OR(A260="",AB260=""),"",AB260-R260),"")</f>
        <v/>
      </c>
      <c r="AG260" s="29">
        <f>IFERROR(IF(OR(A260="",AB260=""),"",IF(AD260-T260&lt;0,T260-AD260,AD260-T260)),"")</f>
        <v/>
      </c>
      <c r="AH260" s="51">
        <f>IFERROR(IF(OR(A260="",AE260=""),"",AE260-Z260),"")</f>
        <v/>
      </c>
      <c r="AI260" s="25">
        <f>IFERROR(IF(A260="","",IF(G260&gt;F260,"Check out-of-order rooms",IF(K260&gt;H260,"On the books exceeds sellable rooms",IF(R260&gt;H260,"Forecast exceeds sellable rooms",IF(AND(A260&lt;TODAY(),AB260=""),"Actual results missing","OK"))))),"")</f>
        <v/>
      </c>
    </row>
    <row r="261">
      <c r="A261" s="24" t="n"/>
      <c r="B261" s="25">
        <f>IFERROR(IF(A261="","",VLOOKUP(MOD(A261,7),'Assumptions'!$E$16:$F$22,2,0)),"")</f>
        <v/>
      </c>
      <c r="C261" s="25">
        <f>IFERROR(IF(A261="","",IF(A261&lt;TODAY(),"Past",IF(A261=TODAY(),"Today","Future"))),"")</f>
        <v/>
      </c>
      <c r="D261" s="26" t="n"/>
      <c r="E261" s="26" t="n"/>
      <c r="F261" s="27" t="n"/>
      <c r="G261" s="27" t="n"/>
      <c r="H261" s="28">
        <f>IFERROR(IF(A261="","",MAX(0,F261-G261)),"")</f>
        <v/>
      </c>
      <c r="I261" s="27" t="n"/>
      <c r="J261" s="27" t="n"/>
      <c r="K261" s="28">
        <f>IFERROR(IF(A261="","",I261+J261),"")</f>
        <v/>
      </c>
      <c r="L261" s="29">
        <f>IFERROR(IF(A261="","",K261/H261),"")</f>
        <v/>
      </c>
      <c r="M261" s="29">
        <f>IFERROR(IF(A261="","",VLOOKUP(B261,'Assumptions'!$A$16:$B$22,2,0)),"")</f>
        <v/>
      </c>
      <c r="N261" s="27" t="n"/>
      <c r="O261" s="27" t="n"/>
      <c r="P261" s="27" t="n"/>
      <c r="Q261" s="28">
        <f>IFERROR(IF(A261="","",MIN(H261,MAX(0,K261,ROUND(H261*M261,0)+N261+O261))),"")</f>
        <v/>
      </c>
      <c r="R261" s="28">
        <f>IFERROR(IF(A261="","",MIN(H261,MAX(0,IF(P261="",Q261,P261)))),"")</f>
        <v/>
      </c>
      <c r="S261" s="28">
        <f>IFERROR(IF(A261="","",MAX(0,R261-K261)),"")</f>
        <v/>
      </c>
      <c r="T261" s="29">
        <f>IFERROR(IF(A261="","",R261/H261),"")</f>
        <v/>
      </c>
      <c r="U261" s="29">
        <f>IFERROR(IF(A261="","",'Assumptions'!$B$5),"")</f>
        <v/>
      </c>
      <c r="V261" s="29">
        <f>IFERROR(IF(A261="","",T261-U261),"")</f>
        <v/>
      </c>
      <c r="W261" s="50" t="n"/>
      <c r="X261" s="50" t="n"/>
      <c r="Y261" s="51">
        <f>IFERROR(IF(A261="","",IF(X261&lt;&gt;"",X261,IF(W261&lt;&gt;"",W261,'Assumptions'!$B$8))),"")</f>
        <v/>
      </c>
      <c r="Z261" s="51">
        <f>IFERROR(IF(A261="","",R261*Y261),"")</f>
        <v/>
      </c>
      <c r="AA261" s="51">
        <f>IFERROR(IF(A261="","",Z261/H261),"")</f>
        <v/>
      </c>
      <c r="AB261" s="32" t="n"/>
      <c r="AC261" s="52" t="n"/>
      <c r="AD261" s="29">
        <f>IFERROR(IF(OR(A261="",AB261=""),"",AB261/H261),"")</f>
        <v/>
      </c>
      <c r="AE261" s="51">
        <f>IFERROR(IF(OR(A261="",AB261="",AC261=""),"",AB261*AC261),"")</f>
        <v/>
      </c>
      <c r="AF261" s="28">
        <f>IFERROR(IF(OR(A261="",AB261=""),"",AB261-R261),"")</f>
        <v/>
      </c>
      <c r="AG261" s="29">
        <f>IFERROR(IF(OR(A261="",AB261=""),"",IF(AD261-T261&lt;0,T261-AD261,AD261-T261)),"")</f>
        <v/>
      </c>
      <c r="AH261" s="51">
        <f>IFERROR(IF(OR(A261="",AE261=""),"",AE261-Z261),"")</f>
        <v/>
      </c>
      <c r="AI261" s="25">
        <f>IFERROR(IF(A261="","",IF(G261&gt;F261,"Check out-of-order rooms",IF(K261&gt;H261,"On the books exceeds sellable rooms",IF(R261&gt;H261,"Forecast exceeds sellable rooms",IF(AND(A261&lt;TODAY(),AB261=""),"Actual results missing","OK"))))),"")</f>
        <v/>
      </c>
    </row>
    <row r="262">
      <c r="A262" s="24" t="n"/>
      <c r="B262" s="25">
        <f>IFERROR(IF(A262="","",VLOOKUP(MOD(A262,7),'Assumptions'!$E$16:$F$22,2,0)),"")</f>
        <v/>
      </c>
      <c r="C262" s="25">
        <f>IFERROR(IF(A262="","",IF(A262&lt;TODAY(),"Past",IF(A262=TODAY(),"Today","Future"))),"")</f>
        <v/>
      </c>
      <c r="D262" s="26" t="n"/>
      <c r="E262" s="26" t="n"/>
      <c r="F262" s="27" t="n"/>
      <c r="G262" s="27" t="n"/>
      <c r="H262" s="28">
        <f>IFERROR(IF(A262="","",MAX(0,F262-G262)),"")</f>
        <v/>
      </c>
      <c r="I262" s="27" t="n"/>
      <c r="J262" s="27" t="n"/>
      <c r="K262" s="28">
        <f>IFERROR(IF(A262="","",I262+J262),"")</f>
        <v/>
      </c>
      <c r="L262" s="29">
        <f>IFERROR(IF(A262="","",K262/H262),"")</f>
        <v/>
      </c>
      <c r="M262" s="29">
        <f>IFERROR(IF(A262="","",VLOOKUP(B262,'Assumptions'!$A$16:$B$22,2,0)),"")</f>
        <v/>
      </c>
      <c r="N262" s="27" t="n"/>
      <c r="O262" s="27" t="n"/>
      <c r="P262" s="27" t="n"/>
      <c r="Q262" s="28">
        <f>IFERROR(IF(A262="","",MIN(H262,MAX(0,K262,ROUND(H262*M262,0)+N262+O262))),"")</f>
        <v/>
      </c>
      <c r="R262" s="28">
        <f>IFERROR(IF(A262="","",MIN(H262,MAX(0,IF(P262="",Q262,P262)))),"")</f>
        <v/>
      </c>
      <c r="S262" s="28">
        <f>IFERROR(IF(A262="","",MAX(0,R262-K262)),"")</f>
        <v/>
      </c>
      <c r="T262" s="29">
        <f>IFERROR(IF(A262="","",R262/H262),"")</f>
        <v/>
      </c>
      <c r="U262" s="29">
        <f>IFERROR(IF(A262="","",'Assumptions'!$B$5),"")</f>
        <v/>
      </c>
      <c r="V262" s="29">
        <f>IFERROR(IF(A262="","",T262-U262),"")</f>
        <v/>
      </c>
      <c r="W262" s="50" t="n"/>
      <c r="X262" s="50" t="n"/>
      <c r="Y262" s="51">
        <f>IFERROR(IF(A262="","",IF(X262&lt;&gt;"",X262,IF(W262&lt;&gt;"",W262,'Assumptions'!$B$8))),"")</f>
        <v/>
      </c>
      <c r="Z262" s="51">
        <f>IFERROR(IF(A262="","",R262*Y262),"")</f>
        <v/>
      </c>
      <c r="AA262" s="51">
        <f>IFERROR(IF(A262="","",Z262/H262),"")</f>
        <v/>
      </c>
      <c r="AB262" s="32" t="n"/>
      <c r="AC262" s="52" t="n"/>
      <c r="AD262" s="29">
        <f>IFERROR(IF(OR(A262="",AB262=""),"",AB262/H262),"")</f>
        <v/>
      </c>
      <c r="AE262" s="51">
        <f>IFERROR(IF(OR(A262="",AB262="",AC262=""),"",AB262*AC262),"")</f>
        <v/>
      </c>
      <c r="AF262" s="28">
        <f>IFERROR(IF(OR(A262="",AB262=""),"",AB262-R262),"")</f>
        <v/>
      </c>
      <c r="AG262" s="29">
        <f>IFERROR(IF(OR(A262="",AB262=""),"",IF(AD262-T262&lt;0,T262-AD262,AD262-T262)),"")</f>
        <v/>
      </c>
      <c r="AH262" s="51">
        <f>IFERROR(IF(OR(A262="",AE262=""),"",AE262-Z262),"")</f>
        <v/>
      </c>
      <c r="AI262" s="25">
        <f>IFERROR(IF(A262="","",IF(G262&gt;F262,"Check out-of-order rooms",IF(K262&gt;H262,"On the books exceeds sellable rooms",IF(R262&gt;H262,"Forecast exceeds sellable rooms",IF(AND(A262&lt;TODAY(),AB262=""),"Actual results missing","OK"))))),"")</f>
        <v/>
      </c>
    </row>
    <row r="263">
      <c r="A263" s="24" t="n"/>
      <c r="B263" s="25">
        <f>IFERROR(IF(A263="","",VLOOKUP(MOD(A263,7),'Assumptions'!$E$16:$F$22,2,0)),"")</f>
        <v/>
      </c>
      <c r="C263" s="25">
        <f>IFERROR(IF(A263="","",IF(A263&lt;TODAY(),"Past",IF(A263=TODAY(),"Today","Future"))),"")</f>
        <v/>
      </c>
      <c r="D263" s="26" t="n"/>
      <c r="E263" s="26" t="n"/>
      <c r="F263" s="27" t="n"/>
      <c r="G263" s="27" t="n"/>
      <c r="H263" s="28">
        <f>IFERROR(IF(A263="","",MAX(0,F263-G263)),"")</f>
        <v/>
      </c>
      <c r="I263" s="27" t="n"/>
      <c r="J263" s="27" t="n"/>
      <c r="K263" s="28">
        <f>IFERROR(IF(A263="","",I263+J263),"")</f>
        <v/>
      </c>
      <c r="L263" s="29">
        <f>IFERROR(IF(A263="","",K263/H263),"")</f>
        <v/>
      </c>
      <c r="M263" s="29">
        <f>IFERROR(IF(A263="","",VLOOKUP(B263,'Assumptions'!$A$16:$B$22,2,0)),"")</f>
        <v/>
      </c>
      <c r="N263" s="27" t="n"/>
      <c r="O263" s="27" t="n"/>
      <c r="P263" s="27" t="n"/>
      <c r="Q263" s="28">
        <f>IFERROR(IF(A263="","",MIN(H263,MAX(0,K263,ROUND(H263*M263,0)+N263+O263))),"")</f>
        <v/>
      </c>
      <c r="R263" s="28">
        <f>IFERROR(IF(A263="","",MIN(H263,MAX(0,IF(P263="",Q263,P263)))),"")</f>
        <v/>
      </c>
      <c r="S263" s="28">
        <f>IFERROR(IF(A263="","",MAX(0,R263-K263)),"")</f>
        <v/>
      </c>
      <c r="T263" s="29">
        <f>IFERROR(IF(A263="","",R263/H263),"")</f>
        <v/>
      </c>
      <c r="U263" s="29">
        <f>IFERROR(IF(A263="","",'Assumptions'!$B$5),"")</f>
        <v/>
      </c>
      <c r="V263" s="29">
        <f>IFERROR(IF(A263="","",T263-U263),"")</f>
        <v/>
      </c>
      <c r="W263" s="50" t="n"/>
      <c r="X263" s="50" t="n"/>
      <c r="Y263" s="51">
        <f>IFERROR(IF(A263="","",IF(X263&lt;&gt;"",X263,IF(W263&lt;&gt;"",W263,'Assumptions'!$B$8))),"")</f>
        <v/>
      </c>
      <c r="Z263" s="51">
        <f>IFERROR(IF(A263="","",R263*Y263),"")</f>
        <v/>
      </c>
      <c r="AA263" s="51">
        <f>IFERROR(IF(A263="","",Z263/H263),"")</f>
        <v/>
      </c>
      <c r="AB263" s="32" t="n"/>
      <c r="AC263" s="52" t="n"/>
      <c r="AD263" s="29">
        <f>IFERROR(IF(OR(A263="",AB263=""),"",AB263/H263),"")</f>
        <v/>
      </c>
      <c r="AE263" s="51">
        <f>IFERROR(IF(OR(A263="",AB263="",AC263=""),"",AB263*AC263),"")</f>
        <v/>
      </c>
      <c r="AF263" s="28">
        <f>IFERROR(IF(OR(A263="",AB263=""),"",AB263-R263),"")</f>
        <v/>
      </c>
      <c r="AG263" s="29">
        <f>IFERROR(IF(OR(A263="",AB263=""),"",IF(AD263-T263&lt;0,T263-AD263,AD263-T263)),"")</f>
        <v/>
      </c>
      <c r="AH263" s="51">
        <f>IFERROR(IF(OR(A263="",AE263=""),"",AE263-Z263),"")</f>
        <v/>
      </c>
      <c r="AI263" s="25">
        <f>IFERROR(IF(A263="","",IF(G263&gt;F263,"Check out-of-order rooms",IF(K263&gt;H263,"On the books exceeds sellable rooms",IF(R263&gt;H263,"Forecast exceeds sellable rooms",IF(AND(A263&lt;TODAY(),AB263=""),"Actual results missing","OK"))))),"")</f>
        <v/>
      </c>
    </row>
    <row r="264">
      <c r="A264" s="24" t="n"/>
      <c r="B264" s="25">
        <f>IFERROR(IF(A264="","",VLOOKUP(MOD(A264,7),'Assumptions'!$E$16:$F$22,2,0)),"")</f>
        <v/>
      </c>
      <c r="C264" s="25">
        <f>IFERROR(IF(A264="","",IF(A264&lt;TODAY(),"Past",IF(A264=TODAY(),"Today","Future"))),"")</f>
        <v/>
      </c>
      <c r="D264" s="26" t="n"/>
      <c r="E264" s="26" t="n"/>
      <c r="F264" s="27" t="n"/>
      <c r="G264" s="27" t="n"/>
      <c r="H264" s="28">
        <f>IFERROR(IF(A264="","",MAX(0,F264-G264)),"")</f>
        <v/>
      </c>
      <c r="I264" s="27" t="n"/>
      <c r="J264" s="27" t="n"/>
      <c r="K264" s="28">
        <f>IFERROR(IF(A264="","",I264+J264),"")</f>
        <v/>
      </c>
      <c r="L264" s="29">
        <f>IFERROR(IF(A264="","",K264/H264),"")</f>
        <v/>
      </c>
      <c r="M264" s="29">
        <f>IFERROR(IF(A264="","",VLOOKUP(B264,'Assumptions'!$A$16:$B$22,2,0)),"")</f>
        <v/>
      </c>
      <c r="N264" s="27" t="n"/>
      <c r="O264" s="27" t="n"/>
      <c r="P264" s="27" t="n"/>
      <c r="Q264" s="28">
        <f>IFERROR(IF(A264="","",MIN(H264,MAX(0,K264,ROUND(H264*M264,0)+N264+O264))),"")</f>
        <v/>
      </c>
      <c r="R264" s="28">
        <f>IFERROR(IF(A264="","",MIN(H264,MAX(0,IF(P264="",Q264,P264)))),"")</f>
        <v/>
      </c>
      <c r="S264" s="28">
        <f>IFERROR(IF(A264="","",MAX(0,R264-K264)),"")</f>
        <v/>
      </c>
      <c r="T264" s="29">
        <f>IFERROR(IF(A264="","",R264/H264),"")</f>
        <v/>
      </c>
      <c r="U264" s="29">
        <f>IFERROR(IF(A264="","",'Assumptions'!$B$5),"")</f>
        <v/>
      </c>
      <c r="V264" s="29">
        <f>IFERROR(IF(A264="","",T264-U264),"")</f>
        <v/>
      </c>
      <c r="W264" s="50" t="n"/>
      <c r="X264" s="50" t="n"/>
      <c r="Y264" s="51">
        <f>IFERROR(IF(A264="","",IF(X264&lt;&gt;"",X264,IF(W264&lt;&gt;"",W264,'Assumptions'!$B$8))),"")</f>
        <v/>
      </c>
      <c r="Z264" s="51">
        <f>IFERROR(IF(A264="","",R264*Y264),"")</f>
        <v/>
      </c>
      <c r="AA264" s="51">
        <f>IFERROR(IF(A264="","",Z264/H264),"")</f>
        <v/>
      </c>
      <c r="AB264" s="32" t="n"/>
      <c r="AC264" s="52" t="n"/>
      <c r="AD264" s="29">
        <f>IFERROR(IF(OR(A264="",AB264=""),"",AB264/H264),"")</f>
        <v/>
      </c>
      <c r="AE264" s="51">
        <f>IFERROR(IF(OR(A264="",AB264="",AC264=""),"",AB264*AC264),"")</f>
        <v/>
      </c>
      <c r="AF264" s="28">
        <f>IFERROR(IF(OR(A264="",AB264=""),"",AB264-R264),"")</f>
        <v/>
      </c>
      <c r="AG264" s="29">
        <f>IFERROR(IF(OR(A264="",AB264=""),"",IF(AD264-T264&lt;0,T264-AD264,AD264-T264)),"")</f>
        <v/>
      </c>
      <c r="AH264" s="51">
        <f>IFERROR(IF(OR(A264="",AE264=""),"",AE264-Z264),"")</f>
        <v/>
      </c>
      <c r="AI264" s="25">
        <f>IFERROR(IF(A264="","",IF(G264&gt;F264,"Check out-of-order rooms",IF(K264&gt;H264,"On the books exceeds sellable rooms",IF(R264&gt;H264,"Forecast exceeds sellable rooms",IF(AND(A264&lt;TODAY(),AB264=""),"Actual results missing","OK"))))),"")</f>
        <v/>
      </c>
    </row>
    <row r="265">
      <c r="A265" s="24" t="n"/>
      <c r="B265" s="25">
        <f>IFERROR(IF(A265="","",VLOOKUP(MOD(A265,7),'Assumptions'!$E$16:$F$22,2,0)),"")</f>
        <v/>
      </c>
      <c r="C265" s="25">
        <f>IFERROR(IF(A265="","",IF(A265&lt;TODAY(),"Past",IF(A265=TODAY(),"Today","Future"))),"")</f>
        <v/>
      </c>
      <c r="D265" s="26" t="n"/>
      <c r="E265" s="26" t="n"/>
      <c r="F265" s="27" t="n"/>
      <c r="G265" s="27" t="n"/>
      <c r="H265" s="28">
        <f>IFERROR(IF(A265="","",MAX(0,F265-G265)),"")</f>
        <v/>
      </c>
      <c r="I265" s="27" t="n"/>
      <c r="J265" s="27" t="n"/>
      <c r="K265" s="28">
        <f>IFERROR(IF(A265="","",I265+J265),"")</f>
        <v/>
      </c>
      <c r="L265" s="29">
        <f>IFERROR(IF(A265="","",K265/H265),"")</f>
        <v/>
      </c>
      <c r="M265" s="29">
        <f>IFERROR(IF(A265="","",VLOOKUP(B265,'Assumptions'!$A$16:$B$22,2,0)),"")</f>
        <v/>
      </c>
      <c r="N265" s="27" t="n"/>
      <c r="O265" s="27" t="n"/>
      <c r="P265" s="27" t="n"/>
      <c r="Q265" s="28">
        <f>IFERROR(IF(A265="","",MIN(H265,MAX(0,K265,ROUND(H265*M265,0)+N265+O265))),"")</f>
        <v/>
      </c>
      <c r="R265" s="28">
        <f>IFERROR(IF(A265="","",MIN(H265,MAX(0,IF(P265="",Q265,P265)))),"")</f>
        <v/>
      </c>
      <c r="S265" s="28">
        <f>IFERROR(IF(A265="","",MAX(0,R265-K265)),"")</f>
        <v/>
      </c>
      <c r="T265" s="29">
        <f>IFERROR(IF(A265="","",R265/H265),"")</f>
        <v/>
      </c>
      <c r="U265" s="29">
        <f>IFERROR(IF(A265="","",'Assumptions'!$B$5),"")</f>
        <v/>
      </c>
      <c r="V265" s="29">
        <f>IFERROR(IF(A265="","",T265-U265),"")</f>
        <v/>
      </c>
      <c r="W265" s="50" t="n"/>
      <c r="X265" s="50" t="n"/>
      <c r="Y265" s="51">
        <f>IFERROR(IF(A265="","",IF(X265&lt;&gt;"",X265,IF(W265&lt;&gt;"",W265,'Assumptions'!$B$8))),"")</f>
        <v/>
      </c>
      <c r="Z265" s="51">
        <f>IFERROR(IF(A265="","",R265*Y265),"")</f>
        <v/>
      </c>
      <c r="AA265" s="51">
        <f>IFERROR(IF(A265="","",Z265/H265),"")</f>
        <v/>
      </c>
      <c r="AB265" s="32" t="n"/>
      <c r="AC265" s="52" t="n"/>
      <c r="AD265" s="29">
        <f>IFERROR(IF(OR(A265="",AB265=""),"",AB265/H265),"")</f>
        <v/>
      </c>
      <c r="AE265" s="51">
        <f>IFERROR(IF(OR(A265="",AB265="",AC265=""),"",AB265*AC265),"")</f>
        <v/>
      </c>
      <c r="AF265" s="28">
        <f>IFERROR(IF(OR(A265="",AB265=""),"",AB265-R265),"")</f>
        <v/>
      </c>
      <c r="AG265" s="29">
        <f>IFERROR(IF(OR(A265="",AB265=""),"",IF(AD265-T265&lt;0,T265-AD265,AD265-T265)),"")</f>
        <v/>
      </c>
      <c r="AH265" s="51">
        <f>IFERROR(IF(OR(A265="",AE265=""),"",AE265-Z265),"")</f>
        <v/>
      </c>
      <c r="AI265" s="25">
        <f>IFERROR(IF(A265="","",IF(G265&gt;F265,"Check out-of-order rooms",IF(K265&gt;H265,"On the books exceeds sellable rooms",IF(R265&gt;H265,"Forecast exceeds sellable rooms",IF(AND(A265&lt;TODAY(),AB265=""),"Actual results missing","OK"))))),"")</f>
        <v/>
      </c>
    </row>
    <row r="266">
      <c r="A266" s="24" t="n"/>
      <c r="B266" s="25">
        <f>IFERROR(IF(A266="","",VLOOKUP(MOD(A266,7),'Assumptions'!$E$16:$F$22,2,0)),"")</f>
        <v/>
      </c>
      <c r="C266" s="25">
        <f>IFERROR(IF(A266="","",IF(A266&lt;TODAY(),"Past",IF(A266=TODAY(),"Today","Future"))),"")</f>
        <v/>
      </c>
      <c r="D266" s="26" t="n"/>
      <c r="E266" s="26" t="n"/>
      <c r="F266" s="27" t="n"/>
      <c r="G266" s="27" t="n"/>
      <c r="H266" s="28">
        <f>IFERROR(IF(A266="","",MAX(0,F266-G266)),"")</f>
        <v/>
      </c>
      <c r="I266" s="27" t="n"/>
      <c r="J266" s="27" t="n"/>
      <c r="K266" s="28">
        <f>IFERROR(IF(A266="","",I266+J266),"")</f>
        <v/>
      </c>
      <c r="L266" s="29">
        <f>IFERROR(IF(A266="","",K266/H266),"")</f>
        <v/>
      </c>
      <c r="M266" s="29">
        <f>IFERROR(IF(A266="","",VLOOKUP(B266,'Assumptions'!$A$16:$B$22,2,0)),"")</f>
        <v/>
      </c>
      <c r="N266" s="27" t="n"/>
      <c r="O266" s="27" t="n"/>
      <c r="P266" s="27" t="n"/>
      <c r="Q266" s="28">
        <f>IFERROR(IF(A266="","",MIN(H266,MAX(0,K266,ROUND(H266*M266,0)+N266+O266))),"")</f>
        <v/>
      </c>
      <c r="R266" s="28">
        <f>IFERROR(IF(A266="","",MIN(H266,MAX(0,IF(P266="",Q266,P266)))),"")</f>
        <v/>
      </c>
      <c r="S266" s="28">
        <f>IFERROR(IF(A266="","",MAX(0,R266-K266)),"")</f>
        <v/>
      </c>
      <c r="T266" s="29">
        <f>IFERROR(IF(A266="","",R266/H266),"")</f>
        <v/>
      </c>
      <c r="U266" s="29">
        <f>IFERROR(IF(A266="","",'Assumptions'!$B$5),"")</f>
        <v/>
      </c>
      <c r="V266" s="29">
        <f>IFERROR(IF(A266="","",T266-U266),"")</f>
        <v/>
      </c>
      <c r="W266" s="50" t="n"/>
      <c r="X266" s="50" t="n"/>
      <c r="Y266" s="51">
        <f>IFERROR(IF(A266="","",IF(X266&lt;&gt;"",X266,IF(W266&lt;&gt;"",W266,'Assumptions'!$B$8))),"")</f>
        <v/>
      </c>
      <c r="Z266" s="51">
        <f>IFERROR(IF(A266="","",R266*Y266),"")</f>
        <v/>
      </c>
      <c r="AA266" s="51">
        <f>IFERROR(IF(A266="","",Z266/H266),"")</f>
        <v/>
      </c>
      <c r="AB266" s="32" t="n"/>
      <c r="AC266" s="52" t="n"/>
      <c r="AD266" s="29">
        <f>IFERROR(IF(OR(A266="",AB266=""),"",AB266/H266),"")</f>
        <v/>
      </c>
      <c r="AE266" s="51">
        <f>IFERROR(IF(OR(A266="",AB266="",AC266=""),"",AB266*AC266),"")</f>
        <v/>
      </c>
      <c r="AF266" s="28">
        <f>IFERROR(IF(OR(A266="",AB266=""),"",AB266-R266),"")</f>
        <v/>
      </c>
      <c r="AG266" s="29">
        <f>IFERROR(IF(OR(A266="",AB266=""),"",IF(AD266-T266&lt;0,T266-AD266,AD266-T266)),"")</f>
        <v/>
      </c>
      <c r="AH266" s="51">
        <f>IFERROR(IF(OR(A266="",AE266=""),"",AE266-Z266),"")</f>
        <v/>
      </c>
      <c r="AI266" s="25">
        <f>IFERROR(IF(A266="","",IF(G266&gt;F266,"Check out-of-order rooms",IF(K266&gt;H266,"On the books exceeds sellable rooms",IF(R266&gt;H266,"Forecast exceeds sellable rooms",IF(AND(A266&lt;TODAY(),AB266=""),"Actual results missing","OK"))))),"")</f>
        <v/>
      </c>
    </row>
    <row r="267">
      <c r="A267" s="24" t="n"/>
      <c r="B267" s="25">
        <f>IFERROR(IF(A267="","",VLOOKUP(MOD(A267,7),'Assumptions'!$E$16:$F$22,2,0)),"")</f>
        <v/>
      </c>
      <c r="C267" s="25">
        <f>IFERROR(IF(A267="","",IF(A267&lt;TODAY(),"Past",IF(A267=TODAY(),"Today","Future"))),"")</f>
        <v/>
      </c>
      <c r="D267" s="26" t="n"/>
      <c r="E267" s="26" t="n"/>
      <c r="F267" s="27" t="n"/>
      <c r="G267" s="27" t="n"/>
      <c r="H267" s="28">
        <f>IFERROR(IF(A267="","",MAX(0,F267-G267)),"")</f>
        <v/>
      </c>
      <c r="I267" s="27" t="n"/>
      <c r="J267" s="27" t="n"/>
      <c r="K267" s="28">
        <f>IFERROR(IF(A267="","",I267+J267),"")</f>
        <v/>
      </c>
      <c r="L267" s="29">
        <f>IFERROR(IF(A267="","",K267/H267),"")</f>
        <v/>
      </c>
      <c r="M267" s="29">
        <f>IFERROR(IF(A267="","",VLOOKUP(B267,'Assumptions'!$A$16:$B$22,2,0)),"")</f>
        <v/>
      </c>
      <c r="N267" s="27" t="n"/>
      <c r="O267" s="27" t="n"/>
      <c r="P267" s="27" t="n"/>
      <c r="Q267" s="28">
        <f>IFERROR(IF(A267="","",MIN(H267,MAX(0,K267,ROUND(H267*M267,0)+N267+O267))),"")</f>
        <v/>
      </c>
      <c r="R267" s="28">
        <f>IFERROR(IF(A267="","",MIN(H267,MAX(0,IF(P267="",Q267,P267)))),"")</f>
        <v/>
      </c>
      <c r="S267" s="28">
        <f>IFERROR(IF(A267="","",MAX(0,R267-K267)),"")</f>
        <v/>
      </c>
      <c r="T267" s="29">
        <f>IFERROR(IF(A267="","",R267/H267),"")</f>
        <v/>
      </c>
      <c r="U267" s="29">
        <f>IFERROR(IF(A267="","",'Assumptions'!$B$5),"")</f>
        <v/>
      </c>
      <c r="V267" s="29">
        <f>IFERROR(IF(A267="","",T267-U267),"")</f>
        <v/>
      </c>
      <c r="W267" s="50" t="n"/>
      <c r="X267" s="50" t="n"/>
      <c r="Y267" s="51">
        <f>IFERROR(IF(A267="","",IF(X267&lt;&gt;"",X267,IF(W267&lt;&gt;"",W267,'Assumptions'!$B$8))),"")</f>
        <v/>
      </c>
      <c r="Z267" s="51">
        <f>IFERROR(IF(A267="","",R267*Y267),"")</f>
        <v/>
      </c>
      <c r="AA267" s="51">
        <f>IFERROR(IF(A267="","",Z267/H267),"")</f>
        <v/>
      </c>
      <c r="AB267" s="32" t="n"/>
      <c r="AC267" s="52" t="n"/>
      <c r="AD267" s="29">
        <f>IFERROR(IF(OR(A267="",AB267=""),"",AB267/H267),"")</f>
        <v/>
      </c>
      <c r="AE267" s="51">
        <f>IFERROR(IF(OR(A267="",AB267="",AC267=""),"",AB267*AC267),"")</f>
        <v/>
      </c>
      <c r="AF267" s="28">
        <f>IFERROR(IF(OR(A267="",AB267=""),"",AB267-R267),"")</f>
        <v/>
      </c>
      <c r="AG267" s="29">
        <f>IFERROR(IF(OR(A267="",AB267=""),"",IF(AD267-T267&lt;0,T267-AD267,AD267-T267)),"")</f>
        <v/>
      </c>
      <c r="AH267" s="51">
        <f>IFERROR(IF(OR(A267="",AE267=""),"",AE267-Z267),"")</f>
        <v/>
      </c>
      <c r="AI267" s="25">
        <f>IFERROR(IF(A267="","",IF(G267&gt;F267,"Check out-of-order rooms",IF(K267&gt;H267,"On the books exceeds sellable rooms",IF(R267&gt;H267,"Forecast exceeds sellable rooms",IF(AND(A267&lt;TODAY(),AB267=""),"Actual results missing","OK"))))),"")</f>
        <v/>
      </c>
    </row>
    <row r="268">
      <c r="A268" s="24" t="n"/>
      <c r="B268" s="25">
        <f>IFERROR(IF(A268="","",VLOOKUP(MOD(A268,7),'Assumptions'!$E$16:$F$22,2,0)),"")</f>
        <v/>
      </c>
      <c r="C268" s="25">
        <f>IFERROR(IF(A268="","",IF(A268&lt;TODAY(),"Past",IF(A268=TODAY(),"Today","Future"))),"")</f>
        <v/>
      </c>
      <c r="D268" s="26" t="n"/>
      <c r="E268" s="26" t="n"/>
      <c r="F268" s="27" t="n"/>
      <c r="G268" s="27" t="n"/>
      <c r="H268" s="28">
        <f>IFERROR(IF(A268="","",MAX(0,F268-G268)),"")</f>
        <v/>
      </c>
      <c r="I268" s="27" t="n"/>
      <c r="J268" s="27" t="n"/>
      <c r="K268" s="28">
        <f>IFERROR(IF(A268="","",I268+J268),"")</f>
        <v/>
      </c>
      <c r="L268" s="29">
        <f>IFERROR(IF(A268="","",K268/H268),"")</f>
        <v/>
      </c>
      <c r="M268" s="29">
        <f>IFERROR(IF(A268="","",VLOOKUP(B268,'Assumptions'!$A$16:$B$22,2,0)),"")</f>
        <v/>
      </c>
      <c r="N268" s="27" t="n"/>
      <c r="O268" s="27" t="n"/>
      <c r="P268" s="27" t="n"/>
      <c r="Q268" s="28">
        <f>IFERROR(IF(A268="","",MIN(H268,MAX(0,K268,ROUND(H268*M268,0)+N268+O268))),"")</f>
        <v/>
      </c>
      <c r="R268" s="28">
        <f>IFERROR(IF(A268="","",MIN(H268,MAX(0,IF(P268="",Q268,P268)))),"")</f>
        <v/>
      </c>
      <c r="S268" s="28">
        <f>IFERROR(IF(A268="","",MAX(0,R268-K268)),"")</f>
        <v/>
      </c>
      <c r="T268" s="29">
        <f>IFERROR(IF(A268="","",R268/H268),"")</f>
        <v/>
      </c>
      <c r="U268" s="29">
        <f>IFERROR(IF(A268="","",'Assumptions'!$B$5),"")</f>
        <v/>
      </c>
      <c r="V268" s="29">
        <f>IFERROR(IF(A268="","",T268-U268),"")</f>
        <v/>
      </c>
      <c r="W268" s="50" t="n"/>
      <c r="X268" s="50" t="n"/>
      <c r="Y268" s="51">
        <f>IFERROR(IF(A268="","",IF(X268&lt;&gt;"",X268,IF(W268&lt;&gt;"",W268,'Assumptions'!$B$8))),"")</f>
        <v/>
      </c>
      <c r="Z268" s="51">
        <f>IFERROR(IF(A268="","",R268*Y268),"")</f>
        <v/>
      </c>
      <c r="AA268" s="51">
        <f>IFERROR(IF(A268="","",Z268/H268),"")</f>
        <v/>
      </c>
      <c r="AB268" s="32" t="n"/>
      <c r="AC268" s="52" t="n"/>
      <c r="AD268" s="29">
        <f>IFERROR(IF(OR(A268="",AB268=""),"",AB268/H268),"")</f>
        <v/>
      </c>
      <c r="AE268" s="51">
        <f>IFERROR(IF(OR(A268="",AB268="",AC268=""),"",AB268*AC268),"")</f>
        <v/>
      </c>
      <c r="AF268" s="28">
        <f>IFERROR(IF(OR(A268="",AB268=""),"",AB268-R268),"")</f>
        <v/>
      </c>
      <c r="AG268" s="29">
        <f>IFERROR(IF(OR(A268="",AB268=""),"",IF(AD268-T268&lt;0,T268-AD268,AD268-T268)),"")</f>
        <v/>
      </c>
      <c r="AH268" s="51">
        <f>IFERROR(IF(OR(A268="",AE268=""),"",AE268-Z268),"")</f>
        <v/>
      </c>
      <c r="AI268" s="25">
        <f>IFERROR(IF(A268="","",IF(G268&gt;F268,"Check out-of-order rooms",IF(K268&gt;H268,"On the books exceeds sellable rooms",IF(R268&gt;H268,"Forecast exceeds sellable rooms",IF(AND(A268&lt;TODAY(),AB268=""),"Actual results missing","OK"))))),"")</f>
        <v/>
      </c>
    </row>
    <row r="269">
      <c r="A269" s="24" t="n"/>
      <c r="B269" s="25">
        <f>IFERROR(IF(A269="","",VLOOKUP(MOD(A269,7),'Assumptions'!$E$16:$F$22,2,0)),"")</f>
        <v/>
      </c>
      <c r="C269" s="25">
        <f>IFERROR(IF(A269="","",IF(A269&lt;TODAY(),"Past",IF(A269=TODAY(),"Today","Future"))),"")</f>
        <v/>
      </c>
      <c r="D269" s="26" t="n"/>
      <c r="E269" s="26" t="n"/>
      <c r="F269" s="27" t="n"/>
      <c r="G269" s="27" t="n"/>
      <c r="H269" s="28">
        <f>IFERROR(IF(A269="","",MAX(0,F269-G269)),"")</f>
        <v/>
      </c>
      <c r="I269" s="27" t="n"/>
      <c r="J269" s="27" t="n"/>
      <c r="K269" s="28">
        <f>IFERROR(IF(A269="","",I269+J269),"")</f>
        <v/>
      </c>
      <c r="L269" s="29">
        <f>IFERROR(IF(A269="","",K269/H269),"")</f>
        <v/>
      </c>
      <c r="M269" s="29">
        <f>IFERROR(IF(A269="","",VLOOKUP(B269,'Assumptions'!$A$16:$B$22,2,0)),"")</f>
        <v/>
      </c>
      <c r="N269" s="27" t="n"/>
      <c r="O269" s="27" t="n"/>
      <c r="P269" s="27" t="n"/>
      <c r="Q269" s="28">
        <f>IFERROR(IF(A269="","",MIN(H269,MAX(0,K269,ROUND(H269*M269,0)+N269+O269))),"")</f>
        <v/>
      </c>
      <c r="R269" s="28">
        <f>IFERROR(IF(A269="","",MIN(H269,MAX(0,IF(P269="",Q269,P269)))),"")</f>
        <v/>
      </c>
      <c r="S269" s="28">
        <f>IFERROR(IF(A269="","",MAX(0,R269-K269)),"")</f>
        <v/>
      </c>
      <c r="T269" s="29">
        <f>IFERROR(IF(A269="","",R269/H269),"")</f>
        <v/>
      </c>
      <c r="U269" s="29">
        <f>IFERROR(IF(A269="","",'Assumptions'!$B$5),"")</f>
        <v/>
      </c>
      <c r="V269" s="29">
        <f>IFERROR(IF(A269="","",T269-U269),"")</f>
        <v/>
      </c>
      <c r="W269" s="50" t="n"/>
      <c r="X269" s="50" t="n"/>
      <c r="Y269" s="51">
        <f>IFERROR(IF(A269="","",IF(X269&lt;&gt;"",X269,IF(W269&lt;&gt;"",W269,'Assumptions'!$B$8))),"")</f>
        <v/>
      </c>
      <c r="Z269" s="51">
        <f>IFERROR(IF(A269="","",R269*Y269),"")</f>
        <v/>
      </c>
      <c r="AA269" s="51">
        <f>IFERROR(IF(A269="","",Z269/H269),"")</f>
        <v/>
      </c>
      <c r="AB269" s="32" t="n"/>
      <c r="AC269" s="52" t="n"/>
      <c r="AD269" s="29">
        <f>IFERROR(IF(OR(A269="",AB269=""),"",AB269/H269),"")</f>
        <v/>
      </c>
      <c r="AE269" s="51">
        <f>IFERROR(IF(OR(A269="",AB269="",AC269=""),"",AB269*AC269),"")</f>
        <v/>
      </c>
      <c r="AF269" s="28">
        <f>IFERROR(IF(OR(A269="",AB269=""),"",AB269-R269),"")</f>
        <v/>
      </c>
      <c r="AG269" s="29">
        <f>IFERROR(IF(OR(A269="",AB269=""),"",IF(AD269-T269&lt;0,T269-AD269,AD269-T269)),"")</f>
        <v/>
      </c>
      <c r="AH269" s="51">
        <f>IFERROR(IF(OR(A269="",AE269=""),"",AE269-Z269),"")</f>
        <v/>
      </c>
      <c r="AI269" s="25">
        <f>IFERROR(IF(A269="","",IF(G269&gt;F269,"Check out-of-order rooms",IF(K269&gt;H269,"On the books exceeds sellable rooms",IF(R269&gt;H269,"Forecast exceeds sellable rooms",IF(AND(A269&lt;TODAY(),AB269=""),"Actual results missing","OK"))))),"")</f>
        <v/>
      </c>
    </row>
    <row r="270">
      <c r="A270" s="24" t="n"/>
      <c r="B270" s="25">
        <f>IFERROR(IF(A270="","",VLOOKUP(MOD(A270,7),'Assumptions'!$E$16:$F$22,2,0)),"")</f>
        <v/>
      </c>
      <c r="C270" s="25">
        <f>IFERROR(IF(A270="","",IF(A270&lt;TODAY(),"Past",IF(A270=TODAY(),"Today","Future"))),"")</f>
        <v/>
      </c>
      <c r="D270" s="26" t="n"/>
      <c r="E270" s="26" t="n"/>
      <c r="F270" s="27" t="n"/>
      <c r="G270" s="27" t="n"/>
      <c r="H270" s="28">
        <f>IFERROR(IF(A270="","",MAX(0,F270-G270)),"")</f>
        <v/>
      </c>
      <c r="I270" s="27" t="n"/>
      <c r="J270" s="27" t="n"/>
      <c r="K270" s="28">
        <f>IFERROR(IF(A270="","",I270+J270),"")</f>
        <v/>
      </c>
      <c r="L270" s="29">
        <f>IFERROR(IF(A270="","",K270/H270),"")</f>
        <v/>
      </c>
      <c r="M270" s="29">
        <f>IFERROR(IF(A270="","",VLOOKUP(B270,'Assumptions'!$A$16:$B$22,2,0)),"")</f>
        <v/>
      </c>
      <c r="N270" s="27" t="n"/>
      <c r="O270" s="27" t="n"/>
      <c r="P270" s="27" t="n"/>
      <c r="Q270" s="28">
        <f>IFERROR(IF(A270="","",MIN(H270,MAX(0,K270,ROUND(H270*M270,0)+N270+O270))),"")</f>
        <v/>
      </c>
      <c r="R270" s="28">
        <f>IFERROR(IF(A270="","",MIN(H270,MAX(0,IF(P270="",Q270,P270)))),"")</f>
        <v/>
      </c>
      <c r="S270" s="28">
        <f>IFERROR(IF(A270="","",MAX(0,R270-K270)),"")</f>
        <v/>
      </c>
      <c r="T270" s="29">
        <f>IFERROR(IF(A270="","",R270/H270),"")</f>
        <v/>
      </c>
      <c r="U270" s="29">
        <f>IFERROR(IF(A270="","",'Assumptions'!$B$5),"")</f>
        <v/>
      </c>
      <c r="V270" s="29">
        <f>IFERROR(IF(A270="","",T270-U270),"")</f>
        <v/>
      </c>
      <c r="W270" s="50" t="n"/>
      <c r="X270" s="50" t="n"/>
      <c r="Y270" s="51">
        <f>IFERROR(IF(A270="","",IF(X270&lt;&gt;"",X270,IF(W270&lt;&gt;"",W270,'Assumptions'!$B$8))),"")</f>
        <v/>
      </c>
      <c r="Z270" s="51">
        <f>IFERROR(IF(A270="","",R270*Y270),"")</f>
        <v/>
      </c>
      <c r="AA270" s="51">
        <f>IFERROR(IF(A270="","",Z270/H270),"")</f>
        <v/>
      </c>
      <c r="AB270" s="32" t="n"/>
      <c r="AC270" s="52" t="n"/>
      <c r="AD270" s="29">
        <f>IFERROR(IF(OR(A270="",AB270=""),"",AB270/H270),"")</f>
        <v/>
      </c>
      <c r="AE270" s="51">
        <f>IFERROR(IF(OR(A270="",AB270="",AC270=""),"",AB270*AC270),"")</f>
        <v/>
      </c>
      <c r="AF270" s="28">
        <f>IFERROR(IF(OR(A270="",AB270=""),"",AB270-R270),"")</f>
        <v/>
      </c>
      <c r="AG270" s="29">
        <f>IFERROR(IF(OR(A270="",AB270=""),"",IF(AD270-T270&lt;0,T270-AD270,AD270-T270)),"")</f>
        <v/>
      </c>
      <c r="AH270" s="51">
        <f>IFERROR(IF(OR(A270="",AE270=""),"",AE270-Z270),"")</f>
        <v/>
      </c>
      <c r="AI270" s="25">
        <f>IFERROR(IF(A270="","",IF(G270&gt;F270,"Check out-of-order rooms",IF(K270&gt;H270,"On the books exceeds sellable rooms",IF(R270&gt;H270,"Forecast exceeds sellable rooms",IF(AND(A270&lt;TODAY(),AB270=""),"Actual results missing","OK"))))),"")</f>
        <v/>
      </c>
    </row>
    <row r="271">
      <c r="A271" s="24" t="n"/>
      <c r="B271" s="25">
        <f>IFERROR(IF(A271="","",VLOOKUP(MOD(A271,7),'Assumptions'!$E$16:$F$22,2,0)),"")</f>
        <v/>
      </c>
      <c r="C271" s="25">
        <f>IFERROR(IF(A271="","",IF(A271&lt;TODAY(),"Past",IF(A271=TODAY(),"Today","Future"))),"")</f>
        <v/>
      </c>
      <c r="D271" s="26" t="n"/>
      <c r="E271" s="26" t="n"/>
      <c r="F271" s="27" t="n"/>
      <c r="G271" s="27" t="n"/>
      <c r="H271" s="28">
        <f>IFERROR(IF(A271="","",MAX(0,F271-G271)),"")</f>
        <v/>
      </c>
      <c r="I271" s="27" t="n"/>
      <c r="J271" s="27" t="n"/>
      <c r="K271" s="28">
        <f>IFERROR(IF(A271="","",I271+J271),"")</f>
        <v/>
      </c>
      <c r="L271" s="29">
        <f>IFERROR(IF(A271="","",K271/H271),"")</f>
        <v/>
      </c>
      <c r="M271" s="29">
        <f>IFERROR(IF(A271="","",VLOOKUP(B271,'Assumptions'!$A$16:$B$22,2,0)),"")</f>
        <v/>
      </c>
      <c r="N271" s="27" t="n"/>
      <c r="O271" s="27" t="n"/>
      <c r="P271" s="27" t="n"/>
      <c r="Q271" s="28">
        <f>IFERROR(IF(A271="","",MIN(H271,MAX(0,K271,ROUND(H271*M271,0)+N271+O271))),"")</f>
        <v/>
      </c>
      <c r="R271" s="28">
        <f>IFERROR(IF(A271="","",MIN(H271,MAX(0,IF(P271="",Q271,P271)))),"")</f>
        <v/>
      </c>
      <c r="S271" s="28">
        <f>IFERROR(IF(A271="","",MAX(0,R271-K271)),"")</f>
        <v/>
      </c>
      <c r="T271" s="29">
        <f>IFERROR(IF(A271="","",R271/H271),"")</f>
        <v/>
      </c>
      <c r="U271" s="29">
        <f>IFERROR(IF(A271="","",'Assumptions'!$B$5),"")</f>
        <v/>
      </c>
      <c r="V271" s="29">
        <f>IFERROR(IF(A271="","",T271-U271),"")</f>
        <v/>
      </c>
      <c r="W271" s="50" t="n"/>
      <c r="X271" s="50" t="n"/>
      <c r="Y271" s="51">
        <f>IFERROR(IF(A271="","",IF(X271&lt;&gt;"",X271,IF(W271&lt;&gt;"",W271,'Assumptions'!$B$8))),"")</f>
        <v/>
      </c>
      <c r="Z271" s="51">
        <f>IFERROR(IF(A271="","",R271*Y271),"")</f>
        <v/>
      </c>
      <c r="AA271" s="51">
        <f>IFERROR(IF(A271="","",Z271/H271),"")</f>
        <v/>
      </c>
      <c r="AB271" s="32" t="n"/>
      <c r="AC271" s="52" t="n"/>
      <c r="AD271" s="29">
        <f>IFERROR(IF(OR(A271="",AB271=""),"",AB271/H271),"")</f>
        <v/>
      </c>
      <c r="AE271" s="51">
        <f>IFERROR(IF(OR(A271="",AB271="",AC271=""),"",AB271*AC271),"")</f>
        <v/>
      </c>
      <c r="AF271" s="28">
        <f>IFERROR(IF(OR(A271="",AB271=""),"",AB271-R271),"")</f>
        <v/>
      </c>
      <c r="AG271" s="29">
        <f>IFERROR(IF(OR(A271="",AB271=""),"",IF(AD271-T271&lt;0,T271-AD271,AD271-T271)),"")</f>
        <v/>
      </c>
      <c r="AH271" s="51">
        <f>IFERROR(IF(OR(A271="",AE271=""),"",AE271-Z271),"")</f>
        <v/>
      </c>
      <c r="AI271" s="25">
        <f>IFERROR(IF(A271="","",IF(G271&gt;F271,"Check out-of-order rooms",IF(K271&gt;H271,"On the books exceeds sellable rooms",IF(R271&gt;H271,"Forecast exceeds sellable rooms",IF(AND(A271&lt;TODAY(),AB271=""),"Actual results missing","OK"))))),"")</f>
        <v/>
      </c>
    </row>
    <row r="272">
      <c r="A272" s="24" t="n"/>
      <c r="B272" s="25">
        <f>IFERROR(IF(A272="","",VLOOKUP(MOD(A272,7),'Assumptions'!$E$16:$F$22,2,0)),"")</f>
        <v/>
      </c>
      <c r="C272" s="25">
        <f>IFERROR(IF(A272="","",IF(A272&lt;TODAY(),"Past",IF(A272=TODAY(),"Today","Future"))),"")</f>
        <v/>
      </c>
      <c r="D272" s="26" t="n"/>
      <c r="E272" s="26" t="n"/>
      <c r="F272" s="27" t="n"/>
      <c r="G272" s="27" t="n"/>
      <c r="H272" s="28">
        <f>IFERROR(IF(A272="","",MAX(0,F272-G272)),"")</f>
        <v/>
      </c>
      <c r="I272" s="27" t="n"/>
      <c r="J272" s="27" t="n"/>
      <c r="K272" s="28">
        <f>IFERROR(IF(A272="","",I272+J272),"")</f>
        <v/>
      </c>
      <c r="L272" s="29">
        <f>IFERROR(IF(A272="","",K272/H272),"")</f>
        <v/>
      </c>
      <c r="M272" s="29">
        <f>IFERROR(IF(A272="","",VLOOKUP(B272,'Assumptions'!$A$16:$B$22,2,0)),"")</f>
        <v/>
      </c>
      <c r="N272" s="27" t="n"/>
      <c r="O272" s="27" t="n"/>
      <c r="P272" s="27" t="n"/>
      <c r="Q272" s="28">
        <f>IFERROR(IF(A272="","",MIN(H272,MAX(0,K272,ROUND(H272*M272,0)+N272+O272))),"")</f>
        <v/>
      </c>
      <c r="R272" s="28">
        <f>IFERROR(IF(A272="","",MIN(H272,MAX(0,IF(P272="",Q272,P272)))),"")</f>
        <v/>
      </c>
      <c r="S272" s="28">
        <f>IFERROR(IF(A272="","",MAX(0,R272-K272)),"")</f>
        <v/>
      </c>
      <c r="T272" s="29">
        <f>IFERROR(IF(A272="","",R272/H272),"")</f>
        <v/>
      </c>
      <c r="U272" s="29">
        <f>IFERROR(IF(A272="","",'Assumptions'!$B$5),"")</f>
        <v/>
      </c>
      <c r="V272" s="29">
        <f>IFERROR(IF(A272="","",T272-U272),"")</f>
        <v/>
      </c>
      <c r="W272" s="50" t="n"/>
      <c r="X272" s="50" t="n"/>
      <c r="Y272" s="51">
        <f>IFERROR(IF(A272="","",IF(X272&lt;&gt;"",X272,IF(W272&lt;&gt;"",W272,'Assumptions'!$B$8))),"")</f>
        <v/>
      </c>
      <c r="Z272" s="51">
        <f>IFERROR(IF(A272="","",R272*Y272),"")</f>
        <v/>
      </c>
      <c r="AA272" s="51">
        <f>IFERROR(IF(A272="","",Z272/H272),"")</f>
        <v/>
      </c>
      <c r="AB272" s="32" t="n"/>
      <c r="AC272" s="52" t="n"/>
      <c r="AD272" s="29">
        <f>IFERROR(IF(OR(A272="",AB272=""),"",AB272/H272),"")</f>
        <v/>
      </c>
      <c r="AE272" s="51">
        <f>IFERROR(IF(OR(A272="",AB272="",AC272=""),"",AB272*AC272),"")</f>
        <v/>
      </c>
      <c r="AF272" s="28">
        <f>IFERROR(IF(OR(A272="",AB272=""),"",AB272-R272),"")</f>
        <v/>
      </c>
      <c r="AG272" s="29">
        <f>IFERROR(IF(OR(A272="",AB272=""),"",IF(AD272-T272&lt;0,T272-AD272,AD272-T272)),"")</f>
        <v/>
      </c>
      <c r="AH272" s="51">
        <f>IFERROR(IF(OR(A272="",AE272=""),"",AE272-Z272),"")</f>
        <v/>
      </c>
      <c r="AI272" s="25">
        <f>IFERROR(IF(A272="","",IF(G272&gt;F272,"Check out-of-order rooms",IF(K272&gt;H272,"On the books exceeds sellable rooms",IF(R272&gt;H272,"Forecast exceeds sellable rooms",IF(AND(A272&lt;TODAY(),AB272=""),"Actual results missing","OK"))))),"")</f>
        <v/>
      </c>
    </row>
    <row r="273">
      <c r="A273" s="24" t="n"/>
      <c r="B273" s="25">
        <f>IFERROR(IF(A273="","",VLOOKUP(MOD(A273,7),'Assumptions'!$E$16:$F$22,2,0)),"")</f>
        <v/>
      </c>
      <c r="C273" s="25">
        <f>IFERROR(IF(A273="","",IF(A273&lt;TODAY(),"Past",IF(A273=TODAY(),"Today","Future"))),"")</f>
        <v/>
      </c>
      <c r="D273" s="26" t="n"/>
      <c r="E273" s="26" t="n"/>
      <c r="F273" s="27" t="n"/>
      <c r="G273" s="27" t="n"/>
      <c r="H273" s="28">
        <f>IFERROR(IF(A273="","",MAX(0,F273-G273)),"")</f>
        <v/>
      </c>
      <c r="I273" s="27" t="n"/>
      <c r="J273" s="27" t="n"/>
      <c r="K273" s="28">
        <f>IFERROR(IF(A273="","",I273+J273),"")</f>
        <v/>
      </c>
      <c r="L273" s="29">
        <f>IFERROR(IF(A273="","",K273/H273),"")</f>
        <v/>
      </c>
      <c r="M273" s="29">
        <f>IFERROR(IF(A273="","",VLOOKUP(B273,'Assumptions'!$A$16:$B$22,2,0)),"")</f>
        <v/>
      </c>
      <c r="N273" s="27" t="n"/>
      <c r="O273" s="27" t="n"/>
      <c r="P273" s="27" t="n"/>
      <c r="Q273" s="28">
        <f>IFERROR(IF(A273="","",MIN(H273,MAX(0,K273,ROUND(H273*M273,0)+N273+O273))),"")</f>
        <v/>
      </c>
      <c r="R273" s="28">
        <f>IFERROR(IF(A273="","",MIN(H273,MAX(0,IF(P273="",Q273,P273)))),"")</f>
        <v/>
      </c>
      <c r="S273" s="28">
        <f>IFERROR(IF(A273="","",MAX(0,R273-K273)),"")</f>
        <v/>
      </c>
      <c r="T273" s="29">
        <f>IFERROR(IF(A273="","",R273/H273),"")</f>
        <v/>
      </c>
      <c r="U273" s="29">
        <f>IFERROR(IF(A273="","",'Assumptions'!$B$5),"")</f>
        <v/>
      </c>
      <c r="V273" s="29">
        <f>IFERROR(IF(A273="","",T273-U273),"")</f>
        <v/>
      </c>
      <c r="W273" s="50" t="n"/>
      <c r="X273" s="50" t="n"/>
      <c r="Y273" s="51">
        <f>IFERROR(IF(A273="","",IF(X273&lt;&gt;"",X273,IF(W273&lt;&gt;"",W273,'Assumptions'!$B$8))),"")</f>
        <v/>
      </c>
      <c r="Z273" s="51">
        <f>IFERROR(IF(A273="","",R273*Y273),"")</f>
        <v/>
      </c>
      <c r="AA273" s="51">
        <f>IFERROR(IF(A273="","",Z273/H273),"")</f>
        <v/>
      </c>
      <c r="AB273" s="32" t="n"/>
      <c r="AC273" s="52" t="n"/>
      <c r="AD273" s="29">
        <f>IFERROR(IF(OR(A273="",AB273=""),"",AB273/H273),"")</f>
        <v/>
      </c>
      <c r="AE273" s="51">
        <f>IFERROR(IF(OR(A273="",AB273="",AC273=""),"",AB273*AC273),"")</f>
        <v/>
      </c>
      <c r="AF273" s="28">
        <f>IFERROR(IF(OR(A273="",AB273=""),"",AB273-R273),"")</f>
        <v/>
      </c>
      <c r="AG273" s="29">
        <f>IFERROR(IF(OR(A273="",AB273=""),"",IF(AD273-T273&lt;0,T273-AD273,AD273-T273)),"")</f>
        <v/>
      </c>
      <c r="AH273" s="51">
        <f>IFERROR(IF(OR(A273="",AE273=""),"",AE273-Z273),"")</f>
        <v/>
      </c>
      <c r="AI273" s="25">
        <f>IFERROR(IF(A273="","",IF(G273&gt;F273,"Check out-of-order rooms",IF(K273&gt;H273,"On the books exceeds sellable rooms",IF(R273&gt;H273,"Forecast exceeds sellable rooms",IF(AND(A273&lt;TODAY(),AB273=""),"Actual results missing","OK"))))),"")</f>
        <v/>
      </c>
    </row>
    <row r="274">
      <c r="A274" s="24" t="n"/>
      <c r="B274" s="25">
        <f>IFERROR(IF(A274="","",VLOOKUP(MOD(A274,7),'Assumptions'!$E$16:$F$22,2,0)),"")</f>
        <v/>
      </c>
      <c r="C274" s="25">
        <f>IFERROR(IF(A274="","",IF(A274&lt;TODAY(),"Past",IF(A274=TODAY(),"Today","Future"))),"")</f>
        <v/>
      </c>
      <c r="D274" s="26" t="n"/>
      <c r="E274" s="26" t="n"/>
      <c r="F274" s="27" t="n"/>
      <c r="G274" s="27" t="n"/>
      <c r="H274" s="28">
        <f>IFERROR(IF(A274="","",MAX(0,F274-G274)),"")</f>
        <v/>
      </c>
      <c r="I274" s="27" t="n"/>
      <c r="J274" s="27" t="n"/>
      <c r="K274" s="28">
        <f>IFERROR(IF(A274="","",I274+J274),"")</f>
        <v/>
      </c>
      <c r="L274" s="29">
        <f>IFERROR(IF(A274="","",K274/H274),"")</f>
        <v/>
      </c>
      <c r="M274" s="29">
        <f>IFERROR(IF(A274="","",VLOOKUP(B274,'Assumptions'!$A$16:$B$22,2,0)),"")</f>
        <v/>
      </c>
      <c r="N274" s="27" t="n"/>
      <c r="O274" s="27" t="n"/>
      <c r="P274" s="27" t="n"/>
      <c r="Q274" s="28">
        <f>IFERROR(IF(A274="","",MIN(H274,MAX(0,K274,ROUND(H274*M274,0)+N274+O274))),"")</f>
        <v/>
      </c>
      <c r="R274" s="28">
        <f>IFERROR(IF(A274="","",MIN(H274,MAX(0,IF(P274="",Q274,P274)))),"")</f>
        <v/>
      </c>
      <c r="S274" s="28">
        <f>IFERROR(IF(A274="","",MAX(0,R274-K274)),"")</f>
        <v/>
      </c>
      <c r="T274" s="29">
        <f>IFERROR(IF(A274="","",R274/H274),"")</f>
        <v/>
      </c>
      <c r="U274" s="29">
        <f>IFERROR(IF(A274="","",'Assumptions'!$B$5),"")</f>
        <v/>
      </c>
      <c r="V274" s="29">
        <f>IFERROR(IF(A274="","",T274-U274),"")</f>
        <v/>
      </c>
      <c r="W274" s="50" t="n"/>
      <c r="X274" s="50" t="n"/>
      <c r="Y274" s="51">
        <f>IFERROR(IF(A274="","",IF(X274&lt;&gt;"",X274,IF(W274&lt;&gt;"",W274,'Assumptions'!$B$8))),"")</f>
        <v/>
      </c>
      <c r="Z274" s="51">
        <f>IFERROR(IF(A274="","",R274*Y274),"")</f>
        <v/>
      </c>
      <c r="AA274" s="51">
        <f>IFERROR(IF(A274="","",Z274/H274),"")</f>
        <v/>
      </c>
      <c r="AB274" s="32" t="n"/>
      <c r="AC274" s="52" t="n"/>
      <c r="AD274" s="29">
        <f>IFERROR(IF(OR(A274="",AB274=""),"",AB274/H274),"")</f>
        <v/>
      </c>
      <c r="AE274" s="51">
        <f>IFERROR(IF(OR(A274="",AB274="",AC274=""),"",AB274*AC274),"")</f>
        <v/>
      </c>
      <c r="AF274" s="28">
        <f>IFERROR(IF(OR(A274="",AB274=""),"",AB274-R274),"")</f>
        <v/>
      </c>
      <c r="AG274" s="29">
        <f>IFERROR(IF(OR(A274="",AB274=""),"",IF(AD274-T274&lt;0,T274-AD274,AD274-T274)),"")</f>
        <v/>
      </c>
      <c r="AH274" s="51">
        <f>IFERROR(IF(OR(A274="",AE274=""),"",AE274-Z274),"")</f>
        <v/>
      </c>
      <c r="AI274" s="25">
        <f>IFERROR(IF(A274="","",IF(G274&gt;F274,"Check out-of-order rooms",IF(K274&gt;H274,"On the books exceeds sellable rooms",IF(R274&gt;H274,"Forecast exceeds sellable rooms",IF(AND(A274&lt;TODAY(),AB274=""),"Actual results missing","OK"))))),"")</f>
        <v/>
      </c>
    </row>
    <row r="275">
      <c r="A275" s="24" t="n"/>
      <c r="B275" s="25">
        <f>IFERROR(IF(A275="","",VLOOKUP(MOD(A275,7),'Assumptions'!$E$16:$F$22,2,0)),"")</f>
        <v/>
      </c>
      <c r="C275" s="25">
        <f>IFERROR(IF(A275="","",IF(A275&lt;TODAY(),"Past",IF(A275=TODAY(),"Today","Future"))),"")</f>
        <v/>
      </c>
      <c r="D275" s="26" t="n"/>
      <c r="E275" s="26" t="n"/>
      <c r="F275" s="27" t="n"/>
      <c r="G275" s="27" t="n"/>
      <c r="H275" s="28">
        <f>IFERROR(IF(A275="","",MAX(0,F275-G275)),"")</f>
        <v/>
      </c>
      <c r="I275" s="27" t="n"/>
      <c r="J275" s="27" t="n"/>
      <c r="K275" s="28">
        <f>IFERROR(IF(A275="","",I275+J275),"")</f>
        <v/>
      </c>
      <c r="L275" s="29">
        <f>IFERROR(IF(A275="","",K275/H275),"")</f>
        <v/>
      </c>
      <c r="M275" s="29">
        <f>IFERROR(IF(A275="","",VLOOKUP(B275,'Assumptions'!$A$16:$B$22,2,0)),"")</f>
        <v/>
      </c>
      <c r="N275" s="27" t="n"/>
      <c r="O275" s="27" t="n"/>
      <c r="P275" s="27" t="n"/>
      <c r="Q275" s="28">
        <f>IFERROR(IF(A275="","",MIN(H275,MAX(0,K275,ROUND(H275*M275,0)+N275+O275))),"")</f>
        <v/>
      </c>
      <c r="R275" s="28">
        <f>IFERROR(IF(A275="","",MIN(H275,MAX(0,IF(P275="",Q275,P275)))),"")</f>
        <v/>
      </c>
      <c r="S275" s="28">
        <f>IFERROR(IF(A275="","",MAX(0,R275-K275)),"")</f>
        <v/>
      </c>
      <c r="T275" s="29">
        <f>IFERROR(IF(A275="","",R275/H275),"")</f>
        <v/>
      </c>
      <c r="U275" s="29">
        <f>IFERROR(IF(A275="","",'Assumptions'!$B$5),"")</f>
        <v/>
      </c>
      <c r="V275" s="29">
        <f>IFERROR(IF(A275="","",T275-U275),"")</f>
        <v/>
      </c>
      <c r="W275" s="50" t="n"/>
      <c r="X275" s="50" t="n"/>
      <c r="Y275" s="51">
        <f>IFERROR(IF(A275="","",IF(X275&lt;&gt;"",X275,IF(W275&lt;&gt;"",W275,'Assumptions'!$B$8))),"")</f>
        <v/>
      </c>
      <c r="Z275" s="51">
        <f>IFERROR(IF(A275="","",R275*Y275),"")</f>
        <v/>
      </c>
      <c r="AA275" s="51">
        <f>IFERROR(IF(A275="","",Z275/H275),"")</f>
        <v/>
      </c>
      <c r="AB275" s="32" t="n"/>
      <c r="AC275" s="52" t="n"/>
      <c r="AD275" s="29">
        <f>IFERROR(IF(OR(A275="",AB275=""),"",AB275/H275),"")</f>
        <v/>
      </c>
      <c r="AE275" s="51">
        <f>IFERROR(IF(OR(A275="",AB275="",AC275=""),"",AB275*AC275),"")</f>
        <v/>
      </c>
      <c r="AF275" s="28">
        <f>IFERROR(IF(OR(A275="",AB275=""),"",AB275-R275),"")</f>
        <v/>
      </c>
      <c r="AG275" s="29">
        <f>IFERROR(IF(OR(A275="",AB275=""),"",IF(AD275-T275&lt;0,T275-AD275,AD275-T275)),"")</f>
        <v/>
      </c>
      <c r="AH275" s="51">
        <f>IFERROR(IF(OR(A275="",AE275=""),"",AE275-Z275),"")</f>
        <v/>
      </c>
      <c r="AI275" s="25">
        <f>IFERROR(IF(A275="","",IF(G275&gt;F275,"Check out-of-order rooms",IF(K275&gt;H275,"On the books exceeds sellable rooms",IF(R275&gt;H275,"Forecast exceeds sellable rooms",IF(AND(A275&lt;TODAY(),AB275=""),"Actual results missing","OK"))))),"")</f>
        <v/>
      </c>
    </row>
    <row r="276">
      <c r="A276" s="24" t="n"/>
      <c r="B276" s="25">
        <f>IFERROR(IF(A276="","",VLOOKUP(MOD(A276,7),'Assumptions'!$E$16:$F$22,2,0)),"")</f>
        <v/>
      </c>
      <c r="C276" s="25">
        <f>IFERROR(IF(A276="","",IF(A276&lt;TODAY(),"Past",IF(A276=TODAY(),"Today","Future"))),"")</f>
        <v/>
      </c>
      <c r="D276" s="26" t="n"/>
      <c r="E276" s="26" t="n"/>
      <c r="F276" s="27" t="n"/>
      <c r="G276" s="27" t="n"/>
      <c r="H276" s="28">
        <f>IFERROR(IF(A276="","",MAX(0,F276-G276)),"")</f>
        <v/>
      </c>
      <c r="I276" s="27" t="n"/>
      <c r="J276" s="27" t="n"/>
      <c r="K276" s="28">
        <f>IFERROR(IF(A276="","",I276+J276),"")</f>
        <v/>
      </c>
      <c r="L276" s="29">
        <f>IFERROR(IF(A276="","",K276/H276),"")</f>
        <v/>
      </c>
      <c r="M276" s="29">
        <f>IFERROR(IF(A276="","",VLOOKUP(B276,'Assumptions'!$A$16:$B$22,2,0)),"")</f>
        <v/>
      </c>
      <c r="N276" s="27" t="n"/>
      <c r="O276" s="27" t="n"/>
      <c r="P276" s="27" t="n"/>
      <c r="Q276" s="28">
        <f>IFERROR(IF(A276="","",MIN(H276,MAX(0,K276,ROUND(H276*M276,0)+N276+O276))),"")</f>
        <v/>
      </c>
      <c r="R276" s="28">
        <f>IFERROR(IF(A276="","",MIN(H276,MAX(0,IF(P276="",Q276,P276)))),"")</f>
        <v/>
      </c>
      <c r="S276" s="28">
        <f>IFERROR(IF(A276="","",MAX(0,R276-K276)),"")</f>
        <v/>
      </c>
      <c r="T276" s="29">
        <f>IFERROR(IF(A276="","",R276/H276),"")</f>
        <v/>
      </c>
      <c r="U276" s="29">
        <f>IFERROR(IF(A276="","",'Assumptions'!$B$5),"")</f>
        <v/>
      </c>
      <c r="V276" s="29">
        <f>IFERROR(IF(A276="","",T276-U276),"")</f>
        <v/>
      </c>
      <c r="W276" s="50" t="n"/>
      <c r="X276" s="50" t="n"/>
      <c r="Y276" s="51">
        <f>IFERROR(IF(A276="","",IF(X276&lt;&gt;"",X276,IF(W276&lt;&gt;"",W276,'Assumptions'!$B$8))),"")</f>
        <v/>
      </c>
      <c r="Z276" s="51">
        <f>IFERROR(IF(A276="","",R276*Y276),"")</f>
        <v/>
      </c>
      <c r="AA276" s="51">
        <f>IFERROR(IF(A276="","",Z276/H276),"")</f>
        <v/>
      </c>
      <c r="AB276" s="32" t="n"/>
      <c r="AC276" s="52" t="n"/>
      <c r="AD276" s="29">
        <f>IFERROR(IF(OR(A276="",AB276=""),"",AB276/H276),"")</f>
        <v/>
      </c>
      <c r="AE276" s="51">
        <f>IFERROR(IF(OR(A276="",AB276="",AC276=""),"",AB276*AC276),"")</f>
        <v/>
      </c>
      <c r="AF276" s="28">
        <f>IFERROR(IF(OR(A276="",AB276=""),"",AB276-R276),"")</f>
        <v/>
      </c>
      <c r="AG276" s="29">
        <f>IFERROR(IF(OR(A276="",AB276=""),"",IF(AD276-T276&lt;0,T276-AD276,AD276-T276)),"")</f>
        <v/>
      </c>
      <c r="AH276" s="51">
        <f>IFERROR(IF(OR(A276="",AE276=""),"",AE276-Z276),"")</f>
        <v/>
      </c>
      <c r="AI276" s="25">
        <f>IFERROR(IF(A276="","",IF(G276&gt;F276,"Check out-of-order rooms",IF(K276&gt;H276,"On the books exceeds sellable rooms",IF(R276&gt;H276,"Forecast exceeds sellable rooms",IF(AND(A276&lt;TODAY(),AB276=""),"Actual results missing","OK"))))),"")</f>
        <v/>
      </c>
    </row>
    <row r="277">
      <c r="A277" s="24" t="n"/>
      <c r="B277" s="25">
        <f>IFERROR(IF(A277="","",VLOOKUP(MOD(A277,7),'Assumptions'!$E$16:$F$22,2,0)),"")</f>
        <v/>
      </c>
      <c r="C277" s="25">
        <f>IFERROR(IF(A277="","",IF(A277&lt;TODAY(),"Past",IF(A277=TODAY(),"Today","Future"))),"")</f>
        <v/>
      </c>
      <c r="D277" s="26" t="n"/>
      <c r="E277" s="26" t="n"/>
      <c r="F277" s="27" t="n"/>
      <c r="G277" s="27" t="n"/>
      <c r="H277" s="28">
        <f>IFERROR(IF(A277="","",MAX(0,F277-G277)),"")</f>
        <v/>
      </c>
      <c r="I277" s="27" t="n"/>
      <c r="J277" s="27" t="n"/>
      <c r="K277" s="28">
        <f>IFERROR(IF(A277="","",I277+J277),"")</f>
        <v/>
      </c>
      <c r="L277" s="29">
        <f>IFERROR(IF(A277="","",K277/H277),"")</f>
        <v/>
      </c>
      <c r="M277" s="29">
        <f>IFERROR(IF(A277="","",VLOOKUP(B277,'Assumptions'!$A$16:$B$22,2,0)),"")</f>
        <v/>
      </c>
      <c r="N277" s="27" t="n"/>
      <c r="O277" s="27" t="n"/>
      <c r="P277" s="27" t="n"/>
      <c r="Q277" s="28">
        <f>IFERROR(IF(A277="","",MIN(H277,MAX(0,K277,ROUND(H277*M277,0)+N277+O277))),"")</f>
        <v/>
      </c>
      <c r="R277" s="28">
        <f>IFERROR(IF(A277="","",MIN(H277,MAX(0,IF(P277="",Q277,P277)))),"")</f>
        <v/>
      </c>
      <c r="S277" s="28">
        <f>IFERROR(IF(A277="","",MAX(0,R277-K277)),"")</f>
        <v/>
      </c>
      <c r="T277" s="29">
        <f>IFERROR(IF(A277="","",R277/H277),"")</f>
        <v/>
      </c>
      <c r="U277" s="29">
        <f>IFERROR(IF(A277="","",'Assumptions'!$B$5),"")</f>
        <v/>
      </c>
      <c r="V277" s="29">
        <f>IFERROR(IF(A277="","",T277-U277),"")</f>
        <v/>
      </c>
      <c r="W277" s="50" t="n"/>
      <c r="X277" s="50" t="n"/>
      <c r="Y277" s="51">
        <f>IFERROR(IF(A277="","",IF(X277&lt;&gt;"",X277,IF(W277&lt;&gt;"",W277,'Assumptions'!$B$8))),"")</f>
        <v/>
      </c>
      <c r="Z277" s="51">
        <f>IFERROR(IF(A277="","",R277*Y277),"")</f>
        <v/>
      </c>
      <c r="AA277" s="51">
        <f>IFERROR(IF(A277="","",Z277/H277),"")</f>
        <v/>
      </c>
      <c r="AB277" s="32" t="n"/>
      <c r="AC277" s="52" t="n"/>
      <c r="AD277" s="29">
        <f>IFERROR(IF(OR(A277="",AB277=""),"",AB277/H277),"")</f>
        <v/>
      </c>
      <c r="AE277" s="51">
        <f>IFERROR(IF(OR(A277="",AB277="",AC277=""),"",AB277*AC277),"")</f>
        <v/>
      </c>
      <c r="AF277" s="28">
        <f>IFERROR(IF(OR(A277="",AB277=""),"",AB277-R277),"")</f>
        <v/>
      </c>
      <c r="AG277" s="29">
        <f>IFERROR(IF(OR(A277="",AB277=""),"",IF(AD277-T277&lt;0,T277-AD277,AD277-T277)),"")</f>
        <v/>
      </c>
      <c r="AH277" s="51">
        <f>IFERROR(IF(OR(A277="",AE277=""),"",AE277-Z277),"")</f>
        <v/>
      </c>
      <c r="AI277" s="25">
        <f>IFERROR(IF(A277="","",IF(G277&gt;F277,"Check out-of-order rooms",IF(K277&gt;H277,"On the books exceeds sellable rooms",IF(R277&gt;H277,"Forecast exceeds sellable rooms",IF(AND(A277&lt;TODAY(),AB277=""),"Actual results missing","OK"))))),"")</f>
        <v/>
      </c>
    </row>
    <row r="278">
      <c r="A278" s="24" t="n"/>
      <c r="B278" s="25">
        <f>IFERROR(IF(A278="","",VLOOKUP(MOD(A278,7),'Assumptions'!$E$16:$F$22,2,0)),"")</f>
        <v/>
      </c>
      <c r="C278" s="25">
        <f>IFERROR(IF(A278="","",IF(A278&lt;TODAY(),"Past",IF(A278=TODAY(),"Today","Future"))),"")</f>
        <v/>
      </c>
      <c r="D278" s="26" t="n"/>
      <c r="E278" s="26" t="n"/>
      <c r="F278" s="27" t="n"/>
      <c r="G278" s="27" t="n"/>
      <c r="H278" s="28">
        <f>IFERROR(IF(A278="","",MAX(0,F278-G278)),"")</f>
        <v/>
      </c>
      <c r="I278" s="27" t="n"/>
      <c r="J278" s="27" t="n"/>
      <c r="K278" s="28">
        <f>IFERROR(IF(A278="","",I278+J278),"")</f>
        <v/>
      </c>
      <c r="L278" s="29">
        <f>IFERROR(IF(A278="","",K278/H278),"")</f>
        <v/>
      </c>
      <c r="M278" s="29">
        <f>IFERROR(IF(A278="","",VLOOKUP(B278,'Assumptions'!$A$16:$B$22,2,0)),"")</f>
        <v/>
      </c>
      <c r="N278" s="27" t="n"/>
      <c r="O278" s="27" t="n"/>
      <c r="P278" s="27" t="n"/>
      <c r="Q278" s="28">
        <f>IFERROR(IF(A278="","",MIN(H278,MAX(0,K278,ROUND(H278*M278,0)+N278+O278))),"")</f>
        <v/>
      </c>
      <c r="R278" s="28">
        <f>IFERROR(IF(A278="","",MIN(H278,MAX(0,IF(P278="",Q278,P278)))),"")</f>
        <v/>
      </c>
      <c r="S278" s="28">
        <f>IFERROR(IF(A278="","",MAX(0,R278-K278)),"")</f>
        <v/>
      </c>
      <c r="T278" s="29">
        <f>IFERROR(IF(A278="","",R278/H278),"")</f>
        <v/>
      </c>
      <c r="U278" s="29">
        <f>IFERROR(IF(A278="","",'Assumptions'!$B$5),"")</f>
        <v/>
      </c>
      <c r="V278" s="29">
        <f>IFERROR(IF(A278="","",T278-U278),"")</f>
        <v/>
      </c>
      <c r="W278" s="50" t="n"/>
      <c r="X278" s="50" t="n"/>
      <c r="Y278" s="51">
        <f>IFERROR(IF(A278="","",IF(X278&lt;&gt;"",X278,IF(W278&lt;&gt;"",W278,'Assumptions'!$B$8))),"")</f>
        <v/>
      </c>
      <c r="Z278" s="51">
        <f>IFERROR(IF(A278="","",R278*Y278),"")</f>
        <v/>
      </c>
      <c r="AA278" s="51">
        <f>IFERROR(IF(A278="","",Z278/H278),"")</f>
        <v/>
      </c>
      <c r="AB278" s="32" t="n"/>
      <c r="AC278" s="52" t="n"/>
      <c r="AD278" s="29">
        <f>IFERROR(IF(OR(A278="",AB278=""),"",AB278/H278),"")</f>
        <v/>
      </c>
      <c r="AE278" s="51">
        <f>IFERROR(IF(OR(A278="",AB278="",AC278=""),"",AB278*AC278),"")</f>
        <v/>
      </c>
      <c r="AF278" s="28">
        <f>IFERROR(IF(OR(A278="",AB278=""),"",AB278-R278),"")</f>
        <v/>
      </c>
      <c r="AG278" s="29">
        <f>IFERROR(IF(OR(A278="",AB278=""),"",IF(AD278-T278&lt;0,T278-AD278,AD278-T278)),"")</f>
        <v/>
      </c>
      <c r="AH278" s="51">
        <f>IFERROR(IF(OR(A278="",AE278=""),"",AE278-Z278),"")</f>
        <v/>
      </c>
      <c r="AI278" s="25">
        <f>IFERROR(IF(A278="","",IF(G278&gt;F278,"Check out-of-order rooms",IF(K278&gt;H278,"On the books exceeds sellable rooms",IF(R278&gt;H278,"Forecast exceeds sellable rooms",IF(AND(A278&lt;TODAY(),AB278=""),"Actual results missing","OK"))))),"")</f>
        <v/>
      </c>
    </row>
    <row r="279">
      <c r="A279" s="24" t="n"/>
      <c r="B279" s="25">
        <f>IFERROR(IF(A279="","",VLOOKUP(MOD(A279,7),'Assumptions'!$E$16:$F$22,2,0)),"")</f>
        <v/>
      </c>
      <c r="C279" s="25">
        <f>IFERROR(IF(A279="","",IF(A279&lt;TODAY(),"Past",IF(A279=TODAY(),"Today","Future"))),"")</f>
        <v/>
      </c>
      <c r="D279" s="26" t="n"/>
      <c r="E279" s="26" t="n"/>
      <c r="F279" s="27" t="n"/>
      <c r="G279" s="27" t="n"/>
      <c r="H279" s="28">
        <f>IFERROR(IF(A279="","",MAX(0,F279-G279)),"")</f>
        <v/>
      </c>
      <c r="I279" s="27" t="n"/>
      <c r="J279" s="27" t="n"/>
      <c r="K279" s="28">
        <f>IFERROR(IF(A279="","",I279+J279),"")</f>
        <v/>
      </c>
      <c r="L279" s="29">
        <f>IFERROR(IF(A279="","",K279/H279),"")</f>
        <v/>
      </c>
      <c r="M279" s="29">
        <f>IFERROR(IF(A279="","",VLOOKUP(B279,'Assumptions'!$A$16:$B$22,2,0)),"")</f>
        <v/>
      </c>
      <c r="N279" s="27" t="n"/>
      <c r="O279" s="27" t="n"/>
      <c r="P279" s="27" t="n"/>
      <c r="Q279" s="28">
        <f>IFERROR(IF(A279="","",MIN(H279,MAX(0,K279,ROUND(H279*M279,0)+N279+O279))),"")</f>
        <v/>
      </c>
      <c r="R279" s="28">
        <f>IFERROR(IF(A279="","",MIN(H279,MAX(0,IF(P279="",Q279,P279)))),"")</f>
        <v/>
      </c>
      <c r="S279" s="28">
        <f>IFERROR(IF(A279="","",MAX(0,R279-K279)),"")</f>
        <v/>
      </c>
      <c r="T279" s="29">
        <f>IFERROR(IF(A279="","",R279/H279),"")</f>
        <v/>
      </c>
      <c r="U279" s="29">
        <f>IFERROR(IF(A279="","",'Assumptions'!$B$5),"")</f>
        <v/>
      </c>
      <c r="V279" s="29">
        <f>IFERROR(IF(A279="","",T279-U279),"")</f>
        <v/>
      </c>
      <c r="W279" s="50" t="n"/>
      <c r="X279" s="50" t="n"/>
      <c r="Y279" s="51">
        <f>IFERROR(IF(A279="","",IF(X279&lt;&gt;"",X279,IF(W279&lt;&gt;"",W279,'Assumptions'!$B$8))),"")</f>
        <v/>
      </c>
      <c r="Z279" s="51">
        <f>IFERROR(IF(A279="","",R279*Y279),"")</f>
        <v/>
      </c>
      <c r="AA279" s="51">
        <f>IFERROR(IF(A279="","",Z279/H279),"")</f>
        <v/>
      </c>
      <c r="AB279" s="32" t="n"/>
      <c r="AC279" s="52" t="n"/>
      <c r="AD279" s="29">
        <f>IFERROR(IF(OR(A279="",AB279=""),"",AB279/H279),"")</f>
        <v/>
      </c>
      <c r="AE279" s="51">
        <f>IFERROR(IF(OR(A279="",AB279="",AC279=""),"",AB279*AC279),"")</f>
        <v/>
      </c>
      <c r="AF279" s="28">
        <f>IFERROR(IF(OR(A279="",AB279=""),"",AB279-R279),"")</f>
        <v/>
      </c>
      <c r="AG279" s="29">
        <f>IFERROR(IF(OR(A279="",AB279=""),"",IF(AD279-T279&lt;0,T279-AD279,AD279-T279)),"")</f>
        <v/>
      </c>
      <c r="AH279" s="51">
        <f>IFERROR(IF(OR(A279="",AE279=""),"",AE279-Z279),"")</f>
        <v/>
      </c>
      <c r="AI279" s="25">
        <f>IFERROR(IF(A279="","",IF(G279&gt;F279,"Check out-of-order rooms",IF(K279&gt;H279,"On the books exceeds sellable rooms",IF(R279&gt;H279,"Forecast exceeds sellable rooms",IF(AND(A279&lt;TODAY(),AB279=""),"Actual results missing","OK"))))),"")</f>
        <v/>
      </c>
    </row>
    <row r="280">
      <c r="A280" s="24" t="n"/>
      <c r="B280" s="25">
        <f>IFERROR(IF(A280="","",VLOOKUP(MOD(A280,7),'Assumptions'!$E$16:$F$22,2,0)),"")</f>
        <v/>
      </c>
      <c r="C280" s="25">
        <f>IFERROR(IF(A280="","",IF(A280&lt;TODAY(),"Past",IF(A280=TODAY(),"Today","Future"))),"")</f>
        <v/>
      </c>
      <c r="D280" s="26" t="n"/>
      <c r="E280" s="26" t="n"/>
      <c r="F280" s="27" t="n"/>
      <c r="G280" s="27" t="n"/>
      <c r="H280" s="28">
        <f>IFERROR(IF(A280="","",MAX(0,F280-G280)),"")</f>
        <v/>
      </c>
      <c r="I280" s="27" t="n"/>
      <c r="J280" s="27" t="n"/>
      <c r="K280" s="28">
        <f>IFERROR(IF(A280="","",I280+J280),"")</f>
        <v/>
      </c>
      <c r="L280" s="29">
        <f>IFERROR(IF(A280="","",K280/H280),"")</f>
        <v/>
      </c>
      <c r="M280" s="29">
        <f>IFERROR(IF(A280="","",VLOOKUP(B280,'Assumptions'!$A$16:$B$22,2,0)),"")</f>
        <v/>
      </c>
      <c r="N280" s="27" t="n"/>
      <c r="O280" s="27" t="n"/>
      <c r="P280" s="27" t="n"/>
      <c r="Q280" s="28">
        <f>IFERROR(IF(A280="","",MIN(H280,MAX(0,K280,ROUND(H280*M280,0)+N280+O280))),"")</f>
        <v/>
      </c>
      <c r="R280" s="28">
        <f>IFERROR(IF(A280="","",MIN(H280,MAX(0,IF(P280="",Q280,P280)))),"")</f>
        <v/>
      </c>
      <c r="S280" s="28">
        <f>IFERROR(IF(A280="","",MAX(0,R280-K280)),"")</f>
        <v/>
      </c>
      <c r="T280" s="29">
        <f>IFERROR(IF(A280="","",R280/H280),"")</f>
        <v/>
      </c>
      <c r="U280" s="29">
        <f>IFERROR(IF(A280="","",'Assumptions'!$B$5),"")</f>
        <v/>
      </c>
      <c r="V280" s="29">
        <f>IFERROR(IF(A280="","",T280-U280),"")</f>
        <v/>
      </c>
      <c r="W280" s="50" t="n"/>
      <c r="X280" s="50" t="n"/>
      <c r="Y280" s="51">
        <f>IFERROR(IF(A280="","",IF(X280&lt;&gt;"",X280,IF(W280&lt;&gt;"",W280,'Assumptions'!$B$8))),"")</f>
        <v/>
      </c>
      <c r="Z280" s="51">
        <f>IFERROR(IF(A280="","",R280*Y280),"")</f>
        <v/>
      </c>
      <c r="AA280" s="51">
        <f>IFERROR(IF(A280="","",Z280/H280),"")</f>
        <v/>
      </c>
      <c r="AB280" s="32" t="n"/>
      <c r="AC280" s="52" t="n"/>
      <c r="AD280" s="29">
        <f>IFERROR(IF(OR(A280="",AB280=""),"",AB280/H280),"")</f>
        <v/>
      </c>
      <c r="AE280" s="51">
        <f>IFERROR(IF(OR(A280="",AB280="",AC280=""),"",AB280*AC280),"")</f>
        <v/>
      </c>
      <c r="AF280" s="28">
        <f>IFERROR(IF(OR(A280="",AB280=""),"",AB280-R280),"")</f>
        <v/>
      </c>
      <c r="AG280" s="29">
        <f>IFERROR(IF(OR(A280="",AB280=""),"",IF(AD280-T280&lt;0,T280-AD280,AD280-T280)),"")</f>
        <v/>
      </c>
      <c r="AH280" s="51">
        <f>IFERROR(IF(OR(A280="",AE280=""),"",AE280-Z280),"")</f>
        <v/>
      </c>
      <c r="AI280" s="25">
        <f>IFERROR(IF(A280="","",IF(G280&gt;F280,"Check out-of-order rooms",IF(K280&gt;H280,"On the books exceeds sellable rooms",IF(R280&gt;H280,"Forecast exceeds sellable rooms",IF(AND(A280&lt;TODAY(),AB280=""),"Actual results missing","OK"))))),"")</f>
        <v/>
      </c>
    </row>
    <row r="281">
      <c r="A281" s="24" t="n"/>
      <c r="B281" s="25">
        <f>IFERROR(IF(A281="","",VLOOKUP(MOD(A281,7),'Assumptions'!$E$16:$F$22,2,0)),"")</f>
        <v/>
      </c>
      <c r="C281" s="25">
        <f>IFERROR(IF(A281="","",IF(A281&lt;TODAY(),"Past",IF(A281=TODAY(),"Today","Future"))),"")</f>
        <v/>
      </c>
      <c r="D281" s="26" t="n"/>
      <c r="E281" s="26" t="n"/>
      <c r="F281" s="27" t="n"/>
      <c r="G281" s="27" t="n"/>
      <c r="H281" s="28">
        <f>IFERROR(IF(A281="","",MAX(0,F281-G281)),"")</f>
        <v/>
      </c>
      <c r="I281" s="27" t="n"/>
      <c r="J281" s="27" t="n"/>
      <c r="K281" s="28">
        <f>IFERROR(IF(A281="","",I281+J281),"")</f>
        <v/>
      </c>
      <c r="L281" s="29">
        <f>IFERROR(IF(A281="","",K281/H281),"")</f>
        <v/>
      </c>
      <c r="M281" s="29">
        <f>IFERROR(IF(A281="","",VLOOKUP(B281,'Assumptions'!$A$16:$B$22,2,0)),"")</f>
        <v/>
      </c>
      <c r="N281" s="27" t="n"/>
      <c r="O281" s="27" t="n"/>
      <c r="P281" s="27" t="n"/>
      <c r="Q281" s="28">
        <f>IFERROR(IF(A281="","",MIN(H281,MAX(0,K281,ROUND(H281*M281,0)+N281+O281))),"")</f>
        <v/>
      </c>
      <c r="R281" s="28">
        <f>IFERROR(IF(A281="","",MIN(H281,MAX(0,IF(P281="",Q281,P281)))),"")</f>
        <v/>
      </c>
      <c r="S281" s="28">
        <f>IFERROR(IF(A281="","",MAX(0,R281-K281)),"")</f>
        <v/>
      </c>
      <c r="T281" s="29">
        <f>IFERROR(IF(A281="","",R281/H281),"")</f>
        <v/>
      </c>
      <c r="U281" s="29">
        <f>IFERROR(IF(A281="","",'Assumptions'!$B$5),"")</f>
        <v/>
      </c>
      <c r="V281" s="29">
        <f>IFERROR(IF(A281="","",T281-U281),"")</f>
        <v/>
      </c>
      <c r="W281" s="50" t="n"/>
      <c r="X281" s="50" t="n"/>
      <c r="Y281" s="51">
        <f>IFERROR(IF(A281="","",IF(X281&lt;&gt;"",X281,IF(W281&lt;&gt;"",W281,'Assumptions'!$B$8))),"")</f>
        <v/>
      </c>
      <c r="Z281" s="51">
        <f>IFERROR(IF(A281="","",R281*Y281),"")</f>
        <v/>
      </c>
      <c r="AA281" s="51">
        <f>IFERROR(IF(A281="","",Z281/H281),"")</f>
        <v/>
      </c>
      <c r="AB281" s="32" t="n"/>
      <c r="AC281" s="52" t="n"/>
      <c r="AD281" s="29">
        <f>IFERROR(IF(OR(A281="",AB281=""),"",AB281/H281),"")</f>
        <v/>
      </c>
      <c r="AE281" s="51">
        <f>IFERROR(IF(OR(A281="",AB281="",AC281=""),"",AB281*AC281),"")</f>
        <v/>
      </c>
      <c r="AF281" s="28">
        <f>IFERROR(IF(OR(A281="",AB281=""),"",AB281-R281),"")</f>
        <v/>
      </c>
      <c r="AG281" s="29">
        <f>IFERROR(IF(OR(A281="",AB281=""),"",IF(AD281-T281&lt;0,T281-AD281,AD281-T281)),"")</f>
        <v/>
      </c>
      <c r="AH281" s="51">
        <f>IFERROR(IF(OR(A281="",AE281=""),"",AE281-Z281),"")</f>
        <v/>
      </c>
      <c r="AI281" s="25">
        <f>IFERROR(IF(A281="","",IF(G281&gt;F281,"Check out-of-order rooms",IF(K281&gt;H281,"On the books exceeds sellable rooms",IF(R281&gt;H281,"Forecast exceeds sellable rooms",IF(AND(A281&lt;TODAY(),AB281=""),"Actual results missing","OK"))))),"")</f>
        <v/>
      </c>
    </row>
    <row r="282">
      <c r="A282" s="24" t="n"/>
      <c r="B282" s="25">
        <f>IFERROR(IF(A282="","",VLOOKUP(MOD(A282,7),'Assumptions'!$E$16:$F$22,2,0)),"")</f>
        <v/>
      </c>
      <c r="C282" s="25">
        <f>IFERROR(IF(A282="","",IF(A282&lt;TODAY(),"Past",IF(A282=TODAY(),"Today","Future"))),"")</f>
        <v/>
      </c>
      <c r="D282" s="26" t="n"/>
      <c r="E282" s="26" t="n"/>
      <c r="F282" s="27" t="n"/>
      <c r="G282" s="27" t="n"/>
      <c r="H282" s="28">
        <f>IFERROR(IF(A282="","",MAX(0,F282-G282)),"")</f>
        <v/>
      </c>
      <c r="I282" s="27" t="n"/>
      <c r="J282" s="27" t="n"/>
      <c r="K282" s="28">
        <f>IFERROR(IF(A282="","",I282+J282),"")</f>
        <v/>
      </c>
      <c r="L282" s="29">
        <f>IFERROR(IF(A282="","",K282/H282),"")</f>
        <v/>
      </c>
      <c r="M282" s="29">
        <f>IFERROR(IF(A282="","",VLOOKUP(B282,'Assumptions'!$A$16:$B$22,2,0)),"")</f>
        <v/>
      </c>
      <c r="N282" s="27" t="n"/>
      <c r="O282" s="27" t="n"/>
      <c r="P282" s="27" t="n"/>
      <c r="Q282" s="28">
        <f>IFERROR(IF(A282="","",MIN(H282,MAX(0,K282,ROUND(H282*M282,0)+N282+O282))),"")</f>
        <v/>
      </c>
      <c r="R282" s="28">
        <f>IFERROR(IF(A282="","",MIN(H282,MAX(0,IF(P282="",Q282,P282)))),"")</f>
        <v/>
      </c>
      <c r="S282" s="28">
        <f>IFERROR(IF(A282="","",MAX(0,R282-K282)),"")</f>
        <v/>
      </c>
      <c r="T282" s="29">
        <f>IFERROR(IF(A282="","",R282/H282),"")</f>
        <v/>
      </c>
      <c r="U282" s="29">
        <f>IFERROR(IF(A282="","",'Assumptions'!$B$5),"")</f>
        <v/>
      </c>
      <c r="V282" s="29">
        <f>IFERROR(IF(A282="","",T282-U282),"")</f>
        <v/>
      </c>
      <c r="W282" s="50" t="n"/>
      <c r="X282" s="50" t="n"/>
      <c r="Y282" s="51">
        <f>IFERROR(IF(A282="","",IF(X282&lt;&gt;"",X282,IF(W282&lt;&gt;"",W282,'Assumptions'!$B$8))),"")</f>
        <v/>
      </c>
      <c r="Z282" s="51">
        <f>IFERROR(IF(A282="","",R282*Y282),"")</f>
        <v/>
      </c>
      <c r="AA282" s="51">
        <f>IFERROR(IF(A282="","",Z282/H282),"")</f>
        <v/>
      </c>
      <c r="AB282" s="32" t="n"/>
      <c r="AC282" s="52" t="n"/>
      <c r="AD282" s="29">
        <f>IFERROR(IF(OR(A282="",AB282=""),"",AB282/H282),"")</f>
        <v/>
      </c>
      <c r="AE282" s="51">
        <f>IFERROR(IF(OR(A282="",AB282="",AC282=""),"",AB282*AC282),"")</f>
        <v/>
      </c>
      <c r="AF282" s="28">
        <f>IFERROR(IF(OR(A282="",AB282=""),"",AB282-R282),"")</f>
        <v/>
      </c>
      <c r="AG282" s="29">
        <f>IFERROR(IF(OR(A282="",AB282=""),"",IF(AD282-T282&lt;0,T282-AD282,AD282-T282)),"")</f>
        <v/>
      </c>
      <c r="AH282" s="51">
        <f>IFERROR(IF(OR(A282="",AE282=""),"",AE282-Z282),"")</f>
        <v/>
      </c>
      <c r="AI282" s="25">
        <f>IFERROR(IF(A282="","",IF(G282&gt;F282,"Check out-of-order rooms",IF(K282&gt;H282,"On the books exceeds sellable rooms",IF(R282&gt;H282,"Forecast exceeds sellable rooms",IF(AND(A282&lt;TODAY(),AB282=""),"Actual results missing","OK"))))),"")</f>
        <v/>
      </c>
    </row>
    <row r="283">
      <c r="A283" s="24" t="n"/>
      <c r="B283" s="25">
        <f>IFERROR(IF(A283="","",VLOOKUP(MOD(A283,7),'Assumptions'!$E$16:$F$22,2,0)),"")</f>
        <v/>
      </c>
      <c r="C283" s="25">
        <f>IFERROR(IF(A283="","",IF(A283&lt;TODAY(),"Past",IF(A283=TODAY(),"Today","Future"))),"")</f>
        <v/>
      </c>
      <c r="D283" s="26" t="n"/>
      <c r="E283" s="26" t="n"/>
      <c r="F283" s="27" t="n"/>
      <c r="G283" s="27" t="n"/>
      <c r="H283" s="28">
        <f>IFERROR(IF(A283="","",MAX(0,F283-G283)),"")</f>
        <v/>
      </c>
      <c r="I283" s="27" t="n"/>
      <c r="J283" s="27" t="n"/>
      <c r="K283" s="28">
        <f>IFERROR(IF(A283="","",I283+J283),"")</f>
        <v/>
      </c>
      <c r="L283" s="29">
        <f>IFERROR(IF(A283="","",K283/H283),"")</f>
        <v/>
      </c>
      <c r="M283" s="29">
        <f>IFERROR(IF(A283="","",VLOOKUP(B283,'Assumptions'!$A$16:$B$22,2,0)),"")</f>
        <v/>
      </c>
      <c r="N283" s="27" t="n"/>
      <c r="O283" s="27" t="n"/>
      <c r="P283" s="27" t="n"/>
      <c r="Q283" s="28">
        <f>IFERROR(IF(A283="","",MIN(H283,MAX(0,K283,ROUND(H283*M283,0)+N283+O283))),"")</f>
        <v/>
      </c>
      <c r="R283" s="28">
        <f>IFERROR(IF(A283="","",MIN(H283,MAX(0,IF(P283="",Q283,P283)))),"")</f>
        <v/>
      </c>
      <c r="S283" s="28">
        <f>IFERROR(IF(A283="","",MAX(0,R283-K283)),"")</f>
        <v/>
      </c>
      <c r="T283" s="29">
        <f>IFERROR(IF(A283="","",R283/H283),"")</f>
        <v/>
      </c>
      <c r="U283" s="29">
        <f>IFERROR(IF(A283="","",'Assumptions'!$B$5),"")</f>
        <v/>
      </c>
      <c r="V283" s="29">
        <f>IFERROR(IF(A283="","",T283-U283),"")</f>
        <v/>
      </c>
      <c r="W283" s="50" t="n"/>
      <c r="X283" s="50" t="n"/>
      <c r="Y283" s="51">
        <f>IFERROR(IF(A283="","",IF(X283&lt;&gt;"",X283,IF(W283&lt;&gt;"",W283,'Assumptions'!$B$8))),"")</f>
        <v/>
      </c>
      <c r="Z283" s="51">
        <f>IFERROR(IF(A283="","",R283*Y283),"")</f>
        <v/>
      </c>
      <c r="AA283" s="51">
        <f>IFERROR(IF(A283="","",Z283/H283),"")</f>
        <v/>
      </c>
      <c r="AB283" s="32" t="n"/>
      <c r="AC283" s="52" t="n"/>
      <c r="AD283" s="29">
        <f>IFERROR(IF(OR(A283="",AB283=""),"",AB283/H283),"")</f>
        <v/>
      </c>
      <c r="AE283" s="51">
        <f>IFERROR(IF(OR(A283="",AB283="",AC283=""),"",AB283*AC283),"")</f>
        <v/>
      </c>
      <c r="AF283" s="28">
        <f>IFERROR(IF(OR(A283="",AB283=""),"",AB283-R283),"")</f>
        <v/>
      </c>
      <c r="AG283" s="29">
        <f>IFERROR(IF(OR(A283="",AB283=""),"",IF(AD283-T283&lt;0,T283-AD283,AD283-T283)),"")</f>
        <v/>
      </c>
      <c r="AH283" s="51">
        <f>IFERROR(IF(OR(A283="",AE283=""),"",AE283-Z283),"")</f>
        <v/>
      </c>
      <c r="AI283" s="25">
        <f>IFERROR(IF(A283="","",IF(G283&gt;F283,"Check out-of-order rooms",IF(K283&gt;H283,"On the books exceeds sellable rooms",IF(R283&gt;H283,"Forecast exceeds sellable rooms",IF(AND(A283&lt;TODAY(),AB283=""),"Actual results missing","OK"))))),"")</f>
        <v/>
      </c>
    </row>
    <row r="284">
      <c r="A284" s="24" t="n"/>
      <c r="B284" s="25">
        <f>IFERROR(IF(A284="","",VLOOKUP(MOD(A284,7),'Assumptions'!$E$16:$F$22,2,0)),"")</f>
        <v/>
      </c>
      <c r="C284" s="25">
        <f>IFERROR(IF(A284="","",IF(A284&lt;TODAY(),"Past",IF(A284=TODAY(),"Today","Future"))),"")</f>
        <v/>
      </c>
      <c r="D284" s="26" t="n"/>
      <c r="E284" s="26" t="n"/>
      <c r="F284" s="27" t="n"/>
      <c r="G284" s="27" t="n"/>
      <c r="H284" s="28">
        <f>IFERROR(IF(A284="","",MAX(0,F284-G284)),"")</f>
        <v/>
      </c>
      <c r="I284" s="27" t="n"/>
      <c r="J284" s="27" t="n"/>
      <c r="K284" s="28">
        <f>IFERROR(IF(A284="","",I284+J284),"")</f>
        <v/>
      </c>
      <c r="L284" s="29">
        <f>IFERROR(IF(A284="","",K284/H284),"")</f>
        <v/>
      </c>
      <c r="M284" s="29">
        <f>IFERROR(IF(A284="","",VLOOKUP(B284,'Assumptions'!$A$16:$B$22,2,0)),"")</f>
        <v/>
      </c>
      <c r="N284" s="27" t="n"/>
      <c r="O284" s="27" t="n"/>
      <c r="P284" s="27" t="n"/>
      <c r="Q284" s="28">
        <f>IFERROR(IF(A284="","",MIN(H284,MAX(0,K284,ROUND(H284*M284,0)+N284+O284))),"")</f>
        <v/>
      </c>
      <c r="R284" s="28">
        <f>IFERROR(IF(A284="","",MIN(H284,MAX(0,IF(P284="",Q284,P284)))),"")</f>
        <v/>
      </c>
      <c r="S284" s="28">
        <f>IFERROR(IF(A284="","",MAX(0,R284-K284)),"")</f>
        <v/>
      </c>
      <c r="T284" s="29">
        <f>IFERROR(IF(A284="","",R284/H284),"")</f>
        <v/>
      </c>
      <c r="U284" s="29">
        <f>IFERROR(IF(A284="","",'Assumptions'!$B$5),"")</f>
        <v/>
      </c>
      <c r="V284" s="29">
        <f>IFERROR(IF(A284="","",T284-U284),"")</f>
        <v/>
      </c>
      <c r="W284" s="50" t="n"/>
      <c r="X284" s="50" t="n"/>
      <c r="Y284" s="51">
        <f>IFERROR(IF(A284="","",IF(X284&lt;&gt;"",X284,IF(W284&lt;&gt;"",W284,'Assumptions'!$B$8))),"")</f>
        <v/>
      </c>
      <c r="Z284" s="51">
        <f>IFERROR(IF(A284="","",R284*Y284),"")</f>
        <v/>
      </c>
      <c r="AA284" s="51">
        <f>IFERROR(IF(A284="","",Z284/H284),"")</f>
        <v/>
      </c>
      <c r="AB284" s="32" t="n"/>
      <c r="AC284" s="52" t="n"/>
      <c r="AD284" s="29">
        <f>IFERROR(IF(OR(A284="",AB284=""),"",AB284/H284),"")</f>
        <v/>
      </c>
      <c r="AE284" s="51">
        <f>IFERROR(IF(OR(A284="",AB284="",AC284=""),"",AB284*AC284),"")</f>
        <v/>
      </c>
      <c r="AF284" s="28">
        <f>IFERROR(IF(OR(A284="",AB284=""),"",AB284-R284),"")</f>
        <v/>
      </c>
      <c r="AG284" s="29">
        <f>IFERROR(IF(OR(A284="",AB284=""),"",IF(AD284-T284&lt;0,T284-AD284,AD284-T284)),"")</f>
        <v/>
      </c>
      <c r="AH284" s="51">
        <f>IFERROR(IF(OR(A284="",AE284=""),"",AE284-Z284),"")</f>
        <v/>
      </c>
      <c r="AI284" s="25">
        <f>IFERROR(IF(A284="","",IF(G284&gt;F284,"Check out-of-order rooms",IF(K284&gt;H284,"On the books exceeds sellable rooms",IF(R284&gt;H284,"Forecast exceeds sellable rooms",IF(AND(A284&lt;TODAY(),AB284=""),"Actual results missing","OK"))))),"")</f>
        <v/>
      </c>
    </row>
    <row r="285">
      <c r="A285" s="24" t="n"/>
      <c r="B285" s="25">
        <f>IFERROR(IF(A285="","",VLOOKUP(MOD(A285,7),'Assumptions'!$E$16:$F$22,2,0)),"")</f>
        <v/>
      </c>
      <c r="C285" s="25">
        <f>IFERROR(IF(A285="","",IF(A285&lt;TODAY(),"Past",IF(A285=TODAY(),"Today","Future"))),"")</f>
        <v/>
      </c>
      <c r="D285" s="26" t="n"/>
      <c r="E285" s="26" t="n"/>
      <c r="F285" s="27" t="n"/>
      <c r="G285" s="27" t="n"/>
      <c r="H285" s="28">
        <f>IFERROR(IF(A285="","",MAX(0,F285-G285)),"")</f>
        <v/>
      </c>
      <c r="I285" s="27" t="n"/>
      <c r="J285" s="27" t="n"/>
      <c r="K285" s="28">
        <f>IFERROR(IF(A285="","",I285+J285),"")</f>
        <v/>
      </c>
      <c r="L285" s="29">
        <f>IFERROR(IF(A285="","",K285/H285),"")</f>
        <v/>
      </c>
      <c r="M285" s="29">
        <f>IFERROR(IF(A285="","",VLOOKUP(B285,'Assumptions'!$A$16:$B$22,2,0)),"")</f>
        <v/>
      </c>
      <c r="N285" s="27" t="n"/>
      <c r="O285" s="27" t="n"/>
      <c r="P285" s="27" t="n"/>
      <c r="Q285" s="28">
        <f>IFERROR(IF(A285="","",MIN(H285,MAX(0,K285,ROUND(H285*M285,0)+N285+O285))),"")</f>
        <v/>
      </c>
      <c r="R285" s="28">
        <f>IFERROR(IF(A285="","",MIN(H285,MAX(0,IF(P285="",Q285,P285)))),"")</f>
        <v/>
      </c>
      <c r="S285" s="28">
        <f>IFERROR(IF(A285="","",MAX(0,R285-K285)),"")</f>
        <v/>
      </c>
      <c r="T285" s="29">
        <f>IFERROR(IF(A285="","",R285/H285),"")</f>
        <v/>
      </c>
      <c r="U285" s="29">
        <f>IFERROR(IF(A285="","",'Assumptions'!$B$5),"")</f>
        <v/>
      </c>
      <c r="V285" s="29">
        <f>IFERROR(IF(A285="","",T285-U285),"")</f>
        <v/>
      </c>
      <c r="W285" s="50" t="n"/>
      <c r="X285" s="50" t="n"/>
      <c r="Y285" s="51">
        <f>IFERROR(IF(A285="","",IF(X285&lt;&gt;"",X285,IF(W285&lt;&gt;"",W285,'Assumptions'!$B$8))),"")</f>
        <v/>
      </c>
      <c r="Z285" s="51">
        <f>IFERROR(IF(A285="","",R285*Y285),"")</f>
        <v/>
      </c>
      <c r="AA285" s="51">
        <f>IFERROR(IF(A285="","",Z285/H285),"")</f>
        <v/>
      </c>
      <c r="AB285" s="32" t="n"/>
      <c r="AC285" s="52" t="n"/>
      <c r="AD285" s="29">
        <f>IFERROR(IF(OR(A285="",AB285=""),"",AB285/H285),"")</f>
        <v/>
      </c>
      <c r="AE285" s="51">
        <f>IFERROR(IF(OR(A285="",AB285="",AC285=""),"",AB285*AC285),"")</f>
        <v/>
      </c>
      <c r="AF285" s="28">
        <f>IFERROR(IF(OR(A285="",AB285=""),"",AB285-R285),"")</f>
        <v/>
      </c>
      <c r="AG285" s="29">
        <f>IFERROR(IF(OR(A285="",AB285=""),"",IF(AD285-T285&lt;0,T285-AD285,AD285-T285)),"")</f>
        <v/>
      </c>
      <c r="AH285" s="51">
        <f>IFERROR(IF(OR(A285="",AE285=""),"",AE285-Z285),"")</f>
        <v/>
      </c>
      <c r="AI285" s="25">
        <f>IFERROR(IF(A285="","",IF(G285&gt;F285,"Check out-of-order rooms",IF(K285&gt;H285,"On the books exceeds sellable rooms",IF(R285&gt;H285,"Forecast exceeds sellable rooms",IF(AND(A285&lt;TODAY(),AB285=""),"Actual results missing","OK"))))),"")</f>
        <v/>
      </c>
    </row>
    <row r="286">
      <c r="A286" s="24" t="n"/>
      <c r="B286" s="25">
        <f>IFERROR(IF(A286="","",VLOOKUP(MOD(A286,7),'Assumptions'!$E$16:$F$22,2,0)),"")</f>
        <v/>
      </c>
      <c r="C286" s="25">
        <f>IFERROR(IF(A286="","",IF(A286&lt;TODAY(),"Past",IF(A286=TODAY(),"Today","Future"))),"")</f>
        <v/>
      </c>
      <c r="D286" s="26" t="n"/>
      <c r="E286" s="26" t="n"/>
      <c r="F286" s="27" t="n"/>
      <c r="G286" s="27" t="n"/>
      <c r="H286" s="28">
        <f>IFERROR(IF(A286="","",MAX(0,F286-G286)),"")</f>
        <v/>
      </c>
      <c r="I286" s="27" t="n"/>
      <c r="J286" s="27" t="n"/>
      <c r="K286" s="28">
        <f>IFERROR(IF(A286="","",I286+J286),"")</f>
        <v/>
      </c>
      <c r="L286" s="29">
        <f>IFERROR(IF(A286="","",K286/H286),"")</f>
        <v/>
      </c>
      <c r="M286" s="29">
        <f>IFERROR(IF(A286="","",VLOOKUP(B286,'Assumptions'!$A$16:$B$22,2,0)),"")</f>
        <v/>
      </c>
      <c r="N286" s="27" t="n"/>
      <c r="O286" s="27" t="n"/>
      <c r="P286" s="27" t="n"/>
      <c r="Q286" s="28">
        <f>IFERROR(IF(A286="","",MIN(H286,MAX(0,K286,ROUND(H286*M286,0)+N286+O286))),"")</f>
        <v/>
      </c>
      <c r="R286" s="28">
        <f>IFERROR(IF(A286="","",MIN(H286,MAX(0,IF(P286="",Q286,P286)))),"")</f>
        <v/>
      </c>
      <c r="S286" s="28">
        <f>IFERROR(IF(A286="","",MAX(0,R286-K286)),"")</f>
        <v/>
      </c>
      <c r="T286" s="29">
        <f>IFERROR(IF(A286="","",R286/H286),"")</f>
        <v/>
      </c>
      <c r="U286" s="29">
        <f>IFERROR(IF(A286="","",'Assumptions'!$B$5),"")</f>
        <v/>
      </c>
      <c r="V286" s="29">
        <f>IFERROR(IF(A286="","",T286-U286),"")</f>
        <v/>
      </c>
      <c r="W286" s="50" t="n"/>
      <c r="X286" s="50" t="n"/>
      <c r="Y286" s="51">
        <f>IFERROR(IF(A286="","",IF(X286&lt;&gt;"",X286,IF(W286&lt;&gt;"",W286,'Assumptions'!$B$8))),"")</f>
        <v/>
      </c>
      <c r="Z286" s="51">
        <f>IFERROR(IF(A286="","",R286*Y286),"")</f>
        <v/>
      </c>
      <c r="AA286" s="51">
        <f>IFERROR(IF(A286="","",Z286/H286),"")</f>
        <v/>
      </c>
      <c r="AB286" s="32" t="n"/>
      <c r="AC286" s="52" t="n"/>
      <c r="AD286" s="29">
        <f>IFERROR(IF(OR(A286="",AB286=""),"",AB286/H286),"")</f>
        <v/>
      </c>
      <c r="AE286" s="51">
        <f>IFERROR(IF(OR(A286="",AB286="",AC286=""),"",AB286*AC286),"")</f>
        <v/>
      </c>
      <c r="AF286" s="28">
        <f>IFERROR(IF(OR(A286="",AB286=""),"",AB286-R286),"")</f>
        <v/>
      </c>
      <c r="AG286" s="29">
        <f>IFERROR(IF(OR(A286="",AB286=""),"",IF(AD286-T286&lt;0,T286-AD286,AD286-T286)),"")</f>
        <v/>
      </c>
      <c r="AH286" s="51">
        <f>IFERROR(IF(OR(A286="",AE286=""),"",AE286-Z286),"")</f>
        <v/>
      </c>
      <c r="AI286" s="25">
        <f>IFERROR(IF(A286="","",IF(G286&gt;F286,"Check out-of-order rooms",IF(K286&gt;H286,"On the books exceeds sellable rooms",IF(R286&gt;H286,"Forecast exceeds sellable rooms",IF(AND(A286&lt;TODAY(),AB286=""),"Actual results missing","OK"))))),"")</f>
        <v/>
      </c>
    </row>
    <row r="287">
      <c r="A287" s="24" t="n"/>
      <c r="B287" s="25">
        <f>IFERROR(IF(A287="","",VLOOKUP(MOD(A287,7),'Assumptions'!$E$16:$F$22,2,0)),"")</f>
        <v/>
      </c>
      <c r="C287" s="25">
        <f>IFERROR(IF(A287="","",IF(A287&lt;TODAY(),"Past",IF(A287=TODAY(),"Today","Future"))),"")</f>
        <v/>
      </c>
      <c r="D287" s="26" t="n"/>
      <c r="E287" s="26" t="n"/>
      <c r="F287" s="27" t="n"/>
      <c r="G287" s="27" t="n"/>
      <c r="H287" s="28">
        <f>IFERROR(IF(A287="","",MAX(0,F287-G287)),"")</f>
        <v/>
      </c>
      <c r="I287" s="27" t="n"/>
      <c r="J287" s="27" t="n"/>
      <c r="K287" s="28">
        <f>IFERROR(IF(A287="","",I287+J287),"")</f>
        <v/>
      </c>
      <c r="L287" s="29">
        <f>IFERROR(IF(A287="","",K287/H287),"")</f>
        <v/>
      </c>
      <c r="M287" s="29">
        <f>IFERROR(IF(A287="","",VLOOKUP(B287,'Assumptions'!$A$16:$B$22,2,0)),"")</f>
        <v/>
      </c>
      <c r="N287" s="27" t="n"/>
      <c r="O287" s="27" t="n"/>
      <c r="P287" s="27" t="n"/>
      <c r="Q287" s="28">
        <f>IFERROR(IF(A287="","",MIN(H287,MAX(0,K287,ROUND(H287*M287,0)+N287+O287))),"")</f>
        <v/>
      </c>
      <c r="R287" s="28">
        <f>IFERROR(IF(A287="","",MIN(H287,MAX(0,IF(P287="",Q287,P287)))),"")</f>
        <v/>
      </c>
      <c r="S287" s="28">
        <f>IFERROR(IF(A287="","",MAX(0,R287-K287)),"")</f>
        <v/>
      </c>
      <c r="T287" s="29">
        <f>IFERROR(IF(A287="","",R287/H287),"")</f>
        <v/>
      </c>
      <c r="U287" s="29">
        <f>IFERROR(IF(A287="","",'Assumptions'!$B$5),"")</f>
        <v/>
      </c>
      <c r="V287" s="29">
        <f>IFERROR(IF(A287="","",T287-U287),"")</f>
        <v/>
      </c>
      <c r="W287" s="50" t="n"/>
      <c r="X287" s="50" t="n"/>
      <c r="Y287" s="51">
        <f>IFERROR(IF(A287="","",IF(X287&lt;&gt;"",X287,IF(W287&lt;&gt;"",W287,'Assumptions'!$B$8))),"")</f>
        <v/>
      </c>
      <c r="Z287" s="51">
        <f>IFERROR(IF(A287="","",R287*Y287),"")</f>
        <v/>
      </c>
      <c r="AA287" s="51">
        <f>IFERROR(IF(A287="","",Z287/H287),"")</f>
        <v/>
      </c>
      <c r="AB287" s="32" t="n"/>
      <c r="AC287" s="52" t="n"/>
      <c r="AD287" s="29">
        <f>IFERROR(IF(OR(A287="",AB287=""),"",AB287/H287),"")</f>
        <v/>
      </c>
      <c r="AE287" s="51">
        <f>IFERROR(IF(OR(A287="",AB287="",AC287=""),"",AB287*AC287),"")</f>
        <v/>
      </c>
      <c r="AF287" s="28">
        <f>IFERROR(IF(OR(A287="",AB287=""),"",AB287-R287),"")</f>
        <v/>
      </c>
      <c r="AG287" s="29">
        <f>IFERROR(IF(OR(A287="",AB287=""),"",IF(AD287-T287&lt;0,T287-AD287,AD287-T287)),"")</f>
        <v/>
      </c>
      <c r="AH287" s="51">
        <f>IFERROR(IF(OR(A287="",AE287=""),"",AE287-Z287),"")</f>
        <v/>
      </c>
      <c r="AI287" s="25">
        <f>IFERROR(IF(A287="","",IF(G287&gt;F287,"Check out-of-order rooms",IF(K287&gt;H287,"On the books exceeds sellable rooms",IF(R287&gt;H287,"Forecast exceeds sellable rooms",IF(AND(A287&lt;TODAY(),AB287=""),"Actual results missing","OK"))))),"")</f>
        <v/>
      </c>
    </row>
    <row r="288">
      <c r="A288" s="24" t="n"/>
      <c r="B288" s="25">
        <f>IFERROR(IF(A288="","",VLOOKUP(MOD(A288,7),'Assumptions'!$E$16:$F$22,2,0)),"")</f>
        <v/>
      </c>
      <c r="C288" s="25">
        <f>IFERROR(IF(A288="","",IF(A288&lt;TODAY(),"Past",IF(A288=TODAY(),"Today","Future"))),"")</f>
        <v/>
      </c>
      <c r="D288" s="26" t="n"/>
      <c r="E288" s="26" t="n"/>
      <c r="F288" s="27" t="n"/>
      <c r="G288" s="27" t="n"/>
      <c r="H288" s="28">
        <f>IFERROR(IF(A288="","",MAX(0,F288-G288)),"")</f>
        <v/>
      </c>
      <c r="I288" s="27" t="n"/>
      <c r="J288" s="27" t="n"/>
      <c r="K288" s="28">
        <f>IFERROR(IF(A288="","",I288+J288),"")</f>
        <v/>
      </c>
      <c r="L288" s="29">
        <f>IFERROR(IF(A288="","",K288/H288),"")</f>
        <v/>
      </c>
      <c r="M288" s="29">
        <f>IFERROR(IF(A288="","",VLOOKUP(B288,'Assumptions'!$A$16:$B$22,2,0)),"")</f>
        <v/>
      </c>
      <c r="N288" s="27" t="n"/>
      <c r="O288" s="27" t="n"/>
      <c r="P288" s="27" t="n"/>
      <c r="Q288" s="28">
        <f>IFERROR(IF(A288="","",MIN(H288,MAX(0,K288,ROUND(H288*M288,0)+N288+O288))),"")</f>
        <v/>
      </c>
      <c r="R288" s="28">
        <f>IFERROR(IF(A288="","",MIN(H288,MAX(0,IF(P288="",Q288,P288)))),"")</f>
        <v/>
      </c>
      <c r="S288" s="28">
        <f>IFERROR(IF(A288="","",MAX(0,R288-K288)),"")</f>
        <v/>
      </c>
      <c r="T288" s="29">
        <f>IFERROR(IF(A288="","",R288/H288),"")</f>
        <v/>
      </c>
      <c r="U288" s="29">
        <f>IFERROR(IF(A288="","",'Assumptions'!$B$5),"")</f>
        <v/>
      </c>
      <c r="V288" s="29">
        <f>IFERROR(IF(A288="","",T288-U288),"")</f>
        <v/>
      </c>
      <c r="W288" s="50" t="n"/>
      <c r="X288" s="50" t="n"/>
      <c r="Y288" s="51">
        <f>IFERROR(IF(A288="","",IF(X288&lt;&gt;"",X288,IF(W288&lt;&gt;"",W288,'Assumptions'!$B$8))),"")</f>
        <v/>
      </c>
      <c r="Z288" s="51">
        <f>IFERROR(IF(A288="","",R288*Y288),"")</f>
        <v/>
      </c>
      <c r="AA288" s="51">
        <f>IFERROR(IF(A288="","",Z288/H288),"")</f>
        <v/>
      </c>
      <c r="AB288" s="32" t="n"/>
      <c r="AC288" s="52" t="n"/>
      <c r="AD288" s="29">
        <f>IFERROR(IF(OR(A288="",AB288=""),"",AB288/H288),"")</f>
        <v/>
      </c>
      <c r="AE288" s="51">
        <f>IFERROR(IF(OR(A288="",AB288="",AC288=""),"",AB288*AC288),"")</f>
        <v/>
      </c>
      <c r="AF288" s="28">
        <f>IFERROR(IF(OR(A288="",AB288=""),"",AB288-R288),"")</f>
        <v/>
      </c>
      <c r="AG288" s="29">
        <f>IFERROR(IF(OR(A288="",AB288=""),"",IF(AD288-T288&lt;0,T288-AD288,AD288-T288)),"")</f>
        <v/>
      </c>
      <c r="AH288" s="51">
        <f>IFERROR(IF(OR(A288="",AE288=""),"",AE288-Z288),"")</f>
        <v/>
      </c>
      <c r="AI288" s="25">
        <f>IFERROR(IF(A288="","",IF(G288&gt;F288,"Check out-of-order rooms",IF(K288&gt;H288,"On the books exceeds sellable rooms",IF(R288&gt;H288,"Forecast exceeds sellable rooms",IF(AND(A288&lt;TODAY(),AB288=""),"Actual results missing","OK"))))),"")</f>
        <v/>
      </c>
    </row>
    <row r="289">
      <c r="A289" s="24" t="n"/>
      <c r="B289" s="25">
        <f>IFERROR(IF(A289="","",VLOOKUP(MOD(A289,7),'Assumptions'!$E$16:$F$22,2,0)),"")</f>
        <v/>
      </c>
      <c r="C289" s="25">
        <f>IFERROR(IF(A289="","",IF(A289&lt;TODAY(),"Past",IF(A289=TODAY(),"Today","Future"))),"")</f>
        <v/>
      </c>
      <c r="D289" s="26" t="n"/>
      <c r="E289" s="26" t="n"/>
      <c r="F289" s="27" t="n"/>
      <c r="G289" s="27" t="n"/>
      <c r="H289" s="28">
        <f>IFERROR(IF(A289="","",MAX(0,F289-G289)),"")</f>
        <v/>
      </c>
      <c r="I289" s="27" t="n"/>
      <c r="J289" s="27" t="n"/>
      <c r="K289" s="28">
        <f>IFERROR(IF(A289="","",I289+J289),"")</f>
        <v/>
      </c>
      <c r="L289" s="29">
        <f>IFERROR(IF(A289="","",K289/H289),"")</f>
        <v/>
      </c>
      <c r="M289" s="29">
        <f>IFERROR(IF(A289="","",VLOOKUP(B289,'Assumptions'!$A$16:$B$22,2,0)),"")</f>
        <v/>
      </c>
      <c r="N289" s="27" t="n"/>
      <c r="O289" s="27" t="n"/>
      <c r="P289" s="27" t="n"/>
      <c r="Q289" s="28">
        <f>IFERROR(IF(A289="","",MIN(H289,MAX(0,K289,ROUND(H289*M289,0)+N289+O289))),"")</f>
        <v/>
      </c>
      <c r="R289" s="28">
        <f>IFERROR(IF(A289="","",MIN(H289,MAX(0,IF(P289="",Q289,P289)))),"")</f>
        <v/>
      </c>
      <c r="S289" s="28">
        <f>IFERROR(IF(A289="","",MAX(0,R289-K289)),"")</f>
        <v/>
      </c>
      <c r="T289" s="29">
        <f>IFERROR(IF(A289="","",R289/H289),"")</f>
        <v/>
      </c>
      <c r="U289" s="29">
        <f>IFERROR(IF(A289="","",'Assumptions'!$B$5),"")</f>
        <v/>
      </c>
      <c r="V289" s="29">
        <f>IFERROR(IF(A289="","",T289-U289),"")</f>
        <v/>
      </c>
      <c r="W289" s="50" t="n"/>
      <c r="X289" s="50" t="n"/>
      <c r="Y289" s="51">
        <f>IFERROR(IF(A289="","",IF(X289&lt;&gt;"",X289,IF(W289&lt;&gt;"",W289,'Assumptions'!$B$8))),"")</f>
        <v/>
      </c>
      <c r="Z289" s="51">
        <f>IFERROR(IF(A289="","",R289*Y289),"")</f>
        <v/>
      </c>
      <c r="AA289" s="51">
        <f>IFERROR(IF(A289="","",Z289/H289),"")</f>
        <v/>
      </c>
      <c r="AB289" s="32" t="n"/>
      <c r="AC289" s="52" t="n"/>
      <c r="AD289" s="29">
        <f>IFERROR(IF(OR(A289="",AB289=""),"",AB289/H289),"")</f>
        <v/>
      </c>
      <c r="AE289" s="51">
        <f>IFERROR(IF(OR(A289="",AB289="",AC289=""),"",AB289*AC289),"")</f>
        <v/>
      </c>
      <c r="AF289" s="28">
        <f>IFERROR(IF(OR(A289="",AB289=""),"",AB289-R289),"")</f>
        <v/>
      </c>
      <c r="AG289" s="29">
        <f>IFERROR(IF(OR(A289="",AB289=""),"",IF(AD289-T289&lt;0,T289-AD289,AD289-T289)),"")</f>
        <v/>
      </c>
      <c r="AH289" s="51">
        <f>IFERROR(IF(OR(A289="",AE289=""),"",AE289-Z289),"")</f>
        <v/>
      </c>
      <c r="AI289" s="25">
        <f>IFERROR(IF(A289="","",IF(G289&gt;F289,"Check out-of-order rooms",IF(K289&gt;H289,"On the books exceeds sellable rooms",IF(R289&gt;H289,"Forecast exceeds sellable rooms",IF(AND(A289&lt;TODAY(),AB289=""),"Actual results missing","OK"))))),"")</f>
        <v/>
      </c>
    </row>
    <row r="290">
      <c r="A290" s="24" t="n"/>
      <c r="B290" s="25">
        <f>IFERROR(IF(A290="","",VLOOKUP(MOD(A290,7),'Assumptions'!$E$16:$F$22,2,0)),"")</f>
        <v/>
      </c>
      <c r="C290" s="25">
        <f>IFERROR(IF(A290="","",IF(A290&lt;TODAY(),"Past",IF(A290=TODAY(),"Today","Future"))),"")</f>
        <v/>
      </c>
      <c r="D290" s="26" t="n"/>
      <c r="E290" s="26" t="n"/>
      <c r="F290" s="27" t="n"/>
      <c r="G290" s="27" t="n"/>
      <c r="H290" s="28">
        <f>IFERROR(IF(A290="","",MAX(0,F290-G290)),"")</f>
        <v/>
      </c>
      <c r="I290" s="27" t="n"/>
      <c r="J290" s="27" t="n"/>
      <c r="K290" s="28">
        <f>IFERROR(IF(A290="","",I290+J290),"")</f>
        <v/>
      </c>
      <c r="L290" s="29">
        <f>IFERROR(IF(A290="","",K290/H290),"")</f>
        <v/>
      </c>
      <c r="M290" s="29">
        <f>IFERROR(IF(A290="","",VLOOKUP(B290,'Assumptions'!$A$16:$B$22,2,0)),"")</f>
        <v/>
      </c>
      <c r="N290" s="27" t="n"/>
      <c r="O290" s="27" t="n"/>
      <c r="P290" s="27" t="n"/>
      <c r="Q290" s="28">
        <f>IFERROR(IF(A290="","",MIN(H290,MAX(0,K290,ROUND(H290*M290,0)+N290+O290))),"")</f>
        <v/>
      </c>
      <c r="R290" s="28">
        <f>IFERROR(IF(A290="","",MIN(H290,MAX(0,IF(P290="",Q290,P290)))),"")</f>
        <v/>
      </c>
      <c r="S290" s="28">
        <f>IFERROR(IF(A290="","",MAX(0,R290-K290)),"")</f>
        <v/>
      </c>
      <c r="T290" s="29">
        <f>IFERROR(IF(A290="","",R290/H290),"")</f>
        <v/>
      </c>
      <c r="U290" s="29">
        <f>IFERROR(IF(A290="","",'Assumptions'!$B$5),"")</f>
        <v/>
      </c>
      <c r="V290" s="29">
        <f>IFERROR(IF(A290="","",T290-U290),"")</f>
        <v/>
      </c>
      <c r="W290" s="50" t="n"/>
      <c r="X290" s="50" t="n"/>
      <c r="Y290" s="51">
        <f>IFERROR(IF(A290="","",IF(X290&lt;&gt;"",X290,IF(W290&lt;&gt;"",W290,'Assumptions'!$B$8))),"")</f>
        <v/>
      </c>
      <c r="Z290" s="51">
        <f>IFERROR(IF(A290="","",R290*Y290),"")</f>
        <v/>
      </c>
      <c r="AA290" s="51">
        <f>IFERROR(IF(A290="","",Z290/H290),"")</f>
        <v/>
      </c>
      <c r="AB290" s="32" t="n"/>
      <c r="AC290" s="52" t="n"/>
      <c r="AD290" s="29">
        <f>IFERROR(IF(OR(A290="",AB290=""),"",AB290/H290),"")</f>
        <v/>
      </c>
      <c r="AE290" s="51">
        <f>IFERROR(IF(OR(A290="",AB290="",AC290=""),"",AB290*AC290),"")</f>
        <v/>
      </c>
      <c r="AF290" s="28">
        <f>IFERROR(IF(OR(A290="",AB290=""),"",AB290-R290),"")</f>
        <v/>
      </c>
      <c r="AG290" s="29">
        <f>IFERROR(IF(OR(A290="",AB290=""),"",IF(AD290-T290&lt;0,T290-AD290,AD290-T290)),"")</f>
        <v/>
      </c>
      <c r="AH290" s="51">
        <f>IFERROR(IF(OR(A290="",AE290=""),"",AE290-Z290),"")</f>
        <v/>
      </c>
      <c r="AI290" s="25">
        <f>IFERROR(IF(A290="","",IF(G290&gt;F290,"Check out-of-order rooms",IF(K290&gt;H290,"On the books exceeds sellable rooms",IF(R290&gt;H290,"Forecast exceeds sellable rooms",IF(AND(A290&lt;TODAY(),AB290=""),"Actual results missing","OK"))))),"")</f>
        <v/>
      </c>
    </row>
    <row r="291">
      <c r="A291" s="24" t="n"/>
      <c r="B291" s="25">
        <f>IFERROR(IF(A291="","",VLOOKUP(MOD(A291,7),'Assumptions'!$E$16:$F$22,2,0)),"")</f>
        <v/>
      </c>
      <c r="C291" s="25">
        <f>IFERROR(IF(A291="","",IF(A291&lt;TODAY(),"Past",IF(A291=TODAY(),"Today","Future"))),"")</f>
        <v/>
      </c>
      <c r="D291" s="26" t="n"/>
      <c r="E291" s="26" t="n"/>
      <c r="F291" s="27" t="n"/>
      <c r="G291" s="27" t="n"/>
      <c r="H291" s="28">
        <f>IFERROR(IF(A291="","",MAX(0,F291-G291)),"")</f>
        <v/>
      </c>
      <c r="I291" s="27" t="n"/>
      <c r="J291" s="27" t="n"/>
      <c r="K291" s="28">
        <f>IFERROR(IF(A291="","",I291+J291),"")</f>
        <v/>
      </c>
      <c r="L291" s="29">
        <f>IFERROR(IF(A291="","",K291/H291),"")</f>
        <v/>
      </c>
      <c r="M291" s="29">
        <f>IFERROR(IF(A291="","",VLOOKUP(B291,'Assumptions'!$A$16:$B$22,2,0)),"")</f>
        <v/>
      </c>
      <c r="N291" s="27" t="n"/>
      <c r="O291" s="27" t="n"/>
      <c r="P291" s="27" t="n"/>
      <c r="Q291" s="28">
        <f>IFERROR(IF(A291="","",MIN(H291,MAX(0,K291,ROUND(H291*M291,0)+N291+O291))),"")</f>
        <v/>
      </c>
      <c r="R291" s="28">
        <f>IFERROR(IF(A291="","",MIN(H291,MAX(0,IF(P291="",Q291,P291)))),"")</f>
        <v/>
      </c>
      <c r="S291" s="28">
        <f>IFERROR(IF(A291="","",MAX(0,R291-K291)),"")</f>
        <v/>
      </c>
      <c r="T291" s="29">
        <f>IFERROR(IF(A291="","",R291/H291),"")</f>
        <v/>
      </c>
      <c r="U291" s="29">
        <f>IFERROR(IF(A291="","",'Assumptions'!$B$5),"")</f>
        <v/>
      </c>
      <c r="V291" s="29">
        <f>IFERROR(IF(A291="","",T291-U291),"")</f>
        <v/>
      </c>
      <c r="W291" s="50" t="n"/>
      <c r="X291" s="50" t="n"/>
      <c r="Y291" s="51">
        <f>IFERROR(IF(A291="","",IF(X291&lt;&gt;"",X291,IF(W291&lt;&gt;"",W291,'Assumptions'!$B$8))),"")</f>
        <v/>
      </c>
      <c r="Z291" s="51">
        <f>IFERROR(IF(A291="","",R291*Y291),"")</f>
        <v/>
      </c>
      <c r="AA291" s="51">
        <f>IFERROR(IF(A291="","",Z291/H291),"")</f>
        <v/>
      </c>
      <c r="AB291" s="32" t="n"/>
      <c r="AC291" s="52" t="n"/>
      <c r="AD291" s="29">
        <f>IFERROR(IF(OR(A291="",AB291=""),"",AB291/H291),"")</f>
        <v/>
      </c>
      <c r="AE291" s="51">
        <f>IFERROR(IF(OR(A291="",AB291="",AC291=""),"",AB291*AC291),"")</f>
        <v/>
      </c>
      <c r="AF291" s="28">
        <f>IFERROR(IF(OR(A291="",AB291=""),"",AB291-R291),"")</f>
        <v/>
      </c>
      <c r="AG291" s="29">
        <f>IFERROR(IF(OR(A291="",AB291=""),"",IF(AD291-T291&lt;0,T291-AD291,AD291-T291)),"")</f>
        <v/>
      </c>
      <c r="AH291" s="51">
        <f>IFERROR(IF(OR(A291="",AE291=""),"",AE291-Z291),"")</f>
        <v/>
      </c>
      <c r="AI291" s="25">
        <f>IFERROR(IF(A291="","",IF(G291&gt;F291,"Check out-of-order rooms",IF(K291&gt;H291,"On the books exceeds sellable rooms",IF(R291&gt;H291,"Forecast exceeds sellable rooms",IF(AND(A291&lt;TODAY(),AB291=""),"Actual results missing","OK"))))),"")</f>
        <v/>
      </c>
    </row>
    <row r="292">
      <c r="A292" s="24" t="n"/>
      <c r="B292" s="25">
        <f>IFERROR(IF(A292="","",VLOOKUP(MOD(A292,7),'Assumptions'!$E$16:$F$22,2,0)),"")</f>
        <v/>
      </c>
      <c r="C292" s="25">
        <f>IFERROR(IF(A292="","",IF(A292&lt;TODAY(),"Past",IF(A292=TODAY(),"Today","Future"))),"")</f>
        <v/>
      </c>
      <c r="D292" s="26" t="n"/>
      <c r="E292" s="26" t="n"/>
      <c r="F292" s="27" t="n"/>
      <c r="G292" s="27" t="n"/>
      <c r="H292" s="28">
        <f>IFERROR(IF(A292="","",MAX(0,F292-G292)),"")</f>
        <v/>
      </c>
      <c r="I292" s="27" t="n"/>
      <c r="J292" s="27" t="n"/>
      <c r="K292" s="28">
        <f>IFERROR(IF(A292="","",I292+J292),"")</f>
        <v/>
      </c>
      <c r="L292" s="29">
        <f>IFERROR(IF(A292="","",K292/H292),"")</f>
        <v/>
      </c>
      <c r="M292" s="29">
        <f>IFERROR(IF(A292="","",VLOOKUP(B292,'Assumptions'!$A$16:$B$22,2,0)),"")</f>
        <v/>
      </c>
      <c r="N292" s="27" t="n"/>
      <c r="O292" s="27" t="n"/>
      <c r="P292" s="27" t="n"/>
      <c r="Q292" s="28">
        <f>IFERROR(IF(A292="","",MIN(H292,MAX(0,K292,ROUND(H292*M292,0)+N292+O292))),"")</f>
        <v/>
      </c>
      <c r="R292" s="28">
        <f>IFERROR(IF(A292="","",MIN(H292,MAX(0,IF(P292="",Q292,P292)))),"")</f>
        <v/>
      </c>
      <c r="S292" s="28">
        <f>IFERROR(IF(A292="","",MAX(0,R292-K292)),"")</f>
        <v/>
      </c>
      <c r="T292" s="29">
        <f>IFERROR(IF(A292="","",R292/H292),"")</f>
        <v/>
      </c>
      <c r="U292" s="29">
        <f>IFERROR(IF(A292="","",'Assumptions'!$B$5),"")</f>
        <v/>
      </c>
      <c r="V292" s="29">
        <f>IFERROR(IF(A292="","",T292-U292),"")</f>
        <v/>
      </c>
      <c r="W292" s="50" t="n"/>
      <c r="X292" s="50" t="n"/>
      <c r="Y292" s="51">
        <f>IFERROR(IF(A292="","",IF(X292&lt;&gt;"",X292,IF(W292&lt;&gt;"",W292,'Assumptions'!$B$8))),"")</f>
        <v/>
      </c>
      <c r="Z292" s="51">
        <f>IFERROR(IF(A292="","",R292*Y292),"")</f>
        <v/>
      </c>
      <c r="AA292" s="51">
        <f>IFERROR(IF(A292="","",Z292/H292),"")</f>
        <v/>
      </c>
      <c r="AB292" s="32" t="n"/>
      <c r="AC292" s="52" t="n"/>
      <c r="AD292" s="29">
        <f>IFERROR(IF(OR(A292="",AB292=""),"",AB292/H292),"")</f>
        <v/>
      </c>
      <c r="AE292" s="51">
        <f>IFERROR(IF(OR(A292="",AB292="",AC292=""),"",AB292*AC292),"")</f>
        <v/>
      </c>
      <c r="AF292" s="28">
        <f>IFERROR(IF(OR(A292="",AB292=""),"",AB292-R292),"")</f>
        <v/>
      </c>
      <c r="AG292" s="29">
        <f>IFERROR(IF(OR(A292="",AB292=""),"",IF(AD292-T292&lt;0,T292-AD292,AD292-T292)),"")</f>
        <v/>
      </c>
      <c r="AH292" s="51">
        <f>IFERROR(IF(OR(A292="",AE292=""),"",AE292-Z292),"")</f>
        <v/>
      </c>
      <c r="AI292" s="25">
        <f>IFERROR(IF(A292="","",IF(G292&gt;F292,"Check out-of-order rooms",IF(K292&gt;H292,"On the books exceeds sellable rooms",IF(R292&gt;H292,"Forecast exceeds sellable rooms",IF(AND(A292&lt;TODAY(),AB292=""),"Actual results missing","OK"))))),"")</f>
        <v/>
      </c>
    </row>
    <row r="293">
      <c r="A293" s="24" t="n"/>
      <c r="B293" s="25">
        <f>IFERROR(IF(A293="","",VLOOKUP(MOD(A293,7),'Assumptions'!$E$16:$F$22,2,0)),"")</f>
        <v/>
      </c>
      <c r="C293" s="25">
        <f>IFERROR(IF(A293="","",IF(A293&lt;TODAY(),"Past",IF(A293=TODAY(),"Today","Future"))),"")</f>
        <v/>
      </c>
      <c r="D293" s="26" t="n"/>
      <c r="E293" s="26" t="n"/>
      <c r="F293" s="27" t="n"/>
      <c r="G293" s="27" t="n"/>
      <c r="H293" s="28">
        <f>IFERROR(IF(A293="","",MAX(0,F293-G293)),"")</f>
        <v/>
      </c>
      <c r="I293" s="27" t="n"/>
      <c r="J293" s="27" t="n"/>
      <c r="K293" s="28">
        <f>IFERROR(IF(A293="","",I293+J293),"")</f>
        <v/>
      </c>
      <c r="L293" s="29">
        <f>IFERROR(IF(A293="","",K293/H293),"")</f>
        <v/>
      </c>
      <c r="M293" s="29">
        <f>IFERROR(IF(A293="","",VLOOKUP(B293,'Assumptions'!$A$16:$B$22,2,0)),"")</f>
        <v/>
      </c>
      <c r="N293" s="27" t="n"/>
      <c r="O293" s="27" t="n"/>
      <c r="P293" s="27" t="n"/>
      <c r="Q293" s="28">
        <f>IFERROR(IF(A293="","",MIN(H293,MAX(0,K293,ROUND(H293*M293,0)+N293+O293))),"")</f>
        <v/>
      </c>
      <c r="R293" s="28">
        <f>IFERROR(IF(A293="","",MIN(H293,MAX(0,IF(P293="",Q293,P293)))),"")</f>
        <v/>
      </c>
      <c r="S293" s="28">
        <f>IFERROR(IF(A293="","",MAX(0,R293-K293)),"")</f>
        <v/>
      </c>
      <c r="T293" s="29">
        <f>IFERROR(IF(A293="","",R293/H293),"")</f>
        <v/>
      </c>
      <c r="U293" s="29">
        <f>IFERROR(IF(A293="","",'Assumptions'!$B$5),"")</f>
        <v/>
      </c>
      <c r="V293" s="29">
        <f>IFERROR(IF(A293="","",T293-U293),"")</f>
        <v/>
      </c>
      <c r="W293" s="50" t="n"/>
      <c r="X293" s="50" t="n"/>
      <c r="Y293" s="51">
        <f>IFERROR(IF(A293="","",IF(X293&lt;&gt;"",X293,IF(W293&lt;&gt;"",W293,'Assumptions'!$B$8))),"")</f>
        <v/>
      </c>
      <c r="Z293" s="51">
        <f>IFERROR(IF(A293="","",R293*Y293),"")</f>
        <v/>
      </c>
      <c r="AA293" s="51">
        <f>IFERROR(IF(A293="","",Z293/H293),"")</f>
        <v/>
      </c>
      <c r="AB293" s="32" t="n"/>
      <c r="AC293" s="52" t="n"/>
      <c r="AD293" s="29">
        <f>IFERROR(IF(OR(A293="",AB293=""),"",AB293/H293),"")</f>
        <v/>
      </c>
      <c r="AE293" s="51">
        <f>IFERROR(IF(OR(A293="",AB293="",AC293=""),"",AB293*AC293),"")</f>
        <v/>
      </c>
      <c r="AF293" s="28">
        <f>IFERROR(IF(OR(A293="",AB293=""),"",AB293-R293),"")</f>
        <v/>
      </c>
      <c r="AG293" s="29">
        <f>IFERROR(IF(OR(A293="",AB293=""),"",IF(AD293-T293&lt;0,T293-AD293,AD293-T293)),"")</f>
        <v/>
      </c>
      <c r="AH293" s="51">
        <f>IFERROR(IF(OR(A293="",AE293=""),"",AE293-Z293),"")</f>
        <v/>
      </c>
      <c r="AI293" s="25">
        <f>IFERROR(IF(A293="","",IF(G293&gt;F293,"Check out-of-order rooms",IF(K293&gt;H293,"On the books exceeds sellable rooms",IF(R293&gt;H293,"Forecast exceeds sellable rooms",IF(AND(A293&lt;TODAY(),AB293=""),"Actual results missing","OK"))))),"")</f>
        <v/>
      </c>
    </row>
    <row r="294">
      <c r="A294" s="24" t="n"/>
      <c r="B294" s="25">
        <f>IFERROR(IF(A294="","",VLOOKUP(MOD(A294,7),'Assumptions'!$E$16:$F$22,2,0)),"")</f>
        <v/>
      </c>
      <c r="C294" s="25">
        <f>IFERROR(IF(A294="","",IF(A294&lt;TODAY(),"Past",IF(A294=TODAY(),"Today","Future"))),"")</f>
        <v/>
      </c>
      <c r="D294" s="26" t="n"/>
      <c r="E294" s="26" t="n"/>
      <c r="F294" s="27" t="n"/>
      <c r="G294" s="27" t="n"/>
      <c r="H294" s="28">
        <f>IFERROR(IF(A294="","",MAX(0,F294-G294)),"")</f>
        <v/>
      </c>
      <c r="I294" s="27" t="n"/>
      <c r="J294" s="27" t="n"/>
      <c r="K294" s="28">
        <f>IFERROR(IF(A294="","",I294+J294),"")</f>
        <v/>
      </c>
      <c r="L294" s="29">
        <f>IFERROR(IF(A294="","",K294/H294),"")</f>
        <v/>
      </c>
      <c r="M294" s="29">
        <f>IFERROR(IF(A294="","",VLOOKUP(B294,'Assumptions'!$A$16:$B$22,2,0)),"")</f>
        <v/>
      </c>
      <c r="N294" s="27" t="n"/>
      <c r="O294" s="27" t="n"/>
      <c r="P294" s="27" t="n"/>
      <c r="Q294" s="28">
        <f>IFERROR(IF(A294="","",MIN(H294,MAX(0,K294,ROUND(H294*M294,0)+N294+O294))),"")</f>
        <v/>
      </c>
      <c r="R294" s="28">
        <f>IFERROR(IF(A294="","",MIN(H294,MAX(0,IF(P294="",Q294,P294)))),"")</f>
        <v/>
      </c>
      <c r="S294" s="28">
        <f>IFERROR(IF(A294="","",MAX(0,R294-K294)),"")</f>
        <v/>
      </c>
      <c r="T294" s="29">
        <f>IFERROR(IF(A294="","",R294/H294),"")</f>
        <v/>
      </c>
      <c r="U294" s="29">
        <f>IFERROR(IF(A294="","",'Assumptions'!$B$5),"")</f>
        <v/>
      </c>
      <c r="V294" s="29">
        <f>IFERROR(IF(A294="","",T294-U294),"")</f>
        <v/>
      </c>
      <c r="W294" s="50" t="n"/>
      <c r="X294" s="50" t="n"/>
      <c r="Y294" s="51">
        <f>IFERROR(IF(A294="","",IF(X294&lt;&gt;"",X294,IF(W294&lt;&gt;"",W294,'Assumptions'!$B$8))),"")</f>
        <v/>
      </c>
      <c r="Z294" s="51">
        <f>IFERROR(IF(A294="","",R294*Y294),"")</f>
        <v/>
      </c>
      <c r="AA294" s="51">
        <f>IFERROR(IF(A294="","",Z294/H294),"")</f>
        <v/>
      </c>
      <c r="AB294" s="32" t="n"/>
      <c r="AC294" s="52" t="n"/>
      <c r="AD294" s="29">
        <f>IFERROR(IF(OR(A294="",AB294=""),"",AB294/H294),"")</f>
        <v/>
      </c>
      <c r="AE294" s="51">
        <f>IFERROR(IF(OR(A294="",AB294="",AC294=""),"",AB294*AC294),"")</f>
        <v/>
      </c>
      <c r="AF294" s="28">
        <f>IFERROR(IF(OR(A294="",AB294=""),"",AB294-R294),"")</f>
        <v/>
      </c>
      <c r="AG294" s="29">
        <f>IFERROR(IF(OR(A294="",AB294=""),"",IF(AD294-T294&lt;0,T294-AD294,AD294-T294)),"")</f>
        <v/>
      </c>
      <c r="AH294" s="51">
        <f>IFERROR(IF(OR(A294="",AE294=""),"",AE294-Z294),"")</f>
        <v/>
      </c>
      <c r="AI294" s="25">
        <f>IFERROR(IF(A294="","",IF(G294&gt;F294,"Check out-of-order rooms",IF(K294&gt;H294,"On the books exceeds sellable rooms",IF(R294&gt;H294,"Forecast exceeds sellable rooms",IF(AND(A294&lt;TODAY(),AB294=""),"Actual results missing","OK"))))),"")</f>
        <v/>
      </c>
    </row>
    <row r="295">
      <c r="A295" s="24" t="n"/>
      <c r="B295" s="25">
        <f>IFERROR(IF(A295="","",VLOOKUP(MOD(A295,7),'Assumptions'!$E$16:$F$22,2,0)),"")</f>
        <v/>
      </c>
      <c r="C295" s="25">
        <f>IFERROR(IF(A295="","",IF(A295&lt;TODAY(),"Past",IF(A295=TODAY(),"Today","Future"))),"")</f>
        <v/>
      </c>
      <c r="D295" s="26" t="n"/>
      <c r="E295" s="26" t="n"/>
      <c r="F295" s="27" t="n"/>
      <c r="G295" s="27" t="n"/>
      <c r="H295" s="28">
        <f>IFERROR(IF(A295="","",MAX(0,F295-G295)),"")</f>
        <v/>
      </c>
      <c r="I295" s="27" t="n"/>
      <c r="J295" s="27" t="n"/>
      <c r="K295" s="28">
        <f>IFERROR(IF(A295="","",I295+J295),"")</f>
        <v/>
      </c>
      <c r="L295" s="29">
        <f>IFERROR(IF(A295="","",K295/H295),"")</f>
        <v/>
      </c>
      <c r="M295" s="29">
        <f>IFERROR(IF(A295="","",VLOOKUP(B295,'Assumptions'!$A$16:$B$22,2,0)),"")</f>
        <v/>
      </c>
      <c r="N295" s="27" t="n"/>
      <c r="O295" s="27" t="n"/>
      <c r="P295" s="27" t="n"/>
      <c r="Q295" s="28">
        <f>IFERROR(IF(A295="","",MIN(H295,MAX(0,K295,ROUND(H295*M295,0)+N295+O295))),"")</f>
        <v/>
      </c>
      <c r="R295" s="28">
        <f>IFERROR(IF(A295="","",MIN(H295,MAX(0,IF(P295="",Q295,P295)))),"")</f>
        <v/>
      </c>
      <c r="S295" s="28">
        <f>IFERROR(IF(A295="","",MAX(0,R295-K295)),"")</f>
        <v/>
      </c>
      <c r="T295" s="29">
        <f>IFERROR(IF(A295="","",R295/H295),"")</f>
        <v/>
      </c>
      <c r="U295" s="29">
        <f>IFERROR(IF(A295="","",'Assumptions'!$B$5),"")</f>
        <v/>
      </c>
      <c r="V295" s="29">
        <f>IFERROR(IF(A295="","",T295-U295),"")</f>
        <v/>
      </c>
      <c r="W295" s="50" t="n"/>
      <c r="X295" s="50" t="n"/>
      <c r="Y295" s="51">
        <f>IFERROR(IF(A295="","",IF(X295&lt;&gt;"",X295,IF(W295&lt;&gt;"",W295,'Assumptions'!$B$8))),"")</f>
        <v/>
      </c>
      <c r="Z295" s="51">
        <f>IFERROR(IF(A295="","",R295*Y295),"")</f>
        <v/>
      </c>
      <c r="AA295" s="51">
        <f>IFERROR(IF(A295="","",Z295/H295),"")</f>
        <v/>
      </c>
      <c r="AB295" s="32" t="n"/>
      <c r="AC295" s="52" t="n"/>
      <c r="AD295" s="29">
        <f>IFERROR(IF(OR(A295="",AB295=""),"",AB295/H295),"")</f>
        <v/>
      </c>
      <c r="AE295" s="51">
        <f>IFERROR(IF(OR(A295="",AB295="",AC295=""),"",AB295*AC295),"")</f>
        <v/>
      </c>
      <c r="AF295" s="28">
        <f>IFERROR(IF(OR(A295="",AB295=""),"",AB295-R295),"")</f>
        <v/>
      </c>
      <c r="AG295" s="29">
        <f>IFERROR(IF(OR(A295="",AB295=""),"",IF(AD295-T295&lt;0,T295-AD295,AD295-T295)),"")</f>
        <v/>
      </c>
      <c r="AH295" s="51">
        <f>IFERROR(IF(OR(A295="",AE295=""),"",AE295-Z295),"")</f>
        <v/>
      </c>
      <c r="AI295" s="25">
        <f>IFERROR(IF(A295="","",IF(G295&gt;F295,"Check out-of-order rooms",IF(K295&gt;H295,"On the books exceeds sellable rooms",IF(R295&gt;H295,"Forecast exceeds sellable rooms",IF(AND(A295&lt;TODAY(),AB295=""),"Actual results missing","OK"))))),"")</f>
        <v/>
      </c>
    </row>
    <row r="296">
      <c r="A296" s="24" t="n"/>
      <c r="B296" s="25">
        <f>IFERROR(IF(A296="","",VLOOKUP(MOD(A296,7),'Assumptions'!$E$16:$F$22,2,0)),"")</f>
        <v/>
      </c>
      <c r="C296" s="25">
        <f>IFERROR(IF(A296="","",IF(A296&lt;TODAY(),"Past",IF(A296=TODAY(),"Today","Future"))),"")</f>
        <v/>
      </c>
      <c r="D296" s="26" t="n"/>
      <c r="E296" s="26" t="n"/>
      <c r="F296" s="27" t="n"/>
      <c r="G296" s="27" t="n"/>
      <c r="H296" s="28">
        <f>IFERROR(IF(A296="","",MAX(0,F296-G296)),"")</f>
        <v/>
      </c>
      <c r="I296" s="27" t="n"/>
      <c r="J296" s="27" t="n"/>
      <c r="K296" s="28">
        <f>IFERROR(IF(A296="","",I296+J296),"")</f>
        <v/>
      </c>
      <c r="L296" s="29">
        <f>IFERROR(IF(A296="","",K296/H296),"")</f>
        <v/>
      </c>
      <c r="M296" s="29">
        <f>IFERROR(IF(A296="","",VLOOKUP(B296,'Assumptions'!$A$16:$B$22,2,0)),"")</f>
        <v/>
      </c>
      <c r="N296" s="27" t="n"/>
      <c r="O296" s="27" t="n"/>
      <c r="P296" s="27" t="n"/>
      <c r="Q296" s="28">
        <f>IFERROR(IF(A296="","",MIN(H296,MAX(0,K296,ROUND(H296*M296,0)+N296+O296))),"")</f>
        <v/>
      </c>
      <c r="R296" s="28">
        <f>IFERROR(IF(A296="","",MIN(H296,MAX(0,IF(P296="",Q296,P296)))),"")</f>
        <v/>
      </c>
      <c r="S296" s="28">
        <f>IFERROR(IF(A296="","",MAX(0,R296-K296)),"")</f>
        <v/>
      </c>
      <c r="T296" s="29">
        <f>IFERROR(IF(A296="","",R296/H296),"")</f>
        <v/>
      </c>
      <c r="U296" s="29">
        <f>IFERROR(IF(A296="","",'Assumptions'!$B$5),"")</f>
        <v/>
      </c>
      <c r="V296" s="29">
        <f>IFERROR(IF(A296="","",T296-U296),"")</f>
        <v/>
      </c>
      <c r="W296" s="50" t="n"/>
      <c r="X296" s="50" t="n"/>
      <c r="Y296" s="51">
        <f>IFERROR(IF(A296="","",IF(X296&lt;&gt;"",X296,IF(W296&lt;&gt;"",W296,'Assumptions'!$B$8))),"")</f>
        <v/>
      </c>
      <c r="Z296" s="51">
        <f>IFERROR(IF(A296="","",R296*Y296),"")</f>
        <v/>
      </c>
      <c r="AA296" s="51">
        <f>IFERROR(IF(A296="","",Z296/H296),"")</f>
        <v/>
      </c>
      <c r="AB296" s="32" t="n"/>
      <c r="AC296" s="52" t="n"/>
      <c r="AD296" s="29">
        <f>IFERROR(IF(OR(A296="",AB296=""),"",AB296/H296),"")</f>
        <v/>
      </c>
      <c r="AE296" s="51">
        <f>IFERROR(IF(OR(A296="",AB296="",AC296=""),"",AB296*AC296),"")</f>
        <v/>
      </c>
      <c r="AF296" s="28">
        <f>IFERROR(IF(OR(A296="",AB296=""),"",AB296-R296),"")</f>
        <v/>
      </c>
      <c r="AG296" s="29">
        <f>IFERROR(IF(OR(A296="",AB296=""),"",IF(AD296-T296&lt;0,T296-AD296,AD296-T296)),"")</f>
        <v/>
      </c>
      <c r="AH296" s="51">
        <f>IFERROR(IF(OR(A296="",AE296=""),"",AE296-Z296),"")</f>
        <v/>
      </c>
      <c r="AI296" s="25">
        <f>IFERROR(IF(A296="","",IF(G296&gt;F296,"Check out-of-order rooms",IF(K296&gt;H296,"On the books exceeds sellable rooms",IF(R296&gt;H296,"Forecast exceeds sellable rooms",IF(AND(A296&lt;TODAY(),AB296=""),"Actual results missing","OK"))))),"")</f>
        <v/>
      </c>
    </row>
    <row r="297">
      <c r="A297" s="24" t="n"/>
      <c r="B297" s="25">
        <f>IFERROR(IF(A297="","",VLOOKUP(MOD(A297,7),'Assumptions'!$E$16:$F$22,2,0)),"")</f>
        <v/>
      </c>
      <c r="C297" s="25">
        <f>IFERROR(IF(A297="","",IF(A297&lt;TODAY(),"Past",IF(A297=TODAY(),"Today","Future"))),"")</f>
        <v/>
      </c>
      <c r="D297" s="26" t="n"/>
      <c r="E297" s="26" t="n"/>
      <c r="F297" s="27" t="n"/>
      <c r="G297" s="27" t="n"/>
      <c r="H297" s="28">
        <f>IFERROR(IF(A297="","",MAX(0,F297-G297)),"")</f>
        <v/>
      </c>
      <c r="I297" s="27" t="n"/>
      <c r="J297" s="27" t="n"/>
      <c r="K297" s="28">
        <f>IFERROR(IF(A297="","",I297+J297),"")</f>
        <v/>
      </c>
      <c r="L297" s="29">
        <f>IFERROR(IF(A297="","",K297/H297),"")</f>
        <v/>
      </c>
      <c r="M297" s="29">
        <f>IFERROR(IF(A297="","",VLOOKUP(B297,'Assumptions'!$A$16:$B$22,2,0)),"")</f>
        <v/>
      </c>
      <c r="N297" s="27" t="n"/>
      <c r="O297" s="27" t="n"/>
      <c r="P297" s="27" t="n"/>
      <c r="Q297" s="28">
        <f>IFERROR(IF(A297="","",MIN(H297,MAX(0,K297,ROUND(H297*M297,0)+N297+O297))),"")</f>
        <v/>
      </c>
      <c r="R297" s="28">
        <f>IFERROR(IF(A297="","",MIN(H297,MAX(0,IF(P297="",Q297,P297)))),"")</f>
        <v/>
      </c>
      <c r="S297" s="28">
        <f>IFERROR(IF(A297="","",MAX(0,R297-K297)),"")</f>
        <v/>
      </c>
      <c r="T297" s="29">
        <f>IFERROR(IF(A297="","",R297/H297),"")</f>
        <v/>
      </c>
      <c r="U297" s="29">
        <f>IFERROR(IF(A297="","",'Assumptions'!$B$5),"")</f>
        <v/>
      </c>
      <c r="V297" s="29">
        <f>IFERROR(IF(A297="","",T297-U297),"")</f>
        <v/>
      </c>
      <c r="W297" s="50" t="n"/>
      <c r="X297" s="50" t="n"/>
      <c r="Y297" s="51">
        <f>IFERROR(IF(A297="","",IF(X297&lt;&gt;"",X297,IF(W297&lt;&gt;"",W297,'Assumptions'!$B$8))),"")</f>
        <v/>
      </c>
      <c r="Z297" s="51">
        <f>IFERROR(IF(A297="","",R297*Y297),"")</f>
        <v/>
      </c>
      <c r="AA297" s="51">
        <f>IFERROR(IF(A297="","",Z297/H297),"")</f>
        <v/>
      </c>
      <c r="AB297" s="32" t="n"/>
      <c r="AC297" s="52" t="n"/>
      <c r="AD297" s="29">
        <f>IFERROR(IF(OR(A297="",AB297=""),"",AB297/H297),"")</f>
        <v/>
      </c>
      <c r="AE297" s="51">
        <f>IFERROR(IF(OR(A297="",AB297="",AC297=""),"",AB297*AC297),"")</f>
        <v/>
      </c>
      <c r="AF297" s="28">
        <f>IFERROR(IF(OR(A297="",AB297=""),"",AB297-R297),"")</f>
        <v/>
      </c>
      <c r="AG297" s="29">
        <f>IFERROR(IF(OR(A297="",AB297=""),"",IF(AD297-T297&lt;0,T297-AD297,AD297-T297)),"")</f>
        <v/>
      </c>
      <c r="AH297" s="51">
        <f>IFERROR(IF(OR(A297="",AE297=""),"",AE297-Z297),"")</f>
        <v/>
      </c>
      <c r="AI297" s="25">
        <f>IFERROR(IF(A297="","",IF(G297&gt;F297,"Check out-of-order rooms",IF(K297&gt;H297,"On the books exceeds sellable rooms",IF(R297&gt;H297,"Forecast exceeds sellable rooms",IF(AND(A297&lt;TODAY(),AB297=""),"Actual results missing","OK"))))),"")</f>
        <v/>
      </c>
    </row>
    <row r="298">
      <c r="A298" s="24" t="n"/>
      <c r="B298" s="25">
        <f>IFERROR(IF(A298="","",VLOOKUP(MOD(A298,7),'Assumptions'!$E$16:$F$22,2,0)),"")</f>
        <v/>
      </c>
      <c r="C298" s="25">
        <f>IFERROR(IF(A298="","",IF(A298&lt;TODAY(),"Past",IF(A298=TODAY(),"Today","Future"))),"")</f>
        <v/>
      </c>
      <c r="D298" s="26" t="n"/>
      <c r="E298" s="26" t="n"/>
      <c r="F298" s="27" t="n"/>
      <c r="G298" s="27" t="n"/>
      <c r="H298" s="28">
        <f>IFERROR(IF(A298="","",MAX(0,F298-G298)),"")</f>
        <v/>
      </c>
      <c r="I298" s="27" t="n"/>
      <c r="J298" s="27" t="n"/>
      <c r="K298" s="28">
        <f>IFERROR(IF(A298="","",I298+J298),"")</f>
        <v/>
      </c>
      <c r="L298" s="29">
        <f>IFERROR(IF(A298="","",K298/H298),"")</f>
        <v/>
      </c>
      <c r="M298" s="29">
        <f>IFERROR(IF(A298="","",VLOOKUP(B298,'Assumptions'!$A$16:$B$22,2,0)),"")</f>
        <v/>
      </c>
      <c r="N298" s="27" t="n"/>
      <c r="O298" s="27" t="n"/>
      <c r="P298" s="27" t="n"/>
      <c r="Q298" s="28">
        <f>IFERROR(IF(A298="","",MIN(H298,MAX(0,K298,ROUND(H298*M298,0)+N298+O298))),"")</f>
        <v/>
      </c>
      <c r="R298" s="28">
        <f>IFERROR(IF(A298="","",MIN(H298,MAX(0,IF(P298="",Q298,P298)))),"")</f>
        <v/>
      </c>
      <c r="S298" s="28">
        <f>IFERROR(IF(A298="","",MAX(0,R298-K298)),"")</f>
        <v/>
      </c>
      <c r="T298" s="29">
        <f>IFERROR(IF(A298="","",R298/H298),"")</f>
        <v/>
      </c>
      <c r="U298" s="29">
        <f>IFERROR(IF(A298="","",'Assumptions'!$B$5),"")</f>
        <v/>
      </c>
      <c r="V298" s="29">
        <f>IFERROR(IF(A298="","",T298-U298),"")</f>
        <v/>
      </c>
      <c r="W298" s="50" t="n"/>
      <c r="X298" s="50" t="n"/>
      <c r="Y298" s="51">
        <f>IFERROR(IF(A298="","",IF(X298&lt;&gt;"",X298,IF(W298&lt;&gt;"",W298,'Assumptions'!$B$8))),"")</f>
        <v/>
      </c>
      <c r="Z298" s="51">
        <f>IFERROR(IF(A298="","",R298*Y298),"")</f>
        <v/>
      </c>
      <c r="AA298" s="51">
        <f>IFERROR(IF(A298="","",Z298/H298),"")</f>
        <v/>
      </c>
      <c r="AB298" s="32" t="n"/>
      <c r="AC298" s="52" t="n"/>
      <c r="AD298" s="29">
        <f>IFERROR(IF(OR(A298="",AB298=""),"",AB298/H298),"")</f>
        <v/>
      </c>
      <c r="AE298" s="51">
        <f>IFERROR(IF(OR(A298="",AB298="",AC298=""),"",AB298*AC298),"")</f>
        <v/>
      </c>
      <c r="AF298" s="28">
        <f>IFERROR(IF(OR(A298="",AB298=""),"",AB298-R298),"")</f>
        <v/>
      </c>
      <c r="AG298" s="29">
        <f>IFERROR(IF(OR(A298="",AB298=""),"",IF(AD298-T298&lt;0,T298-AD298,AD298-T298)),"")</f>
        <v/>
      </c>
      <c r="AH298" s="51">
        <f>IFERROR(IF(OR(A298="",AE298=""),"",AE298-Z298),"")</f>
        <v/>
      </c>
      <c r="AI298" s="25">
        <f>IFERROR(IF(A298="","",IF(G298&gt;F298,"Check out-of-order rooms",IF(K298&gt;H298,"On the books exceeds sellable rooms",IF(R298&gt;H298,"Forecast exceeds sellable rooms",IF(AND(A298&lt;TODAY(),AB298=""),"Actual results missing","OK"))))),"")</f>
        <v/>
      </c>
    </row>
    <row r="299">
      <c r="A299" s="24" t="n"/>
      <c r="B299" s="25">
        <f>IFERROR(IF(A299="","",VLOOKUP(MOD(A299,7),'Assumptions'!$E$16:$F$22,2,0)),"")</f>
        <v/>
      </c>
      <c r="C299" s="25">
        <f>IFERROR(IF(A299="","",IF(A299&lt;TODAY(),"Past",IF(A299=TODAY(),"Today","Future"))),"")</f>
        <v/>
      </c>
      <c r="D299" s="26" t="n"/>
      <c r="E299" s="26" t="n"/>
      <c r="F299" s="27" t="n"/>
      <c r="G299" s="27" t="n"/>
      <c r="H299" s="28">
        <f>IFERROR(IF(A299="","",MAX(0,F299-G299)),"")</f>
        <v/>
      </c>
      <c r="I299" s="27" t="n"/>
      <c r="J299" s="27" t="n"/>
      <c r="K299" s="28">
        <f>IFERROR(IF(A299="","",I299+J299),"")</f>
        <v/>
      </c>
      <c r="L299" s="29">
        <f>IFERROR(IF(A299="","",K299/H299),"")</f>
        <v/>
      </c>
      <c r="M299" s="29">
        <f>IFERROR(IF(A299="","",VLOOKUP(B299,'Assumptions'!$A$16:$B$22,2,0)),"")</f>
        <v/>
      </c>
      <c r="N299" s="27" t="n"/>
      <c r="O299" s="27" t="n"/>
      <c r="P299" s="27" t="n"/>
      <c r="Q299" s="28">
        <f>IFERROR(IF(A299="","",MIN(H299,MAX(0,K299,ROUND(H299*M299,0)+N299+O299))),"")</f>
        <v/>
      </c>
      <c r="R299" s="28">
        <f>IFERROR(IF(A299="","",MIN(H299,MAX(0,IF(P299="",Q299,P299)))),"")</f>
        <v/>
      </c>
      <c r="S299" s="28">
        <f>IFERROR(IF(A299="","",MAX(0,R299-K299)),"")</f>
        <v/>
      </c>
      <c r="T299" s="29">
        <f>IFERROR(IF(A299="","",R299/H299),"")</f>
        <v/>
      </c>
      <c r="U299" s="29">
        <f>IFERROR(IF(A299="","",'Assumptions'!$B$5),"")</f>
        <v/>
      </c>
      <c r="V299" s="29">
        <f>IFERROR(IF(A299="","",T299-U299),"")</f>
        <v/>
      </c>
      <c r="W299" s="50" t="n"/>
      <c r="X299" s="50" t="n"/>
      <c r="Y299" s="51">
        <f>IFERROR(IF(A299="","",IF(X299&lt;&gt;"",X299,IF(W299&lt;&gt;"",W299,'Assumptions'!$B$8))),"")</f>
        <v/>
      </c>
      <c r="Z299" s="51">
        <f>IFERROR(IF(A299="","",R299*Y299),"")</f>
        <v/>
      </c>
      <c r="AA299" s="51">
        <f>IFERROR(IF(A299="","",Z299/H299),"")</f>
        <v/>
      </c>
      <c r="AB299" s="32" t="n"/>
      <c r="AC299" s="52" t="n"/>
      <c r="AD299" s="29">
        <f>IFERROR(IF(OR(A299="",AB299=""),"",AB299/H299),"")</f>
        <v/>
      </c>
      <c r="AE299" s="51">
        <f>IFERROR(IF(OR(A299="",AB299="",AC299=""),"",AB299*AC299),"")</f>
        <v/>
      </c>
      <c r="AF299" s="28">
        <f>IFERROR(IF(OR(A299="",AB299=""),"",AB299-R299),"")</f>
        <v/>
      </c>
      <c r="AG299" s="29">
        <f>IFERROR(IF(OR(A299="",AB299=""),"",IF(AD299-T299&lt;0,T299-AD299,AD299-T299)),"")</f>
        <v/>
      </c>
      <c r="AH299" s="51">
        <f>IFERROR(IF(OR(A299="",AE299=""),"",AE299-Z299),"")</f>
        <v/>
      </c>
      <c r="AI299" s="25">
        <f>IFERROR(IF(A299="","",IF(G299&gt;F299,"Check out-of-order rooms",IF(K299&gt;H299,"On the books exceeds sellable rooms",IF(R299&gt;H299,"Forecast exceeds sellable rooms",IF(AND(A299&lt;TODAY(),AB299=""),"Actual results missing","OK"))))),"")</f>
        <v/>
      </c>
    </row>
    <row r="300">
      <c r="A300" s="24" t="n"/>
      <c r="B300" s="25">
        <f>IFERROR(IF(A300="","",VLOOKUP(MOD(A300,7),'Assumptions'!$E$16:$F$22,2,0)),"")</f>
        <v/>
      </c>
      <c r="C300" s="25">
        <f>IFERROR(IF(A300="","",IF(A300&lt;TODAY(),"Past",IF(A300=TODAY(),"Today","Future"))),"")</f>
        <v/>
      </c>
      <c r="D300" s="26" t="n"/>
      <c r="E300" s="26" t="n"/>
      <c r="F300" s="27" t="n"/>
      <c r="G300" s="27" t="n"/>
      <c r="H300" s="28">
        <f>IFERROR(IF(A300="","",MAX(0,F300-G300)),"")</f>
        <v/>
      </c>
      <c r="I300" s="27" t="n"/>
      <c r="J300" s="27" t="n"/>
      <c r="K300" s="28">
        <f>IFERROR(IF(A300="","",I300+J300),"")</f>
        <v/>
      </c>
      <c r="L300" s="29">
        <f>IFERROR(IF(A300="","",K300/H300),"")</f>
        <v/>
      </c>
      <c r="M300" s="29">
        <f>IFERROR(IF(A300="","",VLOOKUP(B300,'Assumptions'!$A$16:$B$22,2,0)),"")</f>
        <v/>
      </c>
      <c r="N300" s="27" t="n"/>
      <c r="O300" s="27" t="n"/>
      <c r="P300" s="27" t="n"/>
      <c r="Q300" s="28">
        <f>IFERROR(IF(A300="","",MIN(H300,MAX(0,K300,ROUND(H300*M300,0)+N300+O300))),"")</f>
        <v/>
      </c>
      <c r="R300" s="28">
        <f>IFERROR(IF(A300="","",MIN(H300,MAX(0,IF(P300="",Q300,P300)))),"")</f>
        <v/>
      </c>
      <c r="S300" s="28">
        <f>IFERROR(IF(A300="","",MAX(0,R300-K300)),"")</f>
        <v/>
      </c>
      <c r="T300" s="29">
        <f>IFERROR(IF(A300="","",R300/H300),"")</f>
        <v/>
      </c>
      <c r="U300" s="29">
        <f>IFERROR(IF(A300="","",'Assumptions'!$B$5),"")</f>
        <v/>
      </c>
      <c r="V300" s="29">
        <f>IFERROR(IF(A300="","",T300-U300),"")</f>
        <v/>
      </c>
      <c r="W300" s="50" t="n"/>
      <c r="X300" s="50" t="n"/>
      <c r="Y300" s="51">
        <f>IFERROR(IF(A300="","",IF(X300&lt;&gt;"",X300,IF(W300&lt;&gt;"",W300,'Assumptions'!$B$8))),"")</f>
        <v/>
      </c>
      <c r="Z300" s="51">
        <f>IFERROR(IF(A300="","",R300*Y300),"")</f>
        <v/>
      </c>
      <c r="AA300" s="51">
        <f>IFERROR(IF(A300="","",Z300/H300),"")</f>
        <v/>
      </c>
      <c r="AB300" s="32" t="n"/>
      <c r="AC300" s="52" t="n"/>
      <c r="AD300" s="29">
        <f>IFERROR(IF(OR(A300="",AB300=""),"",AB300/H300),"")</f>
        <v/>
      </c>
      <c r="AE300" s="51">
        <f>IFERROR(IF(OR(A300="",AB300="",AC300=""),"",AB300*AC300),"")</f>
        <v/>
      </c>
      <c r="AF300" s="28">
        <f>IFERROR(IF(OR(A300="",AB300=""),"",AB300-R300),"")</f>
        <v/>
      </c>
      <c r="AG300" s="29">
        <f>IFERROR(IF(OR(A300="",AB300=""),"",IF(AD300-T300&lt;0,T300-AD300,AD300-T300)),"")</f>
        <v/>
      </c>
      <c r="AH300" s="51">
        <f>IFERROR(IF(OR(A300="",AE300=""),"",AE300-Z300),"")</f>
        <v/>
      </c>
      <c r="AI300" s="25">
        <f>IFERROR(IF(A300="","",IF(G300&gt;F300,"Check out-of-order rooms",IF(K300&gt;H300,"On the books exceeds sellable rooms",IF(R300&gt;H300,"Forecast exceeds sellable rooms",IF(AND(A300&lt;TODAY(),AB300=""),"Actual results missing","OK"))))),"")</f>
        <v/>
      </c>
    </row>
    <row r="301">
      <c r="A301" s="24" t="n"/>
      <c r="B301" s="25">
        <f>IFERROR(IF(A301="","",VLOOKUP(MOD(A301,7),'Assumptions'!$E$16:$F$22,2,0)),"")</f>
        <v/>
      </c>
      <c r="C301" s="25">
        <f>IFERROR(IF(A301="","",IF(A301&lt;TODAY(),"Past",IF(A301=TODAY(),"Today","Future"))),"")</f>
        <v/>
      </c>
      <c r="D301" s="26" t="n"/>
      <c r="E301" s="26" t="n"/>
      <c r="F301" s="27" t="n"/>
      <c r="G301" s="27" t="n"/>
      <c r="H301" s="28">
        <f>IFERROR(IF(A301="","",MAX(0,F301-G301)),"")</f>
        <v/>
      </c>
      <c r="I301" s="27" t="n"/>
      <c r="J301" s="27" t="n"/>
      <c r="K301" s="28">
        <f>IFERROR(IF(A301="","",I301+J301),"")</f>
        <v/>
      </c>
      <c r="L301" s="29">
        <f>IFERROR(IF(A301="","",K301/H301),"")</f>
        <v/>
      </c>
      <c r="M301" s="29">
        <f>IFERROR(IF(A301="","",VLOOKUP(B301,'Assumptions'!$A$16:$B$22,2,0)),"")</f>
        <v/>
      </c>
      <c r="N301" s="27" t="n"/>
      <c r="O301" s="27" t="n"/>
      <c r="P301" s="27" t="n"/>
      <c r="Q301" s="28">
        <f>IFERROR(IF(A301="","",MIN(H301,MAX(0,K301,ROUND(H301*M301,0)+N301+O301))),"")</f>
        <v/>
      </c>
      <c r="R301" s="28">
        <f>IFERROR(IF(A301="","",MIN(H301,MAX(0,IF(P301="",Q301,P301)))),"")</f>
        <v/>
      </c>
      <c r="S301" s="28">
        <f>IFERROR(IF(A301="","",MAX(0,R301-K301)),"")</f>
        <v/>
      </c>
      <c r="T301" s="29">
        <f>IFERROR(IF(A301="","",R301/H301),"")</f>
        <v/>
      </c>
      <c r="U301" s="29">
        <f>IFERROR(IF(A301="","",'Assumptions'!$B$5),"")</f>
        <v/>
      </c>
      <c r="V301" s="29">
        <f>IFERROR(IF(A301="","",T301-U301),"")</f>
        <v/>
      </c>
      <c r="W301" s="50" t="n"/>
      <c r="X301" s="50" t="n"/>
      <c r="Y301" s="51">
        <f>IFERROR(IF(A301="","",IF(X301&lt;&gt;"",X301,IF(W301&lt;&gt;"",W301,'Assumptions'!$B$8))),"")</f>
        <v/>
      </c>
      <c r="Z301" s="51">
        <f>IFERROR(IF(A301="","",R301*Y301),"")</f>
        <v/>
      </c>
      <c r="AA301" s="51">
        <f>IFERROR(IF(A301="","",Z301/H301),"")</f>
        <v/>
      </c>
      <c r="AB301" s="32" t="n"/>
      <c r="AC301" s="52" t="n"/>
      <c r="AD301" s="29">
        <f>IFERROR(IF(OR(A301="",AB301=""),"",AB301/H301),"")</f>
        <v/>
      </c>
      <c r="AE301" s="51">
        <f>IFERROR(IF(OR(A301="",AB301="",AC301=""),"",AB301*AC301),"")</f>
        <v/>
      </c>
      <c r="AF301" s="28">
        <f>IFERROR(IF(OR(A301="",AB301=""),"",AB301-R301),"")</f>
        <v/>
      </c>
      <c r="AG301" s="29">
        <f>IFERROR(IF(OR(A301="",AB301=""),"",IF(AD301-T301&lt;0,T301-AD301,AD301-T301)),"")</f>
        <v/>
      </c>
      <c r="AH301" s="51">
        <f>IFERROR(IF(OR(A301="",AE301=""),"",AE301-Z301),"")</f>
        <v/>
      </c>
      <c r="AI301" s="25">
        <f>IFERROR(IF(A301="","",IF(G301&gt;F301,"Check out-of-order rooms",IF(K301&gt;H301,"On the books exceeds sellable rooms",IF(R301&gt;H301,"Forecast exceeds sellable rooms",IF(AND(A301&lt;TODAY(),AB301=""),"Actual results missing","OK"))))),"")</f>
        <v/>
      </c>
    </row>
    <row r="302">
      <c r="A302" s="24" t="n"/>
      <c r="B302" s="25">
        <f>IFERROR(IF(A302="","",VLOOKUP(MOD(A302,7),'Assumptions'!$E$16:$F$22,2,0)),"")</f>
        <v/>
      </c>
      <c r="C302" s="25">
        <f>IFERROR(IF(A302="","",IF(A302&lt;TODAY(),"Past",IF(A302=TODAY(),"Today","Future"))),"")</f>
        <v/>
      </c>
      <c r="D302" s="26" t="n"/>
      <c r="E302" s="26" t="n"/>
      <c r="F302" s="27" t="n"/>
      <c r="G302" s="27" t="n"/>
      <c r="H302" s="28">
        <f>IFERROR(IF(A302="","",MAX(0,F302-G302)),"")</f>
        <v/>
      </c>
      <c r="I302" s="27" t="n"/>
      <c r="J302" s="27" t="n"/>
      <c r="K302" s="28">
        <f>IFERROR(IF(A302="","",I302+J302),"")</f>
        <v/>
      </c>
      <c r="L302" s="29">
        <f>IFERROR(IF(A302="","",K302/H302),"")</f>
        <v/>
      </c>
      <c r="M302" s="29">
        <f>IFERROR(IF(A302="","",VLOOKUP(B302,'Assumptions'!$A$16:$B$22,2,0)),"")</f>
        <v/>
      </c>
      <c r="N302" s="27" t="n"/>
      <c r="O302" s="27" t="n"/>
      <c r="P302" s="27" t="n"/>
      <c r="Q302" s="28">
        <f>IFERROR(IF(A302="","",MIN(H302,MAX(0,K302,ROUND(H302*M302,0)+N302+O302))),"")</f>
        <v/>
      </c>
      <c r="R302" s="28">
        <f>IFERROR(IF(A302="","",MIN(H302,MAX(0,IF(P302="",Q302,P302)))),"")</f>
        <v/>
      </c>
      <c r="S302" s="28">
        <f>IFERROR(IF(A302="","",MAX(0,R302-K302)),"")</f>
        <v/>
      </c>
      <c r="T302" s="29">
        <f>IFERROR(IF(A302="","",R302/H302),"")</f>
        <v/>
      </c>
      <c r="U302" s="29">
        <f>IFERROR(IF(A302="","",'Assumptions'!$B$5),"")</f>
        <v/>
      </c>
      <c r="V302" s="29">
        <f>IFERROR(IF(A302="","",T302-U302),"")</f>
        <v/>
      </c>
      <c r="W302" s="50" t="n"/>
      <c r="X302" s="50" t="n"/>
      <c r="Y302" s="51">
        <f>IFERROR(IF(A302="","",IF(X302&lt;&gt;"",X302,IF(W302&lt;&gt;"",W302,'Assumptions'!$B$8))),"")</f>
        <v/>
      </c>
      <c r="Z302" s="51">
        <f>IFERROR(IF(A302="","",R302*Y302),"")</f>
        <v/>
      </c>
      <c r="AA302" s="51">
        <f>IFERROR(IF(A302="","",Z302/H302),"")</f>
        <v/>
      </c>
      <c r="AB302" s="32" t="n"/>
      <c r="AC302" s="52" t="n"/>
      <c r="AD302" s="29">
        <f>IFERROR(IF(OR(A302="",AB302=""),"",AB302/H302),"")</f>
        <v/>
      </c>
      <c r="AE302" s="51">
        <f>IFERROR(IF(OR(A302="",AB302="",AC302=""),"",AB302*AC302),"")</f>
        <v/>
      </c>
      <c r="AF302" s="28">
        <f>IFERROR(IF(OR(A302="",AB302=""),"",AB302-R302),"")</f>
        <v/>
      </c>
      <c r="AG302" s="29">
        <f>IFERROR(IF(OR(A302="",AB302=""),"",IF(AD302-T302&lt;0,T302-AD302,AD302-T302)),"")</f>
        <v/>
      </c>
      <c r="AH302" s="51">
        <f>IFERROR(IF(OR(A302="",AE302=""),"",AE302-Z302),"")</f>
        <v/>
      </c>
      <c r="AI302" s="25">
        <f>IFERROR(IF(A302="","",IF(G302&gt;F302,"Check out-of-order rooms",IF(K302&gt;H302,"On the books exceeds sellable rooms",IF(R302&gt;H302,"Forecast exceeds sellable rooms",IF(AND(A302&lt;TODAY(),AB302=""),"Actual results missing","OK"))))),"")</f>
        <v/>
      </c>
    </row>
    <row r="303">
      <c r="A303" s="24" t="n"/>
      <c r="B303" s="25">
        <f>IFERROR(IF(A303="","",VLOOKUP(MOD(A303,7),'Assumptions'!$E$16:$F$22,2,0)),"")</f>
        <v/>
      </c>
      <c r="C303" s="25">
        <f>IFERROR(IF(A303="","",IF(A303&lt;TODAY(),"Past",IF(A303=TODAY(),"Today","Future"))),"")</f>
        <v/>
      </c>
      <c r="D303" s="26" t="n"/>
      <c r="E303" s="26" t="n"/>
      <c r="F303" s="27" t="n"/>
      <c r="G303" s="27" t="n"/>
      <c r="H303" s="28">
        <f>IFERROR(IF(A303="","",MAX(0,F303-G303)),"")</f>
        <v/>
      </c>
      <c r="I303" s="27" t="n"/>
      <c r="J303" s="27" t="n"/>
      <c r="K303" s="28">
        <f>IFERROR(IF(A303="","",I303+J303),"")</f>
        <v/>
      </c>
      <c r="L303" s="29">
        <f>IFERROR(IF(A303="","",K303/H303),"")</f>
        <v/>
      </c>
      <c r="M303" s="29">
        <f>IFERROR(IF(A303="","",VLOOKUP(B303,'Assumptions'!$A$16:$B$22,2,0)),"")</f>
        <v/>
      </c>
      <c r="N303" s="27" t="n"/>
      <c r="O303" s="27" t="n"/>
      <c r="P303" s="27" t="n"/>
      <c r="Q303" s="28">
        <f>IFERROR(IF(A303="","",MIN(H303,MAX(0,K303,ROUND(H303*M303,0)+N303+O303))),"")</f>
        <v/>
      </c>
      <c r="R303" s="28">
        <f>IFERROR(IF(A303="","",MIN(H303,MAX(0,IF(P303="",Q303,P303)))),"")</f>
        <v/>
      </c>
      <c r="S303" s="28">
        <f>IFERROR(IF(A303="","",MAX(0,R303-K303)),"")</f>
        <v/>
      </c>
      <c r="T303" s="29">
        <f>IFERROR(IF(A303="","",R303/H303),"")</f>
        <v/>
      </c>
      <c r="U303" s="29">
        <f>IFERROR(IF(A303="","",'Assumptions'!$B$5),"")</f>
        <v/>
      </c>
      <c r="V303" s="29">
        <f>IFERROR(IF(A303="","",T303-U303),"")</f>
        <v/>
      </c>
      <c r="W303" s="50" t="n"/>
      <c r="X303" s="50" t="n"/>
      <c r="Y303" s="51">
        <f>IFERROR(IF(A303="","",IF(X303&lt;&gt;"",X303,IF(W303&lt;&gt;"",W303,'Assumptions'!$B$8))),"")</f>
        <v/>
      </c>
      <c r="Z303" s="51">
        <f>IFERROR(IF(A303="","",R303*Y303),"")</f>
        <v/>
      </c>
      <c r="AA303" s="51">
        <f>IFERROR(IF(A303="","",Z303/H303),"")</f>
        <v/>
      </c>
      <c r="AB303" s="32" t="n"/>
      <c r="AC303" s="52" t="n"/>
      <c r="AD303" s="29">
        <f>IFERROR(IF(OR(A303="",AB303=""),"",AB303/H303),"")</f>
        <v/>
      </c>
      <c r="AE303" s="51">
        <f>IFERROR(IF(OR(A303="",AB303="",AC303=""),"",AB303*AC303),"")</f>
        <v/>
      </c>
      <c r="AF303" s="28">
        <f>IFERROR(IF(OR(A303="",AB303=""),"",AB303-R303),"")</f>
        <v/>
      </c>
      <c r="AG303" s="29">
        <f>IFERROR(IF(OR(A303="",AB303=""),"",IF(AD303-T303&lt;0,T303-AD303,AD303-T303)),"")</f>
        <v/>
      </c>
      <c r="AH303" s="51">
        <f>IFERROR(IF(OR(A303="",AE303=""),"",AE303-Z303),"")</f>
        <v/>
      </c>
      <c r="AI303" s="25">
        <f>IFERROR(IF(A303="","",IF(G303&gt;F303,"Check out-of-order rooms",IF(K303&gt;H303,"On the books exceeds sellable rooms",IF(R303&gt;H303,"Forecast exceeds sellable rooms",IF(AND(A303&lt;TODAY(),AB303=""),"Actual results missing","OK"))))),"")</f>
        <v/>
      </c>
    </row>
    <row r="304">
      <c r="A304" s="24" t="n"/>
      <c r="B304" s="25">
        <f>IFERROR(IF(A304="","",VLOOKUP(MOD(A304,7),'Assumptions'!$E$16:$F$22,2,0)),"")</f>
        <v/>
      </c>
      <c r="C304" s="25">
        <f>IFERROR(IF(A304="","",IF(A304&lt;TODAY(),"Past",IF(A304=TODAY(),"Today","Future"))),"")</f>
        <v/>
      </c>
      <c r="D304" s="26" t="n"/>
      <c r="E304" s="26" t="n"/>
      <c r="F304" s="27" t="n"/>
      <c r="G304" s="27" t="n"/>
      <c r="H304" s="28">
        <f>IFERROR(IF(A304="","",MAX(0,F304-G304)),"")</f>
        <v/>
      </c>
      <c r="I304" s="27" t="n"/>
      <c r="J304" s="27" t="n"/>
      <c r="K304" s="28">
        <f>IFERROR(IF(A304="","",I304+J304),"")</f>
        <v/>
      </c>
      <c r="L304" s="29">
        <f>IFERROR(IF(A304="","",K304/H304),"")</f>
        <v/>
      </c>
      <c r="M304" s="29">
        <f>IFERROR(IF(A304="","",VLOOKUP(B304,'Assumptions'!$A$16:$B$22,2,0)),"")</f>
        <v/>
      </c>
      <c r="N304" s="27" t="n"/>
      <c r="O304" s="27" t="n"/>
      <c r="P304" s="27" t="n"/>
      <c r="Q304" s="28">
        <f>IFERROR(IF(A304="","",MIN(H304,MAX(0,K304,ROUND(H304*M304,0)+N304+O304))),"")</f>
        <v/>
      </c>
      <c r="R304" s="28">
        <f>IFERROR(IF(A304="","",MIN(H304,MAX(0,IF(P304="",Q304,P304)))),"")</f>
        <v/>
      </c>
      <c r="S304" s="28">
        <f>IFERROR(IF(A304="","",MAX(0,R304-K304)),"")</f>
        <v/>
      </c>
      <c r="T304" s="29">
        <f>IFERROR(IF(A304="","",R304/H304),"")</f>
        <v/>
      </c>
      <c r="U304" s="29">
        <f>IFERROR(IF(A304="","",'Assumptions'!$B$5),"")</f>
        <v/>
      </c>
      <c r="V304" s="29">
        <f>IFERROR(IF(A304="","",T304-U304),"")</f>
        <v/>
      </c>
      <c r="W304" s="50" t="n"/>
      <c r="X304" s="50" t="n"/>
      <c r="Y304" s="51">
        <f>IFERROR(IF(A304="","",IF(X304&lt;&gt;"",X304,IF(W304&lt;&gt;"",W304,'Assumptions'!$B$8))),"")</f>
        <v/>
      </c>
      <c r="Z304" s="51">
        <f>IFERROR(IF(A304="","",R304*Y304),"")</f>
        <v/>
      </c>
      <c r="AA304" s="51">
        <f>IFERROR(IF(A304="","",Z304/H304),"")</f>
        <v/>
      </c>
      <c r="AB304" s="32" t="n"/>
      <c r="AC304" s="52" t="n"/>
      <c r="AD304" s="29">
        <f>IFERROR(IF(OR(A304="",AB304=""),"",AB304/H304),"")</f>
        <v/>
      </c>
      <c r="AE304" s="51">
        <f>IFERROR(IF(OR(A304="",AB304="",AC304=""),"",AB304*AC304),"")</f>
        <v/>
      </c>
      <c r="AF304" s="28">
        <f>IFERROR(IF(OR(A304="",AB304=""),"",AB304-R304),"")</f>
        <v/>
      </c>
      <c r="AG304" s="29">
        <f>IFERROR(IF(OR(A304="",AB304=""),"",IF(AD304-T304&lt;0,T304-AD304,AD304-T304)),"")</f>
        <v/>
      </c>
      <c r="AH304" s="51">
        <f>IFERROR(IF(OR(A304="",AE304=""),"",AE304-Z304),"")</f>
        <v/>
      </c>
      <c r="AI304" s="25">
        <f>IFERROR(IF(A304="","",IF(G304&gt;F304,"Check out-of-order rooms",IF(K304&gt;H304,"On the books exceeds sellable rooms",IF(R304&gt;H304,"Forecast exceeds sellable rooms",IF(AND(A304&lt;TODAY(),AB304=""),"Actual results missing","OK"))))),"")</f>
        <v/>
      </c>
    </row>
    <row r="305">
      <c r="A305" s="24" t="n"/>
      <c r="B305" s="25">
        <f>IFERROR(IF(A305="","",VLOOKUP(MOD(A305,7),'Assumptions'!$E$16:$F$22,2,0)),"")</f>
        <v/>
      </c>
      <c r="C305" s="25">
        <f>IFERROR(IF(A305="","",IF(A305&lt;TODAY(),"Past",IF(A305=TODAY(),"Today","Future"))),"")</f>
        <v/>
      </c>
      <c r="D305" s="26" t="n"/>
      <c r="E305" s="26" t="n"/>
      <c r="F305" s="27" t="n"/>
      <c r="G305" s="27" t="n"/>
      <c r="H305" s="28">
        <f>IFERROR(IF(A305="","",MAX(0,F305-G305)),"")</f>
        <v/>
      </c>
      <c r="I305" s="27" t="n"/>
      <c r="J305" s="27" t="n"/>
      <c r="K305" s="28">
        <f>IFERROR(IF(A305="","",I305+J305),"")</f>
        <v/>
      </c>
      <c r="L305" s="29">
        <f>IFERROR(IF(A305="","",K305/H305),"")</f>
        <v/>
      </c>
      <c r="M305" s="29">
        <f>IFERROR(IF(A305="","",VLOOKUP(B305,'Assumptions'!$A$16:$B$22,2,0)),"")</f>
        <v/>
      </c>
      <c r="N305" s="27" t="n"/>
      <c r="O305" s="27" t="n"/>
      <c r="P305" s="27" t="n"/>
      <c r="Q305" s="28">
        <f>IFERROR(IF(A305="","",MIN(H305,MAX(0,K305,ROUND(H305*M305,0)+N305+O305))),"")</f>
        <v/>
      </c>
      <c r="R305" s="28">
        <f>IFERROR(IF(A305="","",MIN(H305,MAX(0,IF(P305="",Q305,P305)))),"")</f>
        <v/>
      </c>
      <c r="S305" s="28">
        <f>IFERROR(IF(A305="","",MAX(0,R305-K305)),"")</f>
        <v/>
      </c>
      <c r="T305" s="29">
        <f>IFERROR(IF(A305="","",R305/H305),"")</f>
        <v/>
      </c>
      <c r="U305" s="29">
        <f>IFERROR(IF(A305="","",'Assumptions'!$B$5),"")</f>
        <v/>
      </c>
      <c r="V305" s="29">
        <f>IFERROR(IF(A305="","",T305-U305),"")</f>
        <v/>
      </c>
      <c r="W305" s="50" t="n"/>
      <c r="X305" s="50" t="n"/>
      <c r="Y305" s="51">
        <f>IFERROR(IF(A305="","",IF(X305&lt;&gt;"",X305,IF(W305&lt;&gt;"",W305,'Assumptions'!$B$8))),"")</f>
        <v/>
      </c>
      <c r="Z305" s="51">
        <f>IFERROR(IF(A305="","",R305*Y305),"")</f>
        <v/>
      </c>
      <c r="AA305" s="51">
        <f>IFERROR(IF(A305="","",Z305/H305),"")</f>
        <v/>
      </c>
      <c r="AB305" s="32" t="n"/>
      <c r="AC305" s="52" t="n"/>
      <c r="AD305" s="29">
        <f>IFERROR(IF(OR(A305="",AB305=""),"",AB305/H305),"")</f>
        <v/>
      </c>
      <c r="AE305" s="51">
        <f>IFERROR(IF(OR(A305="",AB305="",AC305=""),"",AB305*AC305),"")</f>
        <v/>
      </c>
      <c r="AF305" s="28">
        <f>IFERROR(IF(OR(A305="",AB305=""),"",AB305-R305),"")</f>
        <v/>
      </c>
      <c r="AG305" s="29">
        <f>IFERROR(IF(OR(A305="",AB305=""),"",IF(AD305-T305&lt;0,T305-AD305,AD305-T305)),"")</f>
        <v/>
      </c>
      <c r="AH305" s="51">
        <f>IFERROR(IF(OR(A305="",AE305=""),"",AE305-Z305),"")</f>
        <v/>
      </c>
      <c r="AI305" s="25">
        <f>IFERROR(IF(A305="","",IF(G305&gt;F305,"Check out-of-order rooms",IF(K305&gt;H305,"On the books exceeds sellable rooms",IF(R305&gt;H305,"Forecast exceeds sellable rooms",IF(AND(A305&lt;TODAY(),AB305=""),"Actual results missing","OK"))))),"")</f>
        <v/>
      </c>
    </row>
    <row r="306">
      <c r="A306" s="24" t="n"/>
      <c r="B306" s="25">
        <f>IFERROR(IF(A306="","",VLOOKUP(MOD(A306,7),'Assumptions'!$E$16:$F$22,2,0)),"")</f>
        <v/>
      </c>
      <c r="C306" s="25">
        <f>IFERROR(IF(A306="","",IF(A306&lt;TODAY(),"Past",IF(A306=TODAY(),"Today","Future"))),"")</f>
        <v/>
      </c>
      <c r="D306" s="26" t="n"/>
      <c r="E306" s="26" t="n"/>
      <c r="F306" s="27" t="n"/>
      <c r="G306" s="27" t="n"/>
      <c r="H306" s="28">
        <f>IFERROR(IF(A306="","",MAX(0,F306-G306)),"")</f>
        <v/>
      </c>
      <c r="I306" s="27" t="n"/>
      <c r="J306" s="27" t="n"/>
      <c r="K306" s="28">
        <f>IFERROR(IF(A306="","",I306+J306),"")</f>
        <v/>
      </c>
      <c r="L306" s="29">
        <f>IFERROR(IF(A306="","",K306/H306),"")</f>
        <v/>
      </c>
      <c r="M306" s="29">
        <f>IFERROR(IF(A306="","",VLOOKUP(B306,'Assumptions'!$A$16:$B$22,2,0)),"")</f>
        <v/>
      </c>
      <c r="N306" s="27" t="n"/>
      <c r="O306" s="27" t="n"/>
      <c r="P306" s="27" t="n"/>
      <c r="Q306" s="28">
        <f>IFERROR(IF(A306="","",MIN(H306,MAX(0,K306,ROUND(H306*M306,0)+N306+O306))),"")</f>
        <v/>
      </c>
      <c r="R306" s="28">
        <f>IFERROR(IF(A306="","",MIN(H306,MAX(0,IF(P306="",Q306,P306)))),"")</f>
        <v/>
      </c>
      <c r="S306" s="28">
        <f>IFERROR(IF(A306="","",MAX(0,R306-K306)),"")</f>
        <v/>
      </c>
      <c r="T306" s="29">
        <f>IFERROR(IF(A306="","",R306/H306),"")</f>
        <v/>
      </c>
      <c r="U306" s="29">
        <f>IFERROR(IF(A306="","",'Assumptions'!$B$5),"")</f>
        <v/>
      </c>
      <c r="V306" s="29">
        <f>IFERROR(IF(A306="","",T306-U306),"")</f>
        <v/>
      </c>
      <c r="W306" s="50" t="n"/>
      <c r="X306" s="50" t="n"/>
      <c r="Y306" s="51">
        <f>IFERROR(IF(A306="","",IF(X306&lt;&gt;"",X306,IF(W306&lt;&gt;"",W306,'Assumptions'!$B$8))),"")</f>
        <v/>
      </c>
      <c r="Z306" s="51">
        <f>IFERROR(IF(A306="","",R306*Y306),"")</f>
        <v/>
      </c>
      <c r="AA306" s="51">
        <f>IFERROR(IF(A306="","",Z306/H306),"")</f>
        <v/>
      </c>
      <c r="AB306" s="32" t="n"/>
      <c r="AC306" s="52" t="n"/>
      <c r="AD306" s="29">
        <f>IFERROR(IF(OR(A306="",AB306=""),"",AB306/H306),"")</f>
        <v/>
      </c>
      <c r="AE306" s="51">
        <f>IFERROR(IF(OR(A306="",AB306="",AC306=""),"",AB306*AC306),"")</f>
        <v/>
      </c>
      <c r="AF306" s="28">
        <f>IFERROR(IF(OR(A306="",AB306=""),"",AB306-R306),"")</f>
        <v/>
      </c>
      <c r="AG306" s="29">
        <f>IFERROR(IF(OR(A306="",AB306=""),"",IF(AD306-T306&lt;0,T306-AD306,AD306-T306)),"")</f>
        <v/>
      </c>
      <c r="AH306" s="51">
        <f>IFERROR(IF(OR(A306="",AE306=""),"",AE306-Z306),"")</f>
        <v/>
      </c>
      <c r="AI306" s="25">
        <f>IFERROR(IF(A306="","",IF(G306&gt;F306,"Check out-of-order rooms",IF(K306&gt;H306,"On the books exceeds sellable rooms",IF(R306&gt;H306,"Forecast exceeds sellable rooms",IF(AND(A306&lt;TODAY(),AB306=""),"Actual results missing","OK"))))),"")</f>
        <v/>
      </c>
    </row>
    <row r="307">
      <c r="A307" s="24" t="n"/>
      <c r="B307" s="25">
        <f>IFERROR(IF(A307="","",VLOOKUP(MOD(A307,7),'Assumptions'!$E$16:$F$22,2,0)),"")</f>
        <v/>
      </c>
      <c r="C307" s="25">
        <f>IFERROR(IF(A307="","",IF(A307&lt;TODAY(),"Past",IF(A307=TODAY(),"Today","Future"))),"")</f>
        <v/>
      </c>
      <c r="D307" s="26" t="n"/>
      <c r="E307" s="26" t="n"/>
      <c r="F307" s="27" t="n"/>
      <c r="G307" s="27" t="n"/>
      <c r="H307" s="28">
        <f>IFERROR(IF(A307="","",MAX(0,F307-G307)),"")</f>
        <v/>
      </c>
      <c r="I307" s="27" t="n"/>
      <c r="J307" s="27" t="n"/>
      <c r="K307" s="28">
        <f>IFERROR(IF(A307="","",I307+J307),"")</f>
        <v/>
      </c>
      <c r="L307" s="29">
        <f>IFERROR(IF(A307="","",K307/H307),"")</f>
        <v/>
      </c>
      <c r="M307" s="29">
        <f>IFERROR(IF(A307="","",VLOOKUP(B307,'Assumptions'!$A$16:$B$22,2,0)),"")</f>
        <v/>
      </c>
      <c r="N307" s="27" t="n"/>
      <c r="O307" s="27" t="n"/>
      <c r="P307" s="27" t="n"/>
      <c r="Q307" s="28">
        <f>IFERROR(IF(A307="","",MIN(H307,MAX(0,K307,ROUND(H307*M307,0)+N307+O307))),"")</f>
        <v/>
      </c>
      <c r="R307" s="28">
        <f>IFERROR(IF(A307="","",MIN(H307,MAX(0,IF(P307="",Q307,P307)))),"")</f>
        <v/>
      </c>
      <c r="S307" s="28">
        <f>IFERROR(IF(A307="","",MAX(0,R307-K307)),"")</f>
        <v/>
      </c>
      <c r="T307" s="29">
        <f>IFERROR(IF(A307="","",R307/H307),"")</f>
        <v/>
      </c>
      <c r="U307" s="29">
        <f>IFERROR(IF(A307="","",'Assumptions'!$B$5),"")</f>
        <v/>
      </c>
      <c r="V307" s="29">
        <f>IFERROR(IF(A307="","",T307-U307),"")</f>
        <v/>
      </c>
      <c r="W307" s="50" t="n"/>
      <c r="X307" s="50" t="n"/>
      <c r="Y307" s="51">
        <f>IFERROR(IF(A307="","",IF(X307&lt;&gt;"",X307,IF(W307&lt;&gt;"",W307,'Assumptions'!$B$8))),"")</f>
        <v/>
      </c>
      <c r="Z307" s="51">
        <f>IFERROR(IF(A307="","",R307*Y307),"")</f>
        <v/>
      </c>
      <c r="AA307" s="51">
        <f>IFERROR(IF(A307="","",Z307/H307),"")</f>
        <v/>
      </c>
      <c r="AB307" s="32" t="n"/>
      <c r="AC307" s="52" t="n"/>
      <c r="AD307" s="29">
        <f>IFERROR(IF(OR(A307="",AB307=""),"",AB307/H307),"")</f>
        <v/>
      </c>
      <c r="AE307" s="51">
        <f>IFERROR(IF(OR(A307="",AB307="",AC307=""),"",AB307*AC307),"")</f>
        <v/>
      </c>
      <c r="AF307" s="28">
        <f>IFERROR(IF(OR(A307="",AB307=""),"",AB307-R307),"")</f>
        <v/>
      </c>
      <c r="AG307" s="29">
        <f>IFERROR(IF(OR(A307="",AB307=""),"",IF(AD307-T307&lt;0,T307-AD307,AD307-T307)),"")</f>
        <v/>
      </c>
      <c r="AH307" s="51">
        <f>IFERROR(IF(OR(A307="",AE307=""),"",AE307-Z307),"")</f>
        <v/>
      </c>
      <c r="AI307" s="25">
        <f>IFERROR(IF(A307="","",IF(G307&gt;F307,"Check out-of-order rooms",IF(K307&gt;H307,"On the books exceeds sellable rooms",IF(R307&gt;H307,"Forecast exceeds sellable rooms",IF(AND(A307&lt;TODAY(),AB307=""),"Actual results missing","OK"))))),"")</f>
        <v/>
      </c>
    </row>
    <row r="308">
      <c r="A308" s="24" t="n"/>
      <c r="B308" s="25">
        <f>IFERROR(IF(A308="","",VLOOKUP(MOD(A308,7),'Assumptions'!$E$16:$F$22,2,0)),"")</f>
        <v/>
      </c>
      <c r="C308" s="25">
        <f>IFERROR(IF(A308="","",IF(A308&lt;TODAY(),"Past",IF(A308=TODAY(),"Today","Future"))),"")</f>
        <v/>
      </c>
      <c r="D308" s="26" t="n"/>
      <c r="E308" s="26" t="n"/>
      <c r="F308" s="27" t="n"/>
      <c r="G308" s="27" t="n"/>
      <c r="H308" s="28">
        <f>IFERROR(IF(A308="","",MAX(0,F308-G308)),"")</f>
        <v/>
      </c>
      <c r="I308" s="27" t="n"/>
      <c r="J308" s="27" t="n"/>
      <c r="K308" s="28">
        <f>IFERROR(IF(A308="","",I308+J308),"")</f>
        <v/>
      </c>
      <c r="L308" s="29">
        <f>IFERROR(IF(A308="","",K308/H308),"")</f>
        <v/>
      </c>
      <c r="M308" s="29">
        <f>IFERROR(IF(A308="","",VLOOKUP(B308,'Assumptions'!$A$16:$B$22,2,0)),"")</f>
        <v/>
      </c>
      <c r="N308" s="27" t="n"/>
      <c r="O308" s="27" t="n"/>
      <c r="P308" s="27" t="n"/>
      <c r="Q308" s="28">
        <f>IFERROR(IF(A308="","",MIN(H308,MAX(0,K308,ROUND(H308*M308,0)+N308+O308))),"")</f>
        <v/>
      </c>
      <c r="R308" s="28">
        <f>IFERROR(IF(A308="","",MIN(H308,MAX(0,IF(P308="",Q308,P308)))),"")</f>
        <v/>
      </c>
      <c r="S308" s="28">
        <f>IFERROR(IF(A308="","",MAX(0,R308-K308)),"")</f>
        <v/>
      </c>
      <c r="T308" s="29">
        <f>IFERROR(IF(A308="","",R308/H308),"")</f>
        <v/>
      </c>
      <c r="U308" s="29">
        <f>IFERROR(IF(A308="","",'Assumptions'!$B$5),"")</f>
        <v/>
      </c>
      <c r="V308" s="29">
        <f>IFERROR(IF(A308="","",T308-U308),"")</f>
        <v/>
      </c>
      <c r="W308" s="50" t="n"/>
      <c r="X308" s="50" t="n"/>
      <c r="Y308" s="51">
        <f>IFERROR(IF(A308="","",IF(X308&lt;&gt;"",X308,IF(W308&lt;&gt;"",W308,'Assumptions'!$B$8))),"")</f>
        <v/>
      </c>
      <c r="Z308" s="51">
        <f>IFERROR(IF(A308="","",R308*Y308),"")</f>
        <v/>
      </c>
      <c r="AA308" s="51">
        <f>IFERROR(IF(A308="","",Z308/H308),"")</f>
        <v/>
      </c>
      <c r="AB308" s="32" t="n"/>
      <c r="AC308" s="52" t="n"/>
      <c r="AD308" s="29">
        <f>IFERROR(IF(OR(A308="",AB308=""),"",AB308/H308),"")</f>
        <v/>
      </c>
      <c r="AE308" s="51">
        <f>IFERROR(IF(OR(A308="",AB308="",AC308=""),"",AB308*AC308),"")</f>
        <v/>
      </c>
      <c r="AF308" s="28">
        <f>IFERROR(IF(OR(A308="",AB308=""),"",AB308-R308),"")</f>
        <v/>
      </c>
      <c r="AG308" s="29">
        <f>IFERROR(IF(OR(A308="",AB308=""),"",IF(AD308-T308&lt;0,T308-AD308,AD308-T308)),"")</f>
        <v/>
      </c>
      <c r="AH308" s="51">
        <f>IFERROR(IF(OR(A308="",AE308=""),"",AE308-Z308),"")</f>
        <v/>
      </c>
      <c r="AI308" s="25">
        <f>IFERROR(IF(A308="","",IF(G308&gt;F308,"Check out-of-order rooms",IF(K308&gt;H308,"On the books exceeds sellable rooms",IF(R308&gt;H308,"Forecast exceeds sellable rooms",IF(AND(A308&lt;TODAY(),AB308=""),"Actual results missing","OK"))))),"")</f>
        <v/>
      </c>
    </row>
    <row r="309">
      <c r="A309" s="24" t="n"/>
      <c r="B309" s="25">
        <f>IFERROR(IF(A309="","",VLOOKUP(MOD(A309,7),'Assumptions'!$E$16:$F$22,2,0)),"")</f>
        <v/>
      </c>
      <c r="C309" s="25">
        <f>IFERROR(IF(A309="","",IF(A309&lt;TODAY(),"Past",IF(A309=TODAY(),"Today","Future"))),"")</f>
        <v/>
      </c>
      <c r="D309" s="26" t="n"/>
      <c r="E309" s="26" t="n"/>
      <c r="F309" s="27" t="n"/>
      <c r="G309" s="27" t="n"/>
      <c r="H309" s="28">
        <f>IFERROR(IF(A309="","",MAX(0,F309-G309)),"")</f>
        <v/>
      </c>
      <c r="I309" s="27" t="n"/>
      <c r="J309" s="27" t="n"/>
      <c r="K309" s="28">
        <f>IFERROR(IF(A309="","",I309+J309),"")</f>
        <v/>
      </c>
      <c r="L309" s="29">
        <f>IFERROR(IF(A309="","",K309/H309),"")</f>
        <v/>
      </c>
      <c r="M309" s="29">
        <f>IFERROR(IF(A309="","",VLOOKUP(B309,'Assumptions'!$A$16:$B$22,2,0)),"")</f>
        <v/>
      </c>
      <c r="N309" s="27" t="n"/>
      <c r="O309" s="27" t="n"/>
      <c r="P309" s="27" t="n"/>
      <c r="Q309" s="28">
        <f>IFERROR(IF(A309="","",MIN(H309,MAX(0,K309,ROUND(H309*M309,0)+N309+O309))),"")</f>
        <v/>
      </c>
      <c r="R309" s="28">
        <f>IFERROR(IF(A309="","",MIN(H309,MAX(0,IF(P309="",Q309,P309)))),"")</f>
        <v/>
      </c>
      <c r="S309" s="28">
        <f>IFERROR(IF(A309="","",MAX(0,R309-K309)),"")</f>
        <v/>
      </c>
      <c r="T309" s="29">
        <f>IFERROR(IF(A309="","",R309/H309),"")</f>
        <v/>
      </c>
      <c r="U309" s="29">
        <f>IFERROR(IF(A309="","",'Assumptions'!$B$5),"")</f>
        <v/>
      </c>
      <c r="V309" s="29">
        <f>IFERROR(IF(A309="","",T309-U309),"")</f>
        <v/>
      </c>
      <c r="W309" s="50" t="n"/>
      <c r="X309" s="50" t="n"/>
      <c r="Y309" s="51">
        <f>IFERROR(IF(A309="","",IF(X309&lt;&gt;"",X309,IF(W309&lt;&gt;"",W309,'Assumptions'!$B$8))),"")</f>
        <v/>
      </c>
      <c r="Z309" s="51">
        <f>IFERROR(IF(A309="","",R309*Y309),"")</f>
        <v/>
      </c>
      <c r="AA309" s="51">
        <f>IFERROR(IF(A309="","",Z309/H309),"")</f>
        <v/>
      </c>
      <c r="AB309" s="32" t="n"/>
      <c r="AC309" s="52" t="n"/>
      <c r="AD309" s="29">
        <f>IFERROR(IF(OR(A309="",AB309=""),"",AB309/H309),"")</f>
        <v/>
      </c>
      <c r="AE309" s="51">
        <f>IFERROR(IF(OR(A309="",AB309="",AC309=""),"",AB309*AC309),"")</f>
        <v/>
      </c>
      <c r="AF309" s="28">
        <f>IFERROR(IF(OR(A309="",AB309=""),"",AB309-R309),"")</f>
        <v/>
      </c>
      <c r="AG309" s="29">
        <f>IFERROR(IF(OR(A309="",AB309=""),"",IF(AD309-T309&lt;0,T309-AD309,AD309-T309)),"")</f>
        <v/>
      </c>
      <c r="AH309" s="51">
        <f>IFERROR(IF(OR(A309="",AE309=""),"",AE309-Z309),"")</f>
        <v/>
      </c>
      <c r="AI309" s="25">
        <f>IFERROR(IF(A309="","",IF(G309&gt;F309,"Check out-of-order rooms",IF(K309&gt;H309,"On the books exceeds sellable rooms",IF(R309&gt;H309,"Forecast exceeds sellable rooms",IF(AND(A309&lt;TODAY(),AB309=""),"Actual results missing","OK"))))),"")</f>
        <v/>
      </c>
    </row>
    <row r="310">
      <c r="A310" s="24" t="n"/>
      <c r="B310" s="25">
        <f>IFERROR(IF(A310="","",VLOOKUP(MOD(A310,7),'Assumptions'!$E$16:$F$22,2,0)),"")</f>
        <v/>
      </c>
      <c r="C310" s="25">
        <f>IFERROR(IF(A310="","",IF(A310&lt;TODAY(),"Past",IF(A310=TODAY(),"Today","Future"))),"")</f>
        <v/>
      </c>
      <c r="D310" s="26" t="n"/>
      <c r="E310" s="26" t="n"/>
      <c r="F310" s="27" t="n"/>
      <c r="G310" s="27" t="n"/>
      <c r="H310" s="28">
        <f>IFERROR(IF(A310="","",MAX(0,F310-G310)),"")</f>
        <v/>
      </c>
      <c r="I310" s="27" t="n"/>
      <c r="J310" s="27" t="n"/>
      <c r="K310" s="28">
        <f>IFERROR(IF(A310="","",I310+J310),"")</f>
        <v/>
      </c>
      <c r="L310" s="29">
        <f>IFERROR(IF(A310="","",K310/H310),"")</f>
        <v/>
      </c>
      <c r="M310" s="29">
        <f>IFERROR(IF(A310="","",VLOOKUP(B310,'Assumptions'!$A$16:$B$22,2,0)),"")</f>
        <v/>
      </c>
      <c r="N310" s="27" t="n"/>
      <c r="O310" s="27" t="n"/>
      <c r="P310" s="27" t="n"/>
      <c r="Q310" s="28">
        <f>IFERROR(IF(A310="","",MIN(H310,MAX(0,K310,ROUND(H310*M310,0)+N310+O310))),"")</f>
        <v/>
      </c>
      <c r="R310" s="28">
        <f>IFERROR(IF(A310="","",MIN(H310,MAX(0,IF(P310="",Q310,P310)))),"")</f>
        <v/>
      </c>
      <c r="S310" s="28">
        <f>IFERROR(IF(A310="","",MAX(0,R310-K310)),"")</f>
        <v/>
      </c>
      <c r="T310" s="29">
        <f>IFERROR(IF(A310="","",R310/H310),"")</f>
        <v/>
      </c>
      <c r="U310" s="29">
        <f>IFERROR(IF(A310="","",'Assumptions'!$B$5),"")</f>
        <v/>
      </c>
      <c r="V310" s="29">
        <f>IFERROR(IF(A310="","",T310-U310),"")</f>
        <v/>
      </c>
      <c r="W310" s="50" t="n"/>
      <c r="X310" s="50" t="n"/>
      <c r="Y310" s="51">
        <f>IFERROR(IF(A310="","",IF(X310&lt;&gt;"",X310,IF(W310&lt;&gt;"",W310,'Assumptions'!$B$8))),"")</f>
        <v/>
      </c>
      <c r="Z310" s="51">
        <f>IFERROR(IF(A310="","",R310*Y310),"")</f>
        <v/>
      </c>
      <c r="AA310" s="51">
        <f>IFERROR(IF(A310="","",Z310/H310),"")</f>
        <v/>
      </c>
      <c r="AB310" s="32" t="n"/>
      <c r="AC310" s="52" t="n"/>
      <c r="AD310" s="29">
        <f>IFERROR(IF(OR(A310="",AB310=""),"",AB310/H310),"")</f>
        <v/>
      </c>
      <c r="AE310" s="51">
        <f>IFERROR(IF(OR(A310="",AB310="",AC310=""),"",AB310*AC310),"")</f>
        <v/>
      </c>
      <c r="AF310" s="28">
        <f>IFERROR(IF(OR(A310="",AB310=""),"",AB310-R310),"")</f>
        <v/>
      </c>
      <c r="AG310" s="29">
        <f>IFERROR(IF(OR(A310="",AB310=""),"",IF(AD310-T310&lt;0,T310-AD310,AD310-T310)),"")</f>
        <v/>
      </c>
      <c r="AH310" s="51">
        <f>IFERROR(IF(OR(A310="",AE310=""),"",AE310-Z310),"")</f>
        <v/>
      </c>
      <c r="AI310" s="25">
        <f>IFERROR(IF(A310="","",IF(G310&gt;F310,"Check out-of-order rooms",IF(K310&gt;H310,"On the books exceeds sellable rooms",IF(R310&gt;H310,"Forecast exceeds sellable rooms",IF(AND(A310&lt;TODAY(),AB310=""),"Actual results missing","OK"))))),"")</f>
        <v/>
      </c>
    </row>
    <row r="311">
      <c r="A311" s="24" t="n"/>
      <c r="B311" s="25">
        <f>IFERROR(IF(A311="","",VLOOKUP(MOD(A311,7),'Assumptions'!$E$16:$F$22,2,0)),"")</f>
        <v/>
      </c>
      <c r="C311" s="25">
        <f>IFERROR(IF(A311="","",IF(A311&lt;TODAY(),"Past",IF(A311=TODAY(),"Today","Future"))),"")</f>
        <v/>
      </c>
      <c r="D311" s="26" t="n"/>
      <c r="E311" s="26" t="n"/>
      <c r="F311" s="27" t="n"/>
      <c r="G311" s="27" t="n"/>
      <c r="H311" s="28">
        <f>IFERROR(IF(A311="","",MAX(0,F311-G311)),"")</f>
        <v/>
      </c>
      <c r="I311" s="27" t="n"/>
      <c r="J311" s="27" t="n"/>
      <c r="K311" s="28">
        <f>IFERROR(IF(A311="","",I311+J311),"")</f>
        <v/>
      </c>
      <c r="L311" s="29">
        <f>IFERROR(IF(A311="","",K311/H311),"")</f>
        <v/>
      </c>
      <c r="M311" s="29">
        <f>IFERROR(IF(A311="","",VLOOKUP(B311,'Assumptions'!$A$16:$B$22,2,0)),"")</f>
        <v/>
      </c>
      <c r="N311" s="27" t="n"/>
      <c r="O311" s="27" t="n"/>
      <c r="P311" s="27" t="n"/>
      <c r="Q311" s="28">
        <f>IFERROR(IF(A311="","",MIN(H311,MAX(0,K311,ROUND(H311*M311,0)+N311+O311))),"")</f>
        <v/>
      </c>
      <c r="R311" s="28">
        <f>IFERROR(IF(A311="","",MIN(H311,MAX(0,IF(P311="",Q311,P311)))),"")</f>
        <v/>
      </c>
      <c r="S311" s="28">
        <f>IFERROR(IF(A311="","",MAX(0,R311-K311)),"")</f>
        <v/>
      </c>
      <c r="T311" s="29">
        <f>IFERROR(IF(A311="","",R311/H311),"")</f>
        <v/>
      </c>
      <c r="U311" s="29">
        <f>IFERROR(IF(A311="","",'Assumptions'!$B$5),"")</f>
        <v/>
      </c>
      <c r="V311" s="29">
        <f>IFERROR(IF(A311="","",T311-U311),"")</f>
        <v/>
      </c>
      <c r="W311" s="50" t="n"/>
      <c r="X311" s="50" t="n"/>
      <c r="Y311" s="51">
        <f>IFERROR(IF(A311="","",IF(X311&lt;&gt;"",X311,IF(W311&lt;&gt;"",W311,'Assumptions'!$B$8))),"")</f>
        <v/>
      </c>
      <c r="Z311" s="51">
        <f>IFERROR(IF(A311="","",R311*Y311),"")</f>
        <v/>
      </c>
      <c r="AA311" s="51">
        <f>IFERROR(IF(A311="","",Z311/H311),"")</f>
        <v/>
      </c>
      <c r="AB311" s="32" t="n"/>
      <c r="AC311" s="52" t="n"/>
      <c r="AD311" s="29">
        <f>IFERROR(IF(OR(A311="",AB311=""),"",AB311/H311),"")</f>
        <v/>
      </c>
      <c r="AE311" s="51">
        <f>IFERROR(IF(OR(A311="",AB311="",AC311=""),"",AB311*AC311),"")</f>
        <v/>
      </c>
      <c r="AF311" s="28">
        <f>IFERROR(IF(OR(A311="",AB311=""),"",AB311-R311),"")</f>
        <v/>
      </c>
      <c r="AG311" s="29">
        <f>IFERROR(IF(OR(A311="",AB311=""),"",IF(AD311-T311&lt;0,T311-AD311,AD311-T311)),"")</f>
        <v/>
      </c>
      <c r="AH311" s="51">
        <f>IFERROR(IF(OR(A311="",AE311=""),"",AE311-Z311),"")</f>
        <v/>
      </c>
      <c r="AI311" s="25">
        <f>IFERROR(IF(A311="","",IF(G311&gt;F311,"Check out-of-order rooms",IF(K311&gt;H311,"On the books exceeds sellable rooms",IF(R311&gt;H311,"Forecast exceeds sellable rooms",IF(AND(A311&lt;TODAY(),AB311=""),"Actual results missing","OK"))))),"")</f>
        <v/>
      </c>
    </row>
    <row r="312">
      <c r="A312" s="24" t="n"/>
      <c r="B312" s="25">
        <f>IFERROR(IF(A312="","",VLOOKUP(MOD(A312,7),'Assumptions'!$E$16:$F$22,2,0)),"")</f>
        <v/>
      </c>
      <c r="C312" s="25">
        <f>IFERROR(IF(A312="","",IF(A312&lt;TODAY(),"Past",IF(A312=TODAY(),"Today","Future"))),"")</f>
        <v/>
      </c>
      <c r="D312" s="26" t="n"/>
      <c r="E312" s="26" t="n"/>
      <c r="F312" s="27" t="n"/>
      <c r="G312" s="27" t="n"/>
      <c r="H312" s="28">
        <f>IFERROR(IF(A312="","",MAX(0,F312-G312)),"")</f>
        <v/>
      </c>
      <c r="I312" s="27" t="n"/>
      <c r="J312" s="27" t="n"/>
      <c r="K312" s="28">
        <f>IFERROR(IF(A312="","",I312+J312),"")</f>
        <v/>
      </c>
      <c r="L312" s="29">
        <f>IFERROR(IF(A312="","",K312/H312),"")</f>
        <v/>
      </c>
      <c r="M312" s="29">
        <f>IFERROR(IF(A312="","",VLOOKUP(B312,'Assumptions'!$A$16:$B$22,2,0)),"")</f>
        <v/>
      </c>
      <c r="N312" s="27" t="n"/>
      <c r="O312" s="27" t="n"/>
      <c r="P312" s="27" t="n"/>
      <c r="Q312" s="28">
        <f>IFERROR(IF(A312="","",MIN(H312,MAX(0,K312,ROUND(H312*M312,0)+N312+O312))),"")</f>
        <v/>
      </c>
      <c r="R312" s="28">
        <f>IFERROR(IF(A312="","",MIN(H312,MAX(0,IF(P312="",Q312,P312)))),"")</f>
        <v/>
      </c>
      <c r="S312" s="28">
        <f>IFERROR(IF(A312="","",MAX(0,R312-K312)),"")</f>
        <v/>
      </c>
      <c r="T312" s="29">
        <f>IFERROR(IF(A312="","",R312/H312),"")</f>
        <v/>
      </c>
      <c r="U312" s="29">
        <f>IFERROR(IF(A312="","",'Assumptions'!$B$5),"")</f>
        <v/>
      </c>
      <c r="V312" s="29">
        <f>IFERROR(IF(A312="","",T312-U312),"")</f>
        <v/>
      </c>
      <c r="W312" s="50" t="n"/>
      <c r="X312" s="50" t="n"/>
      <c r="Y312" s="51">
        <f>IFERROR(IF(A312="","",IF(X312&lt;&gt;"",X312,IF(W312&lt;&gt;"",W312,'Assumptions'!$B$8))),"")</f>
        <v/>
      </c>
      <c r="Z312" s="51">
        <f>IFERROR(IF(A312="","",R312*Y312),"")</f>
        <v/>
      </c>
      <c r="AA312" s="51">
        <f>IFERROR(IF(A312="","",Z312/H312),"")</f>
        <v/>
      </c>
      <c r="AB312" s="32" t="n"/>
      <c r="AC312" s="52" t="n"/>
      <c r="AD312" s="29">
        <f>IFERROR(IF(OR(A312="",AB312=""),"",AB312/H312),"")</f>
        <v/>
      </c>
      <c r="AE312" s="51">
        <f>IFERROR(IF(OR(A312="",AB312="",AC312=""),"",AB312*AC312),"")</f>
        <v/>
      </c>
      <c r="AF312" s="28">
        <f>IFERROR(IF(OR(A312="",AB312=""),"",AB312-R312),"")</f>
        <v/>
      </c>
      <c r="AG312" s="29">
        <f>IFERROR(IF(OR(A312="",AB312=""),"",IF(AD312-T312&lt;0,T312-AD312,AD312-T312)),"")</f>
        <v/>
      </c>
      <c r="AH312" s="51">
        <f>IFERROR(IF(OR(A312="",AE312=""),"",AE312-Z312),"")</f>
        <v/>
      </c>
      <c r="AI312" s="25">
        <f>IFERROR(IF(A312="","",IF(G312&gt;F312,"Check out-of-order rooms",IF(K312&gt;H312,"On the books exceeds sellable rooms",IF(R312&gt;H312,"Forecast exceeds sellable rooms",IF(AND(A312&lt;TODAY(),AB312=""),"Actual results missing","OK"))))),"")</f>
        <v/>
      </c>
    </row>
    <row r="313">
      <c r="A313" s="24" t="n"/>
      <c r="B313" s="25">
        <f>IFERROR(IF(A313="","",VLOOKUP(MOD(A313,7),'Assumptions'!$E$16:$F$22,2,0)),"")</f>
        <v/>
      </c>
      <c r="C313" s="25">
        <f>IFERROR(IF(A313="","",IF(A313&lt;TODAY(),"Past",IF(A313=TODAY(),"Today","Future"))),"")</f>
        <v/>
      </c>
      <c r="D313" s="26" t="n"/>
      <c r="E313" s="26" t="n"/>
      <c r="F313" s="27" t="n"/>
      <c r="G313" s="27" t="n"/>
      <c r="H313" s="28">
        <f>IFERROR(IF(A313="","",MAX(0,F313-G313)),"")</f>
        <v/>
      </c>
      <c r="I313" s="27" t="n"/>
      <c r="J313" s="27" t="n"/>
      <c r="K313" s="28">
        <f>IFERROR(IF(A313="","",I313+J313),"")</f>
        <v/>
      </c>
      <c r="L313" s="29">
        <f>IFERROR(IF(A313="","",K313/H313),"")</f>
        <v/>
      </c>
      <c r="M313" s="29">
        <f>IFERROR(IF(A313="","",VLOOKUP(B313,'Assumptions'!$A$16:$B$22,2,0)),"")</f>
        <v/>
      </c>
      <c r="N313" s="27" t="n"/>
      <c r="O313" s="27" t="n"/>
      <c r="P313" s="27" t="n"/>
      <c r="Q313" s="28">
        <f>IFERROR(IF(A313="","",MIN(H313,MAX(0,K313,ROUND(H313*M313,0)+N313+O313))),"")</f>
        <v/>
      </c>
      <c r="R313" s="28">
        <f>IFERROR(IF(A313="","",MIN(H313,MAX(0,IF(P313="",Q313,P313)))),"")</f>
        <v/>
      </c>
      <c r="S313" s="28">
        <f>IFERROR(IF(A313="","",MAX(0,R313-K313)),"")</f>
        <v/>
      </c>
      <c r="T313" s="29">
        <f>IFERROR(IF(A313="","",R313/H313),"")</f>
        <v/>
      </c>
      <c r="U313" s="29">
        <f>IFERROR(IF(A313="","",'Assumptions'!$B$5),"")</f>
        <v/>
      </c>
      <c r="V313" s="29">
        <f>IFERROR(IF(A313="","",T313-U313),"")</f>
        <v/>
      </c>
      <c r="W313" s="50" t="n"/>
      <c r="X313" s="50" t="n"/>
      <c r="Y313" s="51">
        <f>IFERROR(IF(A313="","",IF(X313&lt;&gt;"",X313,IF(W313&lt;&gt;"",W313,'Assumptions'!$B$8))),"")</f>
        <v/>
      </c>
      <c r="Z313" s="51">
        <f>IFERROR(IF(A313="","",R313*Y313),"")</f>
        <v/>
      </c>
      <c r="AA313" s="51">
        <f>IFERROR(IF(A313="","",Z313/H313),"")</f>
        <v/>
      </c>
      <c r="AB313" s="32" t="n"/>
      <c r="AC313" s="52" t="n"/>
      <c r="AD313" s="29">
        <f>IFERROR(IF(OR(A313="",AB313=""),"",AB313/H313),"")</f>
        <v/>
      </c>
      <c r="AE313" s="51">
        <f>IFERROR(IF(OR(A313="",AB313="",AC313=""),"",AB313*AC313),"")</f>
        <v/>
      </c>
      <c r="AF313" s="28">
        <f>IFERROR(IF(OR(A313="",AB313=""),"",AB313-R313),"")</f>
        <v/>
      </c>
      <c r="AG313" s="29">
        <f>IFERROR(IF(OR(A313="",AB313=""),"",IF(AD313-T313&lt;0,T313-AD313,AD313-T313)),"")</f>
        <v/>
      </c>
      <c r="AH313" s="51">
        <f>IFERROR(IF(OR(A313="",AE313=""),"",AE313-Z313),"")</f>
        <v/>
      </c>
      <c r="AI313" s="25">
        <f>IFERROR(IF(A313="","",IF(G313&gt;F313,"Check out-of-order rooms",IF(K313&gt;H313,"On the books exceeds sellable rooms",IF(R313&gt;H313,"Forecast exceeds sellable rooms",IF(AND(A313&lt;TODAY(),AB313=""),"Actual results missing","OK"))))),"")</f>
        <v/>
      </c>
    </row>
    <row r="314">
      <c r="A314" s="24" t="n"/>
      <c r="B314" s="25">
        <f>IFERROR(IF(A314="","",VLOOKUP(MOD(A314,7),'Assumptions'!$E$16:$F$22,2,0)),"")</f>
        <v/>
      </c>
      <c r="C314" s="25">
        <f>IFERROR(IF(A314="","",IF(A314&lt;TODAY(),"Past",IF(A314=TODAY(),"Today","Future"))),"")</f>
        <v/>
      </c>
      <c r="D314" s="26" t="n"/>
      <c r="E314" s="26" t="n"/>
      <c r="F314" s="27" t="n"/>
      <c r="G314" s="27" t="n"/>
      <c r="H314" s="28">
        <f>IFERROR(IF(A314="","",MAX(0,F314-G314)),"")</f>
        <v/>
      </c>
      <c r="I314" s="27" t="n"/>
      <c r="J314" s="27" t="n"/>
      <c r="K314" s="28">
        <f>IFERROR(IF(A314="","",I314+J314),"")</f>
        <v/>
      </c>
      <c r="L314" s="29">
        <f>IFERROR(IF(A314="","",K314/H314),"")</f>
        <v/>
      </c>
      <c r="M314" s="29">
        <f>IFERROR(IF(A314="","",VLOOKUP(B314,'Assumptions'!$A$16:$B$22,2,0)),"")</f>
        <v/>
      </c>
      <c r="N314" s="27" t="n"/>
      <c r="O314" s="27" t="n"/>
      <c r="P314" s="27" t="n"/>
      <c r="Q314" s="28">
        <f>IFERROR(IF(A314="","",MIN(H314,MAX(0,K314,ROUND(H314*M314,0)+N314+O314))),"")</f>
        <v/>
      </c>
      <c r="R314" s="28">
        <f>IFERROR(IF(A314="","",MIN(H314,MAX(0,IF(P314="",Q314,P314)))),"")</f>
        <v/>
      </c>
      <c r="S314" s="28">
        <f>IFERROR(IF(A314="","",MAX(0,R314-K314)),"")</f>
        <v/>
      </c>
      <c r="T314" s="29">
        <f>IFERROR(IF(A314="","",R314/H314),"")</f>
        <v/>
      </c>
      <c r="U314" s="29">
        <f>IFERROR(IF(A314="","",'Assumptions'!$B$5),"")</f>
        <v/>
      </c>
      <c r="V314" s="29">
        <f>IFERROR(IF(A314="","",T314-U314),"")</f>
        <v/>
      </c>
      <c r="W314" s="50" t="n"/>
      <c r="X314" s="50" t="n"/>
      <c r="Y314" s="51">
        <f>IFERROR(IF(A314="","",IF(X314&lt;&gt;"",X314,IF(W314&lt;&gt;"",W314,'Assumptions'!$B$8))),"")</f>
        <v/>
      </c>
      <c r="Z314" s="51">
        <f>IFERROR(IF(A314="","",R314*Y314),"")</f>
        <v/>
      </c>
      <c r="AA314" s="51">
        <f>IFERROR(IF(A314="","",Z314/H314),"")</f>
        <v/>
      </c>
      <c r="AB314" s="32" t="n"/>
      <c r="AC314" s="52" t="n"/>
      <c r="AD314" s="29">
        <f>IFERROR(IF(OR(A314="",AB314=""),"",AB314/H314),"")</f>
        <v/>
      </c>
      <c r="AE314" s="51">
        <f>IFERROR(IF(OR(A314="",AB314="",AC314=""),"",AB314*AC314),"")</f>
        <v/>
      </c>
      <c r="AF314" s="28">
        <f>IFERROR(IF(OR(A314="",AB314=""),"",AB314-R314),"")</f>
        <v/>
      </c>
      <c r="AG314" s="29">
        <f>IFERROR(IF(OR(A314="",AB314=""),"",IF(AD314-T314&lt;0,T314-AD314,AD314-T314)),"")</f>
        <v/>
      </c>
      <c r="AH314" s="51">
        <f>IFERROR(IF(OR(A314="",AE314=""),"",AE314-Z314),"")</f>
        <v/>
      </c>
      <c r="AI314" s="25">
        <f>IFERROR(IF(A314="","",IF(G314&gt;F314,"Check out-of-order rooms",IF(K314&gt;H314,"On the books exceeds sellable rooms",IF(R314&gt;H314,"Forecast exceeds sellable rooms",IF(AND(A314&lt;TODAY(),AB314=""),"Actual results missing","OK"))))),"")</f>
        <v/>
      </c>
    </row>
    <row r="315">
      <c r="A315" s="24" t="n"/>
      <c r="B315" s="25">
        <f>IFERROR(IF(A315="","",VLOOKUP(MOD(A315,7),'Assumptions'!$E$16:$F$22,2,0)),"")</f>
        <v/>
      </c>
      <c r="C315" s="25">
        <f>IFERROR(IF(A315="","",IF(A315&lt;TODAY(),"Past",IF(A315=TODAY(),"Today","Future"))),"")</f>
        <v/>
      </c>
      <c r="D315" s="26" t="n"/>
      <c r="E315" s="26" t="n"/>
      <c r="F315" s="27" t="n"/>
      <c r="G315" s="27" t="n"/>
      <c r="H315" s="28">
        <f>IFERROR(IF(A315="","",MAX(0,F315-G315)),"")</f>
        <v/>
      </c>
      <c r="I315" s="27" t="n"/>
      <c r="J315" s="27" t="n"/>
      <c r="K315" s="28">
        <f>IFERROR(IF(A315="","",I315+J315),"")</f>
        <v/>
      </c>
      <c r="L315" s="29">
        <f>IFERROR(IF(A315="","",K315/H315),"")</f>
        <v/>
      </c>
      <c r="M315" s="29">
        <f>IFERROR(IF(A315="","",VLOOKUP(B315,'Assumptions'!$A$16:$B$22,2,0)),"")</f>
        <v/>
      </c>
      <c r="N315" s="27" t="n"/>
      <c r="O315" s="27" t="n"/>
      <c r="P315" s="27" t="n"/>
      <c r="Q315" s="28">
        <f>IFERROR(IF(A315="","",MIN(H315,MAX(0,K315,ROUND(H315*M315,0)+N315+O315))),"")</f>
        <v/>
      </c>
      <c r="R315" s="28">
        <f>IFERROR(IF(A315="","",MIN(H315,MAX(0,IF(P315="",Q315,P315)))),"")</f>
        <v/>
      </c>
      <c r="S315" s="28">
        <f>IFERROR(IF(A315="","",MAX(0,R315-K315)),"")</f>
        <v/>
      </c>
      <c r="T315" s="29">
        <f>IFERROR(IF(A315="","",R315/H315),"")</f>
        <v/>
      </c>
      <c r="U315" s="29">
        <f>IFERROR(IF(A315="","",'Assumptions'!$B$5),"")</f>
        <v/>
      </c>
      <c r="V315" s="29">
        <f>IFERROR(IF(A315="","",T315-U315),"")</f>
        <v/>
      </c>
      <c r="W315" s="50" t="n"/>
      <c r="X315" s="50" t="n"/>
      <c r="Y315" s="51">
        <f>IFERROR(IF(A315="","",IF(X315&lt;&gt;"",X315,IF(W315&lt;&gt;"",W315,'Assumptions'!$B$8))),"")</f>
        <v/>
      </c>
      <c r="Z315" s="51">
        <f>IFERROR(IF(A315="","",R315*Y315),"")</f>
        <v/>
      </c>
      <c r="AA315" s="51">
        <f>IFERROR(IF(A315="","",Z315/H315),"")</f>
        <v/>
      </c>
      <c r="AB315" s="32" t="n"/>
      <c r="AC315" s="52" t="n"/>
      <c r="AD315" s="29">
        <f>IFERROR(IF(OR(A315="",AB315=""),"",AB315/H315),"")</f>
        <v/>
      </c>
      <c r="AE315" s="51">
        <f>IFERROR(IF(OR(A315="",AB315="",AC315=""),"",AB315*AC315),"")</f>
        <v/>
      </c>
      <c r="AF315" s="28">
        <f>IFERROR(IF(OR(A315="",AB315=""),"",AB315-R315),"")</f>
        <v/>
      </c>
      <c r="AG315" s="29">
        <f>IFERROR(IF(OR(A315="",AB315=""),"",IF(AD315-T315&lt;0,T315-AD315,AD315-T315)),"")</f>
        <v/>
      </c>
      <c r="AH315" s="51">
        <f>IFERROR(IF(OR(A315="",AE315=""),"",AE315-Z315),"")</f>
        <v/>
      </c>
      <c r="AI315" s="25">
        <f>IFERROR(IF(A315="","",IF(G315&gt;F315,"Check out-of-order rooms",IF(K315&gt;H315,"On the books exceeds sellable rooms",IF(R315&gt;H315,"Forecast exceeds sellable rooms",IF(AND(A315&lt;TODAY(),AB315=""),"Actual results missing","OK"))))),"")</f>
        <v/>
      </c>
    </row>
    <row r="316">
      <c r="A316" s="24" t="n"/>
      <c r="B316" s="25">
        <f>IFERROR(IF(A316="","",VLOOKUP(MOD(A316,7),'Assumptions'!$E$16:$F$22,2,0)),"")</f>
        <v/>
      </c>
      <c r="C316" s="25">
        <f>IFERROR(IF(A316="","",IF(A316&lt;TODAY(),"Past",IF(A316=TODAY(),"Today","Future"))),"")</f>
        <v/>
      </c>
      <c r="D316" s="26" t="n"/>
      <c r="E316" s="26" t="n"/>
      <c r="F316" s="27" t="n"/>
      <c r="G316" s="27" t="n"/>
      <c r="H316" s="28">
        <f>IFERROR(IF(A316="","",MAX(0,F316-G316)),"")</f>
        <v/>
      </c>
      <c r="I316" s="27" t="n"/>
      <c r="J316" s="27" t="n"/>
      <c r="K316" s="28">
        <f>IFERROR(IF(A316="","",I316+J316),"")</f>
        <v/>
      </c>
      <c r="L316" s="29">
        <f>IFERROR(IF(A316="","",K316/H316),"")</f>
        <v/>
      </c>
      <c r="M316" s="29">
        <f>IFERROR(IF(A316="","",VLOOKUP(B316,'Assumptions'!$A$16:$B$22,2,0)),"")</f>
        <v/>
      </c>
      <c r="N316" s="27" t="n"/>
      <c r="O316" s="27" t="n"/>
      <c r="P316" s="27" t="n"/>
      <c r="Q316" s="28">
        <f>IFERROR(IF(A316="","",MIN(H316,MAX(0,K316,ROUND(H316*M316,0)+N316+O316))),"")</f>
        <v/>
      </c>
      <c r="R316" s="28">
        <f>IFERROR(IF(A316="","",MIN(H316,MAX(0,IF(P316="",Q316,P316)))),"")</f>
        <v/>
      </c>
      <c r="S316" s="28">
        <f>IFERROR(IF(A316="","",MAX(0,R316-K316)),"")</f>
        <v/>
      </c>
      <c r="T316" s="29">
        <f>IFERROR(IF(A316="","",R316/H316),"")</f>
        <v/>
      </c>
      <c r="U316" s="29">
        <f>IFERROR(IF(A316="","",'Assumptions'!$B$5),"")</f>
        <v/>
      </c>
      <c r="V316" s="29">
        <f>IFERROR(IF(A316="","",T316-U316),"")</f>
        <v/>
      </c>
      <c r="W316" s="50" t="n"/>
      <c r="X316" s="50" t="n"/>
      <c r="Y316" s="51">
        <f>IFERROR(IF(A316="","",IF(X316&lt;&gt;"",X316,IF(W316&lt;&gt;"",W316,'Assumptions'!$B$8))),"")</f>
        <v/>
      </c>
      <c r="Z316" s="51">
        <f>IFERROR(IF(A316="","",R316*Y316),"")</f>
        <v/>
      </c>
      <c r="AA316" s="51">
        <f>IFERROR(IF(A316="","",Z316/H316),"")</f>
        <v/>
      </c>
      <c r="AB316" s="32" t="n"/>
      <c r="AC316" s="52" t="n"/>
      <c r="AD316" s="29">
        <f>IFERROR(IF(OR(A316="",AB316=""),"",AB316/H316),"")</f>
        <v/>
      </c>
      <c r="AE316" s="51">
        <f>IFERROR(IF(OR(A316="",AB316="",AC316=""),"",AB316*AC316),"")</f>
        <v/>
      </c>
      <c r="AF316" s="28">
        <f>IFERROR(IF(OR(A316="",AB316=""),"",AB316-R316),"")</f>
        <v/>
      </c>
      <c r="AG316" s="29">
        <f>IFERROR(IF(OR(A316="",AB316=""),"",IF(AD316-T316&lt;0,T316-AD316,AD316-T316)),"")</f>
        <v/>
      </c>
      <c r="AH316" s="51">
        <f>IFERROR(IF(OR(A316="",AE316=""),"",AE316-Z316),"")</f>
        <v/>
      </c>
      <c r="AI316" s="25">
        <f>IFERROR(IF(A316="","",IF(G316&gt;F316,"Check out-of-order rooms",IF(K316&gt;H316,"On the books exceeds sellable rooms",IF(R316&gt;H316,"Forecast exceeds sellable rooms",IF(AND(A316&lt;TODAY(),AB316=""),"Actual results missing","OK"))))),"")</f>
        <v/>
      </c>
    </row>
    <row r="317">
      <c r="A317" s="24" t="n"/>
      <c r="B317" s="25">
        <f>IFERROR(IF(A317="","",VLOOKUP(MOD(A317,7),'Assumptions'!$E$16:$F$22,2,0)),"")</f>
        <v/>
      </c>
      <c r="C317" s="25">
        <f>IFERROR(IF(A317="","",IF(A317&lt;TODAY(),"Past",IF(A317=TODAY(),"Today","Future"))),"")</f>
        <v/>
      </c>
      <c r="D317" s="26" t="n"/>
      <c r="E317" s="26" t="n"/>
      <c r="F317" s="27" t="n"/>
      <c r="G317" s="27" t="n"/>
      <c r="H317" s="28">
        <f>IFERROR(IF(A317="","",MAX(0,F317-G317)),"")</f>
        <v/>
      </c>
      <c r="I317" s="27" t="n"/>
      <c r="J317" s="27" t="n"/>
      <c r="K317" s="28">
        <f>IFERROR(IF(A317="","",I317+J317),"")</f>
        <v/>
      </c>
      <c r="L317" s="29">
        <f>IFERROR(IF(A317="","",K317/H317),"")</f>
        <v/>
      </c>
      <c r="M317" s="29">
        <f>IFERROR(IF(A317="","",VLOOKUP(B317,'Assumptions'!$A$16:$B$22,2,0)),"")</f>
        <v/>
      </c>
      <c r="N317" s="27" t="n"/>
      <c r="O317" s="27" t="n"/>
      <c r="P317" s="27" t="n"/>
      <c r="Q317" s="28">
        <f>IFERROR(IF(A317="","",MIN(H317,MAX(0,K317,ROUND(H317*M317,0)+N317+O317))),"")</f>
        <v/>
      </c>
      <c r="R317" s="28">
        <f>IFERROR(IF(A317="","",MIN(H317,MAX(0,IF(P317="",Q317,P317)))),"")</f>
        <v/>
      </c>
      <c r="S317" s="28">
        <f>IFERROR(IF(A317="","",MAX(0,R317-K317)),"")</f>
        <v/>
      </c>
      <c r="T317" s="29">
        <f>IFERROR(IF(A317="","",R317/H317),"")</f>
        <v/>
      </c>
      <c r="U317" s="29">
        <f>IFERROR(IF(A317="","",'Assumptions'!$B$5),"")</f>
        <v/>
      </c>
      <c r="V317" s="29">
        <f>IFERROR(IF(A317="","",T317-U317),"")</f>
        <v/>
      </c>
      <c r="W317" s="50" t="n"/>
      <c r="X317" s="50" t="n"/>
      <c r="Y317" s="51">
        <f>IFERROR(IF(A317="","",IF(X317&lt;&gt;"",X317,IF(W317&lt;&gt;"",W317,'Assumptions'!$B$8))),"")</f>
        <v/>
      </c>
      <c r="Z317" s="51">
        <f>IFERROR(IF(A317="","",R317*Y317),"")</f>
        <v/>
      </c>
      <c r="AA317" s="51">
        <f>IFERROR(IF(A317="","",Z317/H317),"")</f>
        <v/>
      </c>
      <c r="AB317" s="32" t="n"/>
      <c r="AC317" s="52" t="n"/>
      <c r="AD317" s="29">
        <f>IFERROR(IF(OR(A317="",AB317=""),"",AB317/H317),"")</f>
        <v/>
      </c>
      <c r="AE317" s="51">
        <f>IFERROR(IF(OR(A317="",AB317="",AC317=""),"",AB317*AC317),"")</f>
        <v/>
      </c>
      <c r="AF317" s="28">
        <f>IFERROR(IF(OR(A317="",AB317=""),"",AB317-R317),"")</f>
        <v/>
      </c>
      <c r="AG317" s="29">
        <f>IFERROR(IF(OR(A317="",AB317=""),"",IF(AD317-T317&lt;0,T317-AD317,AD317-T317)),"")</f>
        <v/>
      </c>
      <c r="AH317" s="51">
        <f>IFERROR(IF(OR(A317="",AE317=""),"",AE317-Z317),"")</f>
        <v/>
      </c>
      <c r="AI317" s="25">
        <f>IFERROR(IF(A317="","",IF(G317&gt;F317,"Check out-of-order rooms",IF(K317&gt;H317,"On the books exceeds sellable rooms",IF(R317&gt;H317,"Forecast exceeds sellable rooms",IF(AND(A317&lt;TODAY(),AB317=""),"Actual results missing","OK"))))),"")</f>
        <v/>
      </c>
    </row>
    <row r="318">
      <c r="A318" s="24" t="n"/>
      <c r="B318" s="25">
        <f>IFERROR(IF(A318="","",VLOOKUP(MOD(A318,7),'Assumptions'!$E$16:$F$22,2,0)),"")</f>
        <v/>
      </c>
      <c r="C318" s="25">
        <f>IFERROR(IF(A318="","",IF(A318&lt;TODAY(),"Past",IF(A318=TODAY(),"Today","Future"))),"")</f>
        <v/>
      </c>
      <c r="D318" s="26" t="n"/>
      <c r="E318" s="26" t="n"/>
      <c r="F318" s="27" t="n"/>
      <c r="G318" s="27" t="n"/>
      <c r="H318" s="28">
        <f>IFERROR(IF(A318="","",MAX(0,F318-G318)),"")</f>
        <v/>
      </c>
      <c r="I318" s="27" t="n"/>
      <c r="J318" s="27" t="n"/>
      <c r="K318" s="28">
        <f>IFERROR(IF(A318="","",I318+J318),"")</f>
        <v/>
      </c>
      <c r="L318" s="29">
        <f>IFERROR(IF(A318="","",K318/H318),"")</f>
        <v/>
      </c>
      <c r="M318" s="29">
        <f>IFERROR(IF(A318="","",VLOOKUP(B318,'Assumptions'!$A$16:$B$22,2,0)),"")</f>
        <v/>
      </c>
      <c r="N318" s="27" t="n"/>
      <c r="O318" s="27" t="n"/>
      <c r="P318" s="27" t="n"/>
      <c r="Q318" s="28">
        <f>IFERROR(IF(A318="","",MIN(H318,MAX(0,K318,ROUND(H318*M318,0)+N318+O318))),"")</f>
        <v/>
      </c>
      <c r="R318" s="28">
        <f>IFERROR(IF(A318="","",MIN(H318,MAX(0,IF(P318="",Q318,P318)))),"")</f>
        <v/>
      </c>
      <c r="S318" s="28">
        <f>IFERROR(IF(A318="","",MAX(0,R318-K318)),"")</f>
        <v/>
      </c>
      <c r="T318" s="29">
        <f>IFERROR(IF(A318="","",R318/H318),"")</f>
        <v/>
      </c>
      <c r="U318" s="29">
        <f>IFERROR(IF(A318="","",'Assumptions'!$B$5),"")</f>
        <v/>
      </c>
      <c r="V318" s="29">
        <f>IFERROR(IF(A318="","",T318-U318),"")</f>
        <v/>
      </c>
      <c r="W318" s="50" t="n"/>
      <c r="X318" s="50" t="n"/>
      <c r="Y318" s="51">
        <f>IFERROR(IF(A318="","",IF(X318&lt;&gt;"",X318,IF(W318&lt;&gt;"",W318,'Assumptions'!$B$8))),"")</f>
        <v/>
      </c>
      <c r="Z318" s="51">
        <f>IFERROR(IF(A318="","",R318*Y318),"")</f>
        <v/>
      </c>
      <c r="AA318" s="51">
        <f>IFERROR(IF(A318="","",Z318/H318),"")</f>
        <v/>
      </c>
      <c r="AB318" s="32" t="n"/>
      <c r="AC318" s="52" t="n"/>
      <c r="AD318" s="29">
        <f>IFERROR(IF(OR(A318="",AB318=""),"",AB318/H318),"")</f>
        <v/>
      </c>
      <c r="AE318" s="51">
        <f>IFERROR(IF(OR(A318="",AB318="",AC318=""),"",AB318*AC318),"")</f>
        <v/>
      </c>
      <c r="AF318" s="28">
        <f>IFERROR(IF(OR(A318="",AB318=""),"",AB318-R318),"")</f>
        <v/>
      </c>
      <c r="AG318" s="29">
        <f>IFERROR(IF(OR(A318="",AB318=""),"",IF(AD318-T318&lt;0,T318-AD318,AD318-T318)),"")</f>
        <v/>
      </c>
      <c r="AH318" s="51">
        <f>IFERROR(IF(OR(A318="",AE318=""),"",AE318-Z318),"")</f>
        <v/>
      </c>
      <c r="AI318" s="25">
        <f>IFERROR(IF(A318="","",IF(G318&gt;F318,"Check out-of-order rooms",IF(K318&gt;H318,"On the books exceeds sellable rooms",IF(R318&gt;H318,"Forecast exceeds sellable rooms",IF(AND(A318&lt;TODAY(),AB318=""),"Actual results missing","OK"))))),"")</f>
        <v/>
      </c>
    </row>
    <row r="319">
      <c r="A319" s="24" t="n"/>
      <c r="B319" s="25">
        <f>IFERROR(IF(A319="","",VLOOKUP(MOD(A319,7),'Assumptions'!$E$16:$F$22,2,0)),"")</f>
        <v/>
      </c>
      <c r="C319" s="25">
        <f>IFERROR(IF(A319="","",IF(A319&lt;TODAY(),"Past",IF(A319=TODAY(),"Today","Future"))),"")</f>
        <v/>
      </c>
      <c r="D319" s="26" t="n"/>
      <c r="E319" s="26" t="n"/>
      <c r="F319" s="27" t="n"/>
      <c r="G319" s="27" t="n"/>
      <c r="H319" s="28">
        <f>IFERROR(IF(A319="","",MAX(0,F319-G319)),"")</f>
        <v/>
      </c>
      <c r="I319" s="27" t="n"/>
      <c r="J319" s="27" t="n"/>
      <c r="K319" s="28">
        <f>IFERROR(IF(A319="","",I319+J319),"")</f>
        <v/>
      </c>
      <c r="L319" s="29">
        <f>IFERROR(IF(A319="","",K319/H319),"")</f>
        <v/>
      </c>
      <c r="M319" s="29">
        <f>IFERROR(IF(A319="","",VLOOKUP(B319,'Assumptions'!$A$16:$B$22,2,0)),"")</f>
        <v/>
      </c>
      <c r="N319" s="27" t="n"/>
      <c r="O319" s="27" t="n"/>
      <c r="P319" s="27" t="n"/>
      <c r="Q319" s="28">
        <f>IFERROR(IF(A319="","",MIN(H319,MAX(0,K319,ROUND(H319*M319,0)+N319+O319))),"")</f>
        <v/>
      </c>
      <c r="R319" s="28">
        <f>IFERROR(IF(A319="","",MIN(H319,MAX(0,IF(P319="",Q319,P319)))),"")</f>
        <v/>
      </c>
      <c r="S319" s="28">
        <f>IFERROR(IF(A319="","",MAX(0,R319-K319)),"")</f>
        <v/>
      </c>
      <c r="T319" s="29">
        <f>IFERROR(IF(A319="","",R319/H319),"")</f>
        <v/>
      </c>
      <c r="U319" s="29">
        <f>IFERROR(IF(A319="","",'Assumptions'!$B$5),"")</f>
        <v/>
      </c>
      <c r="V319" s="29">
        <f>IFERROR(IF(A319="","",T319-U319),"")</f>
        <v/>
      </c>
      <c r="W319" s="50" t="n"/>
      <c r="X319" s="50" t="n"/>
      <c r="Y319" s="51">
        <f>IFERROR(IF(A319="","",IF(X319&lt;&gt;"",X319,IF(W319&lt;&gt;"",W319,'Assumptions'!$B$8))),"")</f>
        <v/>
      </c>
      <c r="Z319" s="51">
        <f>IFERROR(IF(A319="","",R319*Y319),"")</f>
        <v/>
      </c>
      <c r="AA319" s="51">
        <f>IFERROR(IF(A319="","",Z319/H319),"")</f>
        <v/>
      </c>
      <c r="AB319" s="32" t="n"/>
      <c r="AC319" s="52" t="n"/>
      <c r="AD319" s="29">
        <f>IFERROR(IF(OR(A319="",AB319=""),"",AB319/H319),"")</f>
        <v/>
      </c>
      <c r="AE319" s="51">
        <f>IFERROR(IF(OR(A319="",AB319="",AC319=""),"",AB319*AC319),"")</f>
        <v/>
      </c>
      <c r="AF319" s="28">
        <f>IFERROR(IF(OR(A319="",AB319=""),"",AB319-R319),"")</f>
        <v/>
      </c>
      <c r="AG319" s="29">
        <f>IFERROR(IF(OR(A319="",AB319=""),"",IF(AD319-T319&lt;0,T319-AD319,AD319-T319)),"")</f>
        <v/>
      </c>
      <c r="AH319" s="51">
        <f>IFERROR(IF(OR(A319="",AE319=""),"",AE319-Z319),"")</f>
        <v/>
      </c>
      <c r="AI319" s="25">
        <f>IFERROR(IF(A319="","",IF(G319&gt;F319,"Check out-of-order rooms",IF(K319&gt;H319,"On the books exceeds sellable rooms",IF(R319&gt;H319,"Forecast exceeds sellable rooms",IF(AND(A319&lt;TODAY(),AB319=""),"Actual results missing","OK"))))),"")</f>
        <v/>
      </c>
    </row>
    <row r="320">
      <c r="A320" s="24" t="n"/>
      <c r="B320" s="25">
        <f>IFERROR(IF(A320="","",VLOOKUP(MOD(A320,7),'Assumptions'!$E$16:$F$22,2,0)),"")</f>
        <v/>
      </c>
      <c r="C320" s="25">
        <f>IFERROR(IF(A320="","",IF(A320&lt;TODAY(),"Past",IF(A320=TODAY(),"Today","Future"))),"")</f>
        <v/>
      </c>
      <c r="D320" s="26" t="n"/>
      <c r="E320" s="26" t="n"/>
      <c r="F320" s="27" t="n"/>
      <c r="G320" s="27" t="n"/>
      <c r="H320" s="28">
        <f>IFERROR(IF(A320="","",MAX(0,F320-G320)),"")</f>
        <v/>
      </c>
      <c r="I320" s="27" t="n"/>
      <c r="J320" s="27" t="n"/>
      <c r="K320" s="28">
        <f>IFERROR(IF(A320="","",I320+J320),"")</f>
        <v/>
      </c>
      <c r="L320" s="29">
        <f>IFERROR(IF(A320="","",K320/H320),"")</f>
        <v/>
      </c>
      <c r="M320" s="29">
        <f>IFERROR(IF(A320="","",VLOOKUP(B320,'Assumptions'!$A$16:$B$22,2,0)),"")</f>
        <v/>
      </c>
      <c r="N320" s="27" t="n"/>
      <c r="O320" s="27" t="n"/>
      <c r="P320" s="27" t="n"/>
      <c r="Q320" s="28">
        <f>IFERROR(IF(A320="","",MIN(H320,MAX(0,K320,ROUND(H320*M320,0)+N320+O320))),"")</f>
        <v/>
      </c>
      <c r="R320" s="28">
        <f>IFERROR(IF(A320="","",MIN(H320,MAX(0,IF(P320="",Q320,P320)))),"")</f>
        <v/>
      </c>
      <c r="S320" s="28">
        <f>IFERROR(IF(A320="","",MAX(0,R320-K320)),"")</f>
        <v/>
      </c>
      <c r="T320" s="29">
        <f>IFERROR(IF(A320="","",R320/H320),"")</f>
        <v/>
      </c>
      <c r="U320" s="29">
        <f>IFERROR(IF(A320="","",'Assumptions'!$B$5),"")</f>
        <v/>
      </c>
      <c r="V320" s="29">
        <f>IFERROR(IF(A320="","",T320-U320),"")</f>
        <v/>
      </c>
      <c r="W320" s="50" t="n"/>
      <c r="X320" s="50" t="n"/>
      <c r="Y320" s="51">
        <f>IFERROR(IF(A320="","",IF(X320&lt;&gt;"",X320,IF(W320&lt;&gt;"",W320,'Assumptions'!$B$8))),"")</f>
        <v/>
      </c>
      <c r="Z320" s="51">
        <f>IFERROR(IF(A320="","",R320*Y320),"")</f>
        <v/>
      </c>
      <c r="AA320" s="51">
        <f>IFERROR(IF(A320="","",Z320/H320),"")</f>
        <v/>
      </c>
      <c r="AB320" s="32" t="n"/>
      <c r="AC320" s="52" t="n"/>
      <c r="AD320" s="29">
        <f>IFERROR(IF(OR(A320="",AB320=""),"",AB320/H320),"")</f>
        <v/>
      </c>
      <c r="AE320" s="51">
        <f>IFERROR(IF(OR(A320="",AB320="",AC320=""),"",AB320*AC320),"")</f>
        <v/>
      </c>
      <c r="AF320" s="28">
        <f>IFERROR(IF(OR(A320="",AB320=""),"",AB320-R320),"")</f>
        <v/>
      </c>
      <c r="AG320" s="29">
        <f>IFERROR(IF(OR(A320="",AB320=""),"",IF(AD320-T320&lt;0,T320-AD320,AD320-T320)),"")</f>
        <v/>
      </c>
      <c r="AH320" s="51">
        <f>IFERROR(IF(OR(A320="",AE320=""),"",AE320-Z320),"")</f>
        <v/>
      </c>
      <c r="AI320" s="25">
        <f>IFERROR(IF(A320="","",IF(G320&gt;F320,"Check out-of-order rooms",IF(K320&gt;H320,"On the books exceeds sellable rooms",IF(R320&gt;H320,"Forecast exceeds sellable rooms",IF(AND(A320&lt;TODAY(),AB320=""),"Actual results missing","OK"))))),"")</f>
        <v/>
      </c>
    </row>
    <row r="321">
      <c r="A321" s="24" t="n"/>
      <c r="B321" s="25">
        <f>IFERROR(IF(A321="","",VLOOKUP(MOD(A321,7),'Assumptions'!$E$16:$F$22,2,0)),"")</f>
        <v/>
      </c>
      <c r="C321" s="25">
        <f>IFERROR(IF(A321="","",IF(A321&lt;TODAY(),"Past",IF(A321=TODAY(),"Today","Future"))),"")</f>
        <v/>
      </c>
      <c r="D321" s="26" t="n"/>
      <c r="E321" s="26" t="n"/>
      <c r="F321" s="27" t="n"/>
      <c r="G321" s="27" t="n"/>
      <c r="H321" s="28">
        <f>IFERROR(IF(A321="","",MAX(0,F321-G321)),"")</f>
        <v/>
      </c>
      <c r="I321" s="27" t="n"/>
      <c r="J321" s="27" t="n"/>
      <c r="K321" s="28">
        <f>IFERROR(IF(A321="","",I321+J321),"")</f>
        <v/>
      </c>
      <c r="L321" s="29">
        <f>IFERROR(IF(A321="","",K321/H321),"")</f>
        <v/>
      </c>
      <c r="M321" s="29">
        <f>IFERROR(IF(A321="","",VLOOKUP(B321,'Assumptions'!$A$16:$B$22,2,0)),"")</f>
        <v/>
      </c>
      <c r="N321" s="27" t="n"/>
      <c r="O321" s="27" t="n"/>
      <c r="P321" s="27" t="n"/>
      <c r="Q321" s="28">
        <f>IFERROR(IF(A321="","",MIN(H321,MAX(0,K321,ROUND(H321*M321,0)+N321+O321))),"")</f>
        <v/>
      </c>
      <c r="R321" s="28">
        <f>IFERROR(IF(A321="","",MIN(H321,MAX(0,IF(P321="",Q321,P321)))),"")</f>
        <v/>
      </c>
      <c r="S321" s="28">
        <f>IFERROR(IF(A321="","",MAX(0,R321-K321)),"")</f>
        <v/>
      </c>
      <c r="T321" s="29">
        <f>IFERROR(IF(A321="","",R321/H321),"")</f>
        <v/>
      </c>
      <c r="U321" s="29">
        <f>IFERROR(IF(A321="","",'Assumptions'!$B$5),"")</f>
        <v/>
      </c>
      <c r="V321" s="29">
        <f>IFERROR(IF(A321="","",T321-U321),"")</f>
        <v/>
      </c>
      <c r="W321" s="50" t="n"/>
      <c r="X321" s="50" t="n"/>
      <c r="Y321" s="51">
        <f>IFERROR(IF(A321="","",IF(X321&lt;&gt;"",X321,IF(W321&lt;&gt;"",W321,'Assumptions'!$B$8))),"")</f>
        <v/>
      </c>
      <c r="Z321" s="51">
        <f>IFERROR(IF(A321="","",R321*Y321),"")</f>
        <v/>
      </c>
      <c r="AA321" s="51">
        <f>IFERROR(IF(A321="","",Z321/H321),"")</f>
        <v/>
      </c>
      <c r="AB321" s="32" t="n"/>
      <c r="AC321" s="52" t="n"/>
      <c r="AD321" s="29">
        <f>IFERROR(IF(OR(A321="",AB321=""),"",AB321/H321),"")</f>
        <v/>
      </c>
      <c r="AE321" s="51">
        <f>IFERROR(IF(OR(A321="",AB321="",AC321=""),"",AB321*AC321),"")</f>
        <v/>
      </c>
      <c r="AF321" s="28">
        <f>IFERROR(IF(OR(A321="",AB321=""),"",AB321-R321),"")</f>
        <v/>
      </c>
      <c r="AG321" s="29">
        <f>IFERROR(IF(OR(A321="",AB321=""),"",IF(AD321-T321&lt;0,T321-AD321,AD321-T321)),"")</f>
        <v/>
      </c>
      <c r="AH321" s="51">
        <f>IFERROR(IF(OR(A321="",AE321=""),"",AE321-Z321),"")</f>
        <v/>
      </c>
      <c r="AI321" s="25">
        <f>IFERROR(IF(A321="","",IF(G321&gt;F321,"Check out-of-order rooms",IF(K321&gt;H321,"On the books exceeds sellable rooms",IF(R321&gt;H321,"Forecast exceeds sellable rooms",IF(AND(A321&lt;TODAY(),AB321=""),"Actual results missing","OK"))))),"")</f>
        <v/>
      </c>
    </row>
    <row r="322">
      <c r="A322" s="24" t="n"/>
      <c r="B322" s="25">
        <f>IFERROR(IF(A322="","",VLOOKUP(MOD(A322,7),'Assumptions'!$E$16:$F$22,2,0)),"")</f>
        <v/>
      </c>
      <c r="C322" s="25">
        <f>IFERROR(IF(A322="","",IF(A322&lt;TODAY(),"Past",IF(A322=TODAY(),"Today","Future"))),"")</f>
        <v/>
      </c>
      <c r="D322" s="26" t="n"/>
      <c r="E322" s="26" t="n"/>
      <c r="F322" s="27" t="n"/>
      <c r="G322" s="27" t="n"/>
      <c r="H322" s="28">
        <f>IFERROR(IF(A322="","",MAX(0,F322-G322)),"")</f>
        <v/>
      </c>
      <c r="I322" s="27" t="n"/>
      <c r="J322" s="27" t="n"/>
      <c r="K322" s="28">
        <f>IFERROR(IF(A322="","",I322+J322),"")</f>
        <v/>
      </c>
      <c r="L322" s="29">
        <f>IFERROR(IF(A322="","",K322/H322),"")</f>
        <v/>
      </c>
      <c r="M322" s="29">
        <f>IFERROR(IF(A322="","",VLOOKUP(B322,'Assumptions'!$A$16:$B$22,2,0)),"")</f>
        <v/>
      </c>
      <c r="N322" s="27" t="n"/>
      <c r="O322" s="27" t="n"/>
      <c r="P322" s="27" t="n"/>
      <c r="Q322" s="28">
        <f>IFERROR(IF(A322="","",MIN(H322,MAX(0,K322,ROUND(H322*M322,0)+N322+O322))),"")</f>
        <v/>
      </c>
      <c r="R322" s="28">
        <f>IFERROR(IF(A322="","",MIN(H322,MAX(0,IF(P322="",Q322,P322)))),"")</f>
        <v/>
      </c>
      <c r="S322" s="28">
        <f>IFERROR(IF(A322="","",MAX(0,R322-K322)),"")</f>
        <v/>
      </c>
      <c r="T322" s="29">
        <f>IFERROR(IF(A322="","",R322/H322),"")</f>
        <v/>
      </c>
      <c r="U322" s="29">
        <f>IFERROR(IF(A322="","",'Assumptions'!$B$5),"")</f>
        <v/>
      </c>
      <c r="V322" s="29">
        <f>IFERROR(IF(A322="","",T322-U322),"")</f>
        <v/>
      </c>
      <c r="W322" s="50" t="n"/>
      <c r="X322" s="50" t="n"/>
      <c r="Y322" s="51">
        <f>IFERROR(IF(A322="","",IF(X322&lt;&gt;"",X322,IF(W322&lt;&gt;"",W322,'Assumptions'!$B$8))),"")</f>
        <v/>
      </c>
      <c r="Z322" s="51">
        <f>IFERROR(IF(A322="","",R322*Y322),"")</f>
        <v/>
      </c>
      <c r="AA322" s="51">
        <f>IFERROR(IF(A322="","",Z322/H322),"")</f>
        <v/>
      </c>
      <c r="AB322" s="32" t="n"/>
      <c r="AC322" s="52" t="n"/>
      <c r="AD322" s="29">
        <f>IFERROR(IF(OR(A322="",AB322=""),"",AB322/H322),"")</f>
        <v/>
      </c>
      <c r="AE322" s="51">
        <f>IFERROR(IF(OR(A322="",AB322="",AC322=""),"",AB322*AC322),"")</f>
        <v/>
      </c>
      <c r="AF322" s="28">
        <f>IFERROR(IF(OR(A322="",AB322=""),"",AB322-R322),"")</f>
        <v/>
      </c>
      <c r="AG322" s="29">
        <f>IFERROR(IF(OR(A322="",AB322=""),"",IF(AD322-T322&lt;0,T322-AD322,AD322-T322)),"")</f>
        <v/>
      </c>
      <c r="AH322" s="51">
        <f>IFERROR(IF(OR(A322="",AE322=""),"",AE322-Z322),"")</f>
        <v/>
      </c>
      <c r="AI322" s="25">
        <f>IFERROR(IF(A322="","",IF(G322&gt;F322,"Check out-of-order rooms",IF(K322&gt;H322,"On the books exceeds sellable rooms",IF(R322&gt;H322,"Forecast exceeds sellable rooms",IF(AND(A322&lt;TODAY(),AB322=""),"Actual results missing","OK"))))),"")</f>
        <v/>
      </c>
    </row>
    <row r="323">
      <c r="A323" s="24" t="n"/>
      <c r="B323" s="25">
        <f>IFERROR(IF(A323="","",VLOOKUP(MOD(A323,7),'Assumptions'!$E$16:$F$22,2,0)),"")</f>
        <v/>
      </c>
      <c r="C323" s="25">
        <f>IFERROR(IF(A323="","",IF(A323&lt;TODAY(),"Past",IF(A323=TODAY(),"Today","Future"))),"")</f>
        <v/>
      </c>
      <c r="D323" s="26" t="n"/>
      <c r="E323" s="26" t="n"/>
      <c r="F323" s="27" t="n"/>
      <c r="G323" s="27" t="n"/>
      <c r="H323" s="28">
        <f>IFERROR(IF(A323="","",MAX(0,F323-G323)),"")</f>
        <v/>
      </c>
      <c r="I323" s="27" t="n"/>
      <c r="J323" s="27" t="n"/>
      <c r="K323" s="28">
        <f>IFERROR(IF(A323="","",I323+J323),"")</f>
        <v/>
      </c>
      <c r="L323" s="29">
        <f>IFERROR(IF(A323="","",K323/H323),"")</f>
        <v/>
      </c>
      <c r="M323" s="29">
        <f>IFERROR(IF(A323="","",VLOOKUP(B323,'Assumptions'!$A$16:$B$22,2,0)),"")</f>
        <v/>
      </c>
      <c r="N323" s="27" t="n"/>
      <c r="O323" s="27" t="n"/>
      <c r="P323" s="27" t="n"/>
      <c r="Q323" s="28">
        <f>IFERROR(IF(A323="","",MIN(H323,MAX(0,K323,ROUND(H323*M323,0)+N323+O323))),"")</f>
        <v/>
      </c>
      <c r="R323" s="28">
        <f>IFERROR(IF(A323="","",MIN(H323,MAX(0,IF(P323="",Q323,P323)))),"")</f>
        <v/>
      </c>
      <c r="S323" s="28">
        <f>IFERROR(IF(A323="","",MAX(0,R323-K323)),"")</f>
        <v/>
      </c>
      <c r="T323" s="29">
        <f>IFERROR(IF(A323="","",R323/H323),"")</f>
        <v/>
      </c>
      <c r="U323" s="29">
        <f>IFERROR(IF(A323="","",'Assumptions'!$B$5),"")</f>
        <v/>
      </c>
      <c r="V323" s="29">
        <f>IFERROR(IF(A323="","",T323-U323),"")</f>
        <v/>
      </c>
      <c r="W323" s="50" t="n"/>
      <c r="X323" s="50" t="n"/>
      <c r="Y323" s="51">
        <f>IFERROR(IF(A323="","",IF(X323&lt;&gt;"",X323,IF(W323&lt;&gt;"",W323,'Assumptions'!$B$8))),"")</f>
        <v/>
      </c>
      <c r="Z323" s="51">
        <f>IFERROR(IF(A323="","",R323*Y323),"")</f>
        <v/>
      </c>
      <c r="AA323" s="51">
        <f>IFERROR(IF(A323="","",Z323/H323),"")</f>
        <v/>
      </c>
      <c r="AB323" s="32" t="n"/>
      <c r="AC323" s="52" t="n"/>
      <c r="AD323" s="29">
        <f>IFERROR(IF(OR(A323="",AB323=""),"",AB323/H323),"")</f>
        <v/>
      </c>
      <c r="AE323" s="51">
        <f>IFERROR(IF(OR(A323="",AB323="",AC323=""),"",AB323*AC323),"")</f>
        <v/>
      </c>
      <c r="AF323" s="28">
        <f>IFERROR(IF(OR(A323="",AB323=""),"",AB323-R323),"")</f>
        <v/>
      </c>
      <c r="AG323" s="29">
        <f>IFERROR(IF(OR(A323="",AB323=""),"",IF(AD323-T323&lt;0,T323-AD323,AD323-T323)),"")</f>
        <v/>
      </c>
      <c r="AH323" s="51">
        <f>IFERROR(IF(OR(A323="",AE323=""),"",AE323-Z323),"")</f>
        <v/>
      </c>
      <c r="AI323" s="25">
        <f>IFERROR(IF(A323="","",IF(G323&gt;F323,"Check out-of-order rooms",IF(K323&gt;H323,"On the books exceeds sellable rooms",IF(R323&gt;H323,"Forecast exceeds sellable rooms",IF(AND(A323&lt;TODAY(),AB323=""),"Actual results missing","OK"))))),"")</f>
        <v/>
      </c>
    </row>
    <row r="324">
      <c r="A324" s="24" t="n"/>
      <c r="B324" s="25">
        <f>IFERROR(IF(A324="","",VLOOKUP(MOD(A324,7),'Assumptions'!$E$16:$F$22,2,0)),"")</f>
        <v/>
      </c>
      <c r="C324" s="25">
        <f>IFERROR(IF(A324="","",IF(A324&lt;TODAY(),"Past",IF(A324=TODAY(),"Today","Future"))),"")</f>
        <v/>
      </c>
      <c r="D324" s="26" t="n"/>
      <c r="E324" s="26" t="n"/>
      <c r="F324" s="27" t="n"/>
      <c r="G324" s="27" t="n"/>
      <c r="H324" s="28">
        <f>IFERROR(IF(A324="","",MAX(0,F324-G324)),"")</f>
        <v/>
      </c>
      <c r="I324" s="27" t="n"/>
      <c r="J324" s="27" t="n"/>
      <c r="K324" s="28">
        <f>IFERROR(IF(A324="","",I324+J324),"")</f>
        <v/>
      </c>
      <c r="L324" s="29">
        <f>IFERROR(IF(A324="","",K324/H324),"")</f>
        <v/>
      </c>
      <c r="M324" s="29">
        <f>IFERROR(IF(A324="","",VLOOKUP(B324,'Assumptions'!$A$16:$B$22,2,0)),"")</f>
        <v/>
      </c>
      <c r="N324" s="27" t="n"/>
      <c r="O324" s="27" t="n"/>
      <c r="P324" s="27" t="n"/>
      <c r="Q324" s="28">
        <f>IFERROR(IF(A324="","",MIN(H324,MAX(0,K324,ROUND(H324*M324,0)+N324+O324))),"")</f>
        <v/>
      </c>
      <c r="R324" s="28">
        <f>IFERROR(IF(A324="","",MIN(H324,MAX(0,IF(P324="",Q324,P324)))),"")</f>
        <v/>
      </c>
      <c r="S324" s="28">
        <f>IFERROR(IF(A324="","",MAX(0,R324-K324)),"")</f>
        <v/>
      </c>
      <c r="T324" s="29">
        <f>IFERROR(IF(A324="","",R324/H324),"")</f>
        <v/>
      </c>
      <c r="U324" s="29">
        <f>IFERROR(IF(A324="","",'Assumptions'!$B$5),"")</f>
        <v/>
      </c>
      <c r="V324" s="29">
        <f>IFERROR(IF(A324="","",T324-U324),"")</f>
        <v/>
      </c>
      <c r="W324" s="50" t="n"/>
      <c r="X324" s="50" t="n"/>
      <c r="Y324" s="51">
        <f>IFERROR(IF(A324="","",IF(X324&lt;&gt;"",X324,IF(W324&lt;&gt;"",W324,'Assumptions'!$B$8))),"")</f>
        <v/>
      </c>
      <c r="Z324" s="51">
        <f>IFERROR(IF(A324="","",R324*Y324),"")</f>
        <v/>
      </c>
      <c r="AA324" s="51">
        <f>IFERROR(IF(A324="","",Z324/H324),"")</f>
        <v/>
      </c>
      <c r="AB324" s="32" t="n"/>
      <c r="AC324" s="52" t="n"/>
      <c r="AD324" s="29">
        <f>IFERROR(IF(OR(A324="",AB324=""),"",AB324/H324),"")</f>
        <v/>
      </c>
      <c r="AE324" s="51">
        <f>IFERROR(IF(OR(A324="",AB324="",AC324=""),"",AB324*AC324),"")</f>
        <v/>
      </c>
      <c r="AF324" s="28">
        <f>IFERROR(IF(OR(A324="",AB324=""),"",AB324-R324),"")</f>
        <v/>
      </c>
      <c r="AG324" s="29">
        <f>IFERROR(IF(OR(A324="",AB324=""),"",IF(AD324-T324&lt;0,T324-AD324,AD324-T324)),"")</f>
        <v/>
      </c>
      <c r="AH324" s="51">
        <f>IFERROR(IF(OR(A324="",AE324=""),"",AE324-Z324),"")</f>
        <v/>
      </c>
      <c r="AI324" s="25">
        <f>IFERROR(IF(A324="","",IF(G324&gt;F324,"Check out-of-order rooms",IF(K324&gt;H324,"On the books exceeds sellable rooms",IF(R324&gt;H324,"Forecast exceeds sellable rooms",IF(AND(A324&lt;TODAY(),AB324=""),"Actual results missing","OK"))))),"")</f>
        <v/>
      </c>
    </row>
    <row r="325">
      <c r="A325" s="24" t="n"/>
      <c r="B325" s="25">
        <f>IFERROR(IF(A325="","",VLOOKUP(MOD(A325,7),'Assumptions'!$E$16:$F$22,2,0)),"")</f>
        <v/>
      </c>
      <c r="C325" s="25">
        <f>IFERROR(IF(A325="","",IF(A325&lt;TODAY(),"Past",IF(A325=TODAY(),"Today","Future"))),"")</f>
        <v/>
      </c>
      <c r="D325" s="26" t="n"/>
      <c r="E325" s="26" t="n"/>
      <c r="F325" s="27" t="n"/>
      <c r="G325" s="27" t="n"/>
      <c r="H325" s="28">
        <f>IFERROR(IF(A325="","",MAX(0,F325-G325)),"")</f>
        <v/>
      </c>
      <c r="I325" s="27" t="n"/>
      <c r="J325" s="27" t="n"/>
      <c r="K325" s="28">
        <f>IFERROR(IF(A325="","",I325+J325),"")</f>
        <v/>
      </c>
      <c r="L325" s="29">
        <f>IFERROR(IF(A325="","",K325/H325),"")</f>
        <v/>
      </c>
      <c r="M325" s="29">
        <f>IFERROR(IF(A325="","",VLOOKUP(B325,'Assumptions'!$A$16:$B$22,2,0)),"")</f>
        <v/>
      </c>
      <c r="N325" s="27" t="n"/>
      <c r="O325" s="27" t="n"/>
      <c r="P325" s="27" t="n"/>
      <c r="Q325" s="28">
        <f>IFERROR(IF(A325="","",MIN(H325,MAX(0,K325,ROUND(H325*M325,0)+N325+O325))),"")</f>
        <v/>
      </c>
      <c r="R325" s="28">
        <f>IFERROR(IF(A325="","",MIN(H325,MAX(0,IF(P325="",Q325,P325)))),"")</f>
        <v/>
      </c>
      <c r="S325" s="28">
        <f>IFERROR(IF(A325="","",MAX(0,R325-K325)),"")</f>
        <v/>
      </c>
      <c r="T325" s="29">
        <f>IFERROR(IF(A325="","",R325/H325),"")</f>
        <v/>
      </c>
      <c r="U325" s="29">
        <f>IFERROR(IF(A325="","",'Assumptions'!$B$5),"")</f>
        <v/>
      </c>
      <c r="V325" s="29">
        <f>IFERROR(IF(A325="","",T325-U325),"")</f>
        <v/>
      </c>
      <c r="W325" s="50" t="n"/>
      <c r="X325" s="50" t="n"/>
      <c r="Y325" s="51">
        <f>IFERROR(IF(A325="","",IF(X325&lt;&gt;"",X325,IF(W325&lt;&gt;"",W325,'Assumptions'!$B$8))),"")</f>
        <v/>
      </c>
      <c r="Z325" s="51">
        <f>IFERROR(IF(A325="","",R325*Y325),"")</f>
        <v/>
      </c>
      <c r="AA325" s="51">
        <f>IFERROR(IF(A325="","",Z325/H325),"")</f>
        <v/>
      </c>
      <c r="AB325" s="32" t="n"/>
      <c r="AC325" s="52" t="n"/>
      <c r="AD325" s="29">
        <f>IFERROR(IF(OR(A325="",AB325=""),"",AB325/H325),"")</f>
        <v/>
      </c>
      <c r="AE325" s="51">
        <f>IFERROR(IF(OR(A325="",AB325="",AC325=""),"",AB325*AC325),"")</f>
        <v/>
      </c>
      <c r="AF325" s="28">
        <f>IFERROR(IF(OR(A325="",AB325=""),"",AB325-R325),"")</f>
        <v/>
      </c>
      <c r="AG325" s="29">
        <f>IFERROR(IF(OR(A325="",AB325=""),"",IF(AD325-T325&lt;0,T325-AD325,AD325-T325)),"")</f>
        <v/>
      </c>
      <c r="AH325" s="51">
        <f>IFERROR(IF(OR(A325="",AE325=""),"",AE325-Z325),"")</f>
        <v/>
      </c>
      <c r="AI325" s="25">
        <f>IFERROR(IF(A325="","",IF(G325&gt;F325,"Check out-of-order rooms",IF(K325&gt;H325,"On the books exceeds sellable rooms",IF(R325&gt;H325,"Forecast exceeds sellable rooms",IF(AND(A325&lt;TODAY(),AB325=""),"Actual results missing","OK"))))),"")</f>
        <v/>
      </c>
    </row>
    <row r="326">
      <c r="A326" s="24" t="n"/>
      <c r="B326" s="25">
        <f>IFERROR(IF(A326="","",VLOOKUP(MOD(A326,7),'Assumptions'!$E$16:$F$22,2,0)),"")</f>
        <v/>
      </c>
      <c r="C326" s="25">
        <f>IFERROR(IF(A326="","",IF(A326&lt;TODAY(),"Past",IF(A326=TODAY(),"Today","Future"))),"")</f>
        <v/>
      </c>
      <c r="D326" s="26" t="n"/>
      <c r="E326" s="26" t="n"/>
      <c r="F326" s="27" t="n"/>
      <c r="G326" s="27" t="n"/>
      <c r="H326" s="28">
        <f>IFERROR(IF(A326="","",MAX(0,F326-G326)),"")</f>
        <v/>
      </c>
      <c r="I326" s="27" t="n"/>
      <c r="J326" s="27" t="n"/>
      <c r="K326" s="28">
        <f>IFERROR(IF(A326="","",I326+J326),"")</f>
        <v/>
      </c>
      <c r="L326" s="29">
        <f>IFERROR(IF(A326="","",K326/H326),"")</f>
        <v/>
      </c>
      <c r="M326" s="29">
        <f>IFERROR(IF(A326="","",VLOOKUP(B326,'Assumptions'!$A$16:$B$22,2,0)),"")</f>
        <v/>
      </c>
      <c r="N326" s="27" t="n"/>
      <c r="O326" s="27" t="n"/>
      <c r="P326" s="27" t="n"/>
      <c r="Q326" s="28">
        <f>IFERROR(IF(A326="","",MIN(H326,MAX(0,K326,ROUND(H326*M326,0)+N326+O326))),"")</f>
        <v/>
      </c>
      <c r="R326" s="28">
        <f>IFERROR(IF(A326="","",MIN(H326,MAX(0,IF(P326="",Q326,P326)))),"")</f>
        <v/>
      </c>
      <c r="S326" s="28">
        <f>IFERROR(IF(A326="","",MAX(0,R326-K326)),"")</f>
        <v/>
      </c>
      <c r="T326" s="29">
        <f>IFERROR(IF(A326="","",R326/H326),"")</f>
        <v/>
      </c>
      <c r="U326" s="29">
        <f>IFERROR(IF(A326="","",'Assumptions'!$B$5),"")</f>
        <v/>
      </c>
      <c r="V326" s="29">
        <f>IFERROR(IF(A326="","",T326-U326),"")</f>
        <v/>
      </c>
      <c r="W326" s="50" t="n"/>
      <c r="X326" s="50" t="n"/>
      <c r="Y326" s="51">
        <f>IFERROR(IF(A326="","",IF(X326&lt;&gt;"",X326,IF(W326&lt;&gt;"",W326,'Assumptions'!$B$8))),"")</f>
        <v/>
      </c>
      <c r="Z326" s="51">
        <f>IFERROR(IF(A326="","",R326*Y326),"")</f>
        <v/>
      </c>
      <c r="AA326" s="51">
        <f>IFERROR(IF(A326="","",Z326/H326),"")</f>
        <v/>
      </c>
      <c r="AB326" s="32" t="n"/>
      <c r="AC326" s="52" t="n"/>
      <c r="AD326" s="29">
        <f>IFERROR(IF(OR(A326="",AB326=""),"",AB326/H326),"")</f>
        <v/>
      </c>
      <c r="AE326" s="51">
        <f>IFERROR(IF(OR(A326="",AB326="",AC326=""),"",AB326*AC326),"")</f>
        <v/>
      </c>
      <c r="AF326" s="28">
        <f>IFERROR(IF(OR(A326="",AB326=""),"",AB326-R326),"")</f>
        <v/>
      </c>
      <c r="AG326" s="29">
        <f>IFERROR(IF(OR(A326="",AB326=""),"",IF(AD326-T326&lt;0,T326-AD326,AD326-T326)),"")</f>
        <v/>
      </c>
      <c r="AH326" s="51">
        <f>IFERROR(IF(OR(A326="",AE326=""),"",AE326-Z326),"")</f>
        <v/>
      </c>
      <c r="AI326" s="25">
        <f>IFERROR(IF(A326="","",IF(G326&gt;F326,"Check out-of-order rooms",IF(K326&gt;H326,"On the books exceeds sellable rooms",IF(R326&gt;H326,"Forecast exceeds sellable rooms",IF(AND(A326&lt;TODAY(),AB326=""),"Actual results missing","OK"))))),"")</f>
        <v/>
      </c>
    </row>
    <row r="327">
      <c r="A327" s="24" t="n"/>
      <c r="B327" s="25">
        <f>IFERROR(IF(A327="","",VLOOKUP(MOD(A327,7),'Assumptions'!$E$16:$F$22,2,0)),"")</f>
        <v/>
      </c>
      <c r="C327" s="25">
        <f>IFERROR(IF(A327="","",IF(A327&lt;TODAY(),"Past",IF(A327=TODAY(),"Today","Future"))),"")</f>
        <v/>
      </c>
      <c r="D327" s="26" t="n"/>
      <c r="E327" s="26" t="n"/>
      <c r="F327" s="27" t="n"/>
      <c r="G327" s="27" t="n"/>
      <c r="H327" s="28">
        <f>IFERROR(IF(A327="","",MAX(0,F327-G327)),"")</f>
        <v/>
      </c>
      <c r="I327" s="27" t="n"/>
      <c r="J327" s="27" t="n"/>
      <c r="K327" s="28">
        <f>IFERROR(IF(A327="","",I327+J327),"")</f>
        <v/>
      </c>
      <c r="L327" s="29">
        <f>IFERROR(IF(A327="","",K327/H327),"")</f>
        <v/>
      </c>
      <c r="M327" s="29">
        <f>IFERROR(IF(A327="","",VLOOKUP(B327,'Assumptions'!$A$16:$B$22,2,0)),"")</f>
        <v/>
      </c>
      <c r="N327" s="27" t="n"/>
      <c r="O327" s="27" t="n"/>
      <c r="P327" s="27" t="n"/>
      <c r="Q327" s="28">
        <f>IFERROR(IF(A327="","",MIN(H327,MAX(0,K327,ROUND(H327*M327,0)+N327+O327))),"")</f>
        <v/>
      </c>
      <c r="R327" s="28">
        <f>IFERROR(IF(A327="","",MIN(H327,MAX(0,IF(P327="",Q327,P327)))),"")</f>
        <v/>
      </c>
      <c r="S327" s="28">
        <f>IFERROR(IF(A327="","",MAX(0,R327-K327)),"")</f>
        <v/>
      </c>
      <c r="T327" s="29">
        <f>IFERROR(IF(A327="","",R327/H327),"")</f>
        <v/>
      </c>
      <c r="U327" s="29">
        <f>IFERROR(IF(A327="","",'Assumptions'!$B$5),"")</f>
        <v/>
      </c>
      <c r="V327" s="29">
        <f>IFERROR(IF(A327="","",T327-U327),"")</f>
        <v/>
      </c>
      <c r="W327" s="50" t="n"/>
      <c r="X327" s="50" t="n"/>
      <c r="Y327" s="51">
        <f>IFERROR(IF(A327="","",IF(X327&lt;&gt;"",X327,IF(W327&lt;&gt;"",W327,'Assumptions'!$B$8))),"")</f>
        <v/>
      </c>
      <c r="Z327" s="51">
        <f>IFERROR(IF(A327="","",R327*Y327),"")</f>
        <v/>
      </c>
      <c r="AA327" s="51">
        <f>IFERROR(IF(A327="","",Z327/H327),"")</f>
        <v/>
      </c>
      <c r="AB327" s="32" t="n"/>
      <c r="AC327" s="52" t="n"/>
      <c r="AD327" s="29">
        <f>IFERROR(IF(OR(A327="",AB327=""),"",AB327/H327),"")</f>
        <v/>
      </c>
      <c r="AE327" s="51">
        <f>IFERROR(IF(OR(A327="",AB327="",AC327=""),"",AB327*AC327),"")</f>
        <v/>
      </c>
      <c r="AF327" s="28">
        <f>IFERROR(IF(OR(A327="",AB327=""),"",AB327-R327),"")</f>
        <v/>
      </c>
      <c r="AG327" s="29">
        <f>IFERROR(IF(OR(A327="",AB327=""),"",IF(AD327-T327&lt;0,T327-AD327,AD327-T327)),"")</f>
        <v/>
      </c>
      <c r="AH327" s="51">
        <f>IFERROR(IF(OR(A327="",AE327=""),"",AE327-Z327),"")</f>
        <v/>
      </c>
      <c r="AI327" s="25">
        <f>IFERROR(IF(A327="","",IF(G327&gt;F327,"Check out-of-order rooms",IF(K327&gt;H327,"On the books exceeds sellable rooms",IF(R327&gt;H327,"Forecast exceeds sellable rooms",IF(AND(A327&lt;TODAY(),AB327=""),"Actual results missing","OK"))))),"")</f>
        <v/>
      </c>
    </row>
    <row r="328">
      <c r="A328" s="24" t="n"/>
      <c r="B328" s="25">
        <f>IFERROR(IF(A328="","",VLOOKUP(MOD(A328,7),'Assumptions'!$E$16:$F$22,2,0)),"")</f>
        <v/>
      </c>
      <c r="C328" s="25">
        <f>IFERROR(IF(A328="","",IF(A328&lt;TODAY(),"Past",IF(A328=TODAY(),"Today","Future"))),"")</f>
        <v/>
      </c>
      <c r="D328" s="26" t="n"/>
      <c r="E328" s="26" t="n"/>
      <c r="F328" s="27" t="n"/>
      <c r="G328" s="27" t="n"/>
      <c r="H328" s="28">
        <f>IFERROR(IF(A328="","",MAX(0,F328-G328)),"")</f>
        <v/>
      </c>
      <c r="I328" s="27" t="n"/>
      <c r="J328" s="27" t="n"/>
      <c r="K328" s="28">
        <f>IFERROR(IF(A328="","",I328+J328),"")</f>
        <v/>
      </c>
      <c r="L328" s="29">
        <f>IFERROR(IF(A328="","",K328/H328),"")</f>
        <v/>
      </c>
      <c r="M328" s="29">
        <f>IFERROR(IF(A328="","",VLOOKUP(B328,'Assumptions'!$A$16:$B$22,2,0)),"")</f>
        <v/>
      </c>
      <c r="N328" s="27" t="n"/>
      <c r="O328" s="27" t="n"/>
      <c r="P328" s="27" t="n"/>
      <c r="Q328" s="28">
        <f>IFERROR(IF(A328="","",MIN(H328,MAX(0,K328,ROUND(H328*M328,0)+N328+O328))),"")</f>
        <v/>
      </c>
      <c r="R328" s="28">
        <f>IFERROR(IF(A328="","",MIN(H328,MAX(0,IF(P328="",Q328,P328)))),"")</f>
        <v/>
      </c>
      <c r="S328" s="28">
        <f>IFERROR(IF(A328="","",MAX(0,R328-K328)),"")</f>
        <v/>
      </c>
      <c r="T328" s="29">
        <f>IFERROR(IF(A328="","",R328/H328),"")</f>
        <v/>
      </c>
      <c r="U328" s="29">
        <f>IFERROR(IF(A328="","",'Assumptions'!$B$5),"")</f>
        <v/>
      </c>
      <c r="V328" s="29">
        <f>IFERROR(IF(A328="","",T328-U328),"")</f>
        <v/>
      </c>
      <c r="W328" s="50" t="n"/>
      <c r="X328" s="50" t="n"/>
      <c r="Y328" s="51">
        <f>IFERROR(IF(A328="","",IF(X328&lt;&gt;"",X328,IF(W328&lt;&gt;"",W328,'Assumptions'!$B$8))),"")</f>
        <v/>
      </c>
      <c r="Z328" s="51">
        <f>IFERROR(IF(A328="","",R328*Y328),"")</f>
        <v/>
      </c>
      <c r="AA328" s="51">
        <f>IFERROR(IF(A328="","",Z328/H328),"")</f>
        <v/>
      </c>
      <c r="AB328" s="32" t="n"/>
      <c r="AC328" s="52" t="n"/>
      <c r="AD328" s="29">
        <f>IFERROR(IF(OR(A328="",AB328=""),"",AB328/H328),"")</f>
        <v/>
      </c>
      <c r="AE328" s="51">
        <f>IFERROR(IF(OR(A328="",AB328="",AC328=""),"",AB328*AC328),"")</f>
        <v/>
      </c>
      <c r="AF328" s="28">
        <f>IFERROR(IF(OR(A328="",AB328=""),"",AB328-R328),"")</f>
        <v/>
      </c>
      <c r="AG328" s="29">
        <f>IFERROR(IF(OR(A328="",AB328=""),"",IF(AD328-T328&lt;0,T328-AD328,AD328-T328)),"")</f>
        <v/>
      </c>
      <c r="AH328" s="51">
        <f>IFERROR(IF(OR(A328="",AE328=""),"",AE328-Z328),"")</f>
        <v/>
      </c>
      <c r="AI328" s="25">
        <f>IFERROR(IF(A328="","",IF(G328&gt;F328,"Check out-of-order rooms",IF(K328&gt;H328,"On the books exceeds sellable rooms",IF(R328&gt;H328,"Forecast exceeds sellable rooms",IF(AND(A328&lt;TODAY(),AB328=""),"Actual results missing","OK"))))),"")</f>
        <v/>
      </c>
    </row>
    <row r="329">
      <c r="A329" s="24" t="n"/>
      <c r="B329" s="25">
        <f>IFERROR(IF(A329="","",VLOOKUP(MOD(A329,7),'Assumptions'!$E$16:$F$22,2,0)),"")</f>
        <v/>
      </c>
      <c r="C329" s="25">
        <f>IFERROR(IF(A329="","",IF(A329&lt;TODAY(),"Past",IF(A329=TODAY(),"Today","Future"))),"")</f>
        <v/>
      </c>
      <c r="D329" s="26" t="n"/>
      <c r="E329" s="26" t="n"/>
      <c r="F329" s="27" t="n"/>
      <c r="G329" s="27" t="n"/>
      <c r="H329" s="28">
        <f>IFERROR(IF(A329="","",MAX(0,F329-G329)),"")</f>
        <v/>
      </c>
      <c r="I329" s="27" t="n"/>
      <c r="J329" s="27" t="n"/>
      <c r="K329" s="28">
        <f>IFERROR(IF(A329="","",I329+J329),"")</f>
        <v/>
      </c>
      <c r="L329" s="29">
        <f>IFERROR(IF(A329="","",K329/H329),"")</f>
        <v/>
      </c>
      <c r="M329" s="29">
        <f>IFERROR(IF(A329="","",VLOOKUP(B329,'Assumptions'!$A$16:$B$22,2,0)),"")</f>
        <v/>
      </c>
      <c r="N329" s="27" t="n"/>
      <c r="O329" s="27" t="n"/>
      <c r="P329" s="27" t="n"/>
      <c r="Q329" s="28">
        <f>IFERROR(IF(A329="","",MIN(H329,MAX(0,K329,ROUND(H329*M329,0)+N329+O329))),"")</f>
        <v/>
      </c>
      <c r="R329" s="28">
        <f>IFERROR(IF(A329="","",MIN(H329,MAX(0,IF(P329="",Q329,P329)))),"")</f>
        <v/>
      </c>
      <c r="S329" s="28">
        <f>IFERROR(IF(A329="","",MAX(0,R329-K329)),"")</f>
        <v/>
      </c>
      <c r="T329" s="29">
        <f>IFERROR(IF(A329="","",R329/H329),"")</f>
        <v/>
      </c>
      <c r="U329" s="29">
        <f>IFERROR(IF(A329="","",'Assumptions'!$B$5),"")</f>
        <v/>
      </c>
      <c r="V329" s="29">
        <f>IFERROR(IF(A329="","",T329-U329),"")</f>
        <v/>
      </c>
      <c r="W329" s="50" t="n"/>
      <c r="X329" s="50" t="n"/>
      <c r="Y329" s="51">
        <f>IFERROR(IF(A329="","",IF(X329&lt;&gt;"",X329,IF(W329&lt;&gt;"",W329,'Assumptions'!$B$8))),"")</f>
        <v/>
      </c>
      <c r="Z329" s="51">
        <f>IFERROR(IF(A329="","",R329*Y329),"")</f>
        <v/>
      </c>
      <c r="AA329" s="51">
        <f>IFERROR(IF(A329="","",Z329/H329),"")</f>
        <v/>
      </c>
      <c r="AB329" s="32" t="n"/>
      <c r="AC329" s="52" t="n"/>
      <c r="AD329" s="29">
        <f>IFERROR(IF(OR(A329="",AB329=""),"",AB329/H329),"")</f>
        <v/>
      </c>
      <c r="AE329" s="51">
        <f>IFERROR(IF(OR(A329="",AB329="",AC329=""),"",AB329*AC329),"")</f>
        <v/>
      </c>
      <c r="AF329" s="28">
        <f>IFERROR(IF(OR(A329="",AB329=""),"",AB329-R329),"")</f>
        <v/>
      </c>
      <c r="AG329" s="29">
        <f>IFERROR(IF(OR(A329="",AB329=""),"",IF(AD329-T329&lt;0,T329-AD329,AD329-T329)),"")</f>
        <v/>
      </c>
      <c r="AH329" s="51">
        <f>IFERROR(IF(OR(A329="",AE329=""),"",AE329-Z329),"")</f>
        <v/>
      </c>
      <c r="AI329" s="25">
        <f>IFERROR(IF(A329="","",IF(G329&gt;F329,"Check out-of-order rooms",IF(K329&gt;H329,"On the books exceeds sellable rooms",IF(R329&gt;H329,"Forecast exceeds sellable rooms",IF(AND(A329&lt;TODAY(),AB329=""),"Actual results missing","OK"))))),"")</f>
        <v/>
      </c>
    </row>
    <row r="330">
      <c r="A330" s="24" t="n"/>
      <c r="B330" s="25">
        <f>IFERROR(IF(A330="","",VLOOKUP(MOD(A330,7),'Assumptions'!$E$16:$F$22,2,0)),"")</f>
        <v/>
      </c>
      <c r="C330" s="25">
        <f>IFERROR(IF(A330="","",IF(A330&lt;TODAY(),"Past",IF(A330=TODAY(),"Today","Future"))),"")</f>
        <v/>
      </c>
      <c r="D330" s="26" t="n"/>
      <c r="E330" s="26" t="n"/>
      <c r="F330" s="27" t="n"/>
      <c r="G330" s="27" t="n"/>
      <c r="H330" s="28">
        <f>IFERROR(IF(A330="","",MAX(0,F330-G330)),"")</f>
        <v/>
      </c>
      <c r="I330" s="27" t="n"/>
      <c r="J330" s="27" t="n"/>
      <c r="K330" s="28">
        <f>IFERROR(IF(A330="","",I330+J330),"")</f>
        <v/>
      </c>
      <c r="L330" s="29">
        <f>IFERROR(IF(A330="","",K330/H330),"")</f>
        <v/>
      </c>
      <c r="M330" s="29">
        <f>IFERROR(IF(A330="","",VLOOKUP(B330,'Assumptions'!$A$16:$B$22,2,0)),"")</f>
        <v/>
      </c>
      <c r="N330" s="27" t="n"/>
      <c r="O330" s="27" t="n"/>
      <c r="P330" s="27" t="n"/>
      <c r="Q330" s="28">
        <f>IFERROR(IF(A330="","",MIN(H330,MAX(0,K330,ROUND(H330*M330,0)+N330+O330))),"")</f>
        <v/>
      </c>
      <c r="R330" s="28">
        <f>IFERROR(IF(A330="","",MIN(H330,MAX(0,IF(P330="",Q330,P330)))),"")</f>
        <v/>
      </c>
      <c r="S330" s="28">
        <f>IFERROR(IF(A330="","",MAX(0,R330-K330)),"")</f>
        <v/>
      </c>
      <c r="T330" s="29">
        <f>IFERROR(IF(A330="","",R330/H330),"")</f>
        <v/>
      </c>
      <c r="U330" s="29">
        <f>IFERROR(IF(A330="","",'Assumptions'!$B$5),"")</f>
        <v/>
      </c>
      <c r="V330" s="29">
        <f>IFERROR(IF(A330="","",T330-U330),"")</f>
        <v/>
      </c>
      <c r="W330" s="50" t="n"/>
      <c r="X330" s="50" t="n"/>
      <c r="Y330" s="51">
        <f>IFERROR(IF(A330="","",IF(X330&lt;&gt;"",X330,IF(W330&lt;&gt;"",W330,'Assumptions'!$B$8))),"")</f>
        <v/>
      </c>
      <c r="Z330" s="51">
        <f>IFERROR(IF(A330="","",R330*Y330),"")</f>
        <v/>
      </c>
      <c r="AA330" s="51">
        <f>IFERROR(IF(A330="","",Z330/H330),"")</f>
        <v/>
      </c>
      <c r="AB330" s="32" t="n"/>
      <c r="AC330" s="52" t="n"/>
      <c r="AD330" s="29">
        <f>IFERROR(IF(OR(A330="",AB330=""),"",AB330/H330),"")</f>
        <v/>
      </c>
      <c r="AE330" s="51">
        <f>IFERROR(IF(OR(A330="",AB330="",AC330=""),"",AB330*AC330),"")</f>
        <v/>
      </c>
      <c r="AF330" s="28">
        <f>IFERROR(IF(OR(A330="",AB330=""),"",AB330-R330),"")</f>
        <v/>
      </c>
      <c r="AG330" s="29">
        <f>IFERROR(IF(OR(A330="",AB330=""),"",IF(AD330-T330&lt;0,T330-AD330,AD330-T330)),"")</f>
        <v/>
      </c>
      <c r="AH330" s="51">
        <f>IFERROR(IF(OR(A330="",AE330=""),"",AE330-Z330),"")</f>
        <v/>
      </c>
      <c r="AI330" s="25">
        <f>IFERROR(IF(A330="","",IF(G330&gt;F330,"Check out-of-order rooms",IF(K330&gt;H330,"On the books exceeds sellable rooms",IF(R330&gt;H330,"Forecast exceeds sellable rooms",IF(AND(A330&lt;TODAY(),AB330=""),"Actual results missing","OK"))))),"")</f>
        <v/>
      </c>
    </row>
    <row r="331">
      <c r="A331" s="24" t="n"/>
      <c r="B331" s="25">
        <f>IFERROR(IF(A331="","",VLOOKUP(MOD(A331,7),'Assumptions'!$E$16:$F$22,2,0)),"")</f>
        <v/>
      </c>
      <c r="C331" s="25">
        <f>IFERROR(IF(A331="","",IF(A331&lt;TODAY(),"Past",IF(A331=TODAY(),"Today","Future"))),"")</f>
        <v/>
      </c>
      <c r="D331" s="26" t="n"/>
      <c r="E331" s="26" t="n"/>
      <c r="F331" s="27" t="n"/>
      <c r="G331" s="27" t="n"/>
      <c r="H331" s="28">
        <f>IFERROR(IF(A331="","",MAX(0,F331-G331)),"")</f>
        <v/>
      </c>
      <c r="I331" s="27" t="n"/>
      <c r="J331" s="27" t="n"/>
      <c r="K331" s="28">
        <f>IFERROR(IF(A331="","",I331+J331),"")</f>
        <v/>
      </c>
      <c r="L331" s="29">
        <f>IFERROR(IF(A331="","",K331/H331),"")</f>
        <v/>
      </c>
      <c r="M331" s="29">
        <f>IFERROR(IF(A331="","",VLOOKUP(B331,'Assumptions'!$A$16:$B$22,2,0)),"")</f>
        <v/>
      </c>
      <c r="N331" s="27" t="n"/>
      <c r="O331" s="27" t="n"/>
      <c r="P331" s="27" t="n"/>
      <c r="Q331" s="28">
        <f>IFERROR(IF(A331="","",MIN(H331,MAX(0,K331,ROUND(H331*M331,0)+N331+O331))),"")</f>
        <v/>
      </c>
      <c r="R331" s="28">
        <f>IFERROR(IF(A331="","",MIN(H331,MAX(0,IF(P331="",Q331,P331)))),"")</f>
        <v/>
      </c>
      <c r="S331" s="28">
        <f>IFERROR(IF(A331="","",MAX(0,R331-K331)),"")</f>
        <v/>
      </c>
      <c r="T331" s="29">
        <f>IFERROR(IF(A331="","",R331/H331),"")</f>
        <v/>
      </c>
      <c r="U331" s="29">
        <f>IFERROR(IF(A331="","",'Assumptions'!$B$5),"")</f>
        <v/>
      </c>
      <c r="V331" s="29">
        <f>IFERROR(IF(A331="","",T331-U331),"")</f>
        <v/>
      </c>
      <c r="W331" s="50" t="n"/>
      <c r="X331" s="50" t="n"/>
      <c r="Y331" s="51">
        <f>IFERROR(IF(A331="","",IF(X331&lt;&gt;"",X331,IF(W331&lt;&gt;"",W331,'Assumptions'!$B$8))),"")</f>
        <v/>
      </c>
      <c r="Z331" s="51">
        <f>IFERROR(IF(A331="","",R331*Y331),"")</f>
        <v/>
      </c>
      <c r="AA331" s="51">
        <f>IFERROR(IF(A331="","",Z331/H331),"")</f>
        <v/>
      </c>
      <c r="AB331" s="32" t="n"/>
      <c r="AC331" s="52" t="n"/>
      <c r="AD331" s="29">
        <f>IFERROR(IF(OR(A331="",AB331=""),"",AB331/H331),"")</f>
        <v/>
      </c>
      <c r="AE331" s="51">
        <f>IFERROR(IF(OR(A331="",AB331="",AC331=""),"",AB331*AC331),"")</f>
        <v/>
      </c>
      <c r="AF331" s="28">
        <f>IFERROR(IF(OR(A331="",AB331=""),"",AB331-R331),"")</f>
        <v/>
      </c>
      <c r="AG331" s="29">
        <f>IFERROR(IF(OR(A331="",AB331=""),"",IF(AD331-T331&lt;0,T331-AD331,AD331-T331)),"")</f>
        <v/>
      </c>
      <c r="AH331" s="51">
        <f>IFERROR(IF(OR(A331="",AE331=""),"",AE331-Z331),"")</f>
        <v/>
      </c>
      <c r="AI331" s="25">
        <f>IFERROR(IF(A331="","",IF(G331&gt;F331,"Check out-of-order rooms",IF(K331&gt;H331,"On the books exceeds sellable rooms",IF(R331&gt;H331,"Forecast exceeds sellable rooms",IF(AND(A331&lt;TODAY(),AB331=""),"Actual results missing","OK"))))),"")</f>
        <v/>
      </c>
    </row>
    <row r="332">
      <c r="A332" s="24" t="n"/>
      <c r="B332" s="25">
        <f>IFERROR(IF(A332="","",VLOOKUP(MOD(A332,7),'Assumptions'!$E$16:$F$22,2,0)),"")</f>
        <v/>
      </c>
      <c r="C332" s="25">
        <f>IFERROR(IF(A332="","",IF(A332&lt;TODAY(),"Past",IF(A332=TODAY(),"Today","Future"))),"")</f>
        <v/>
      </c>
      <c r="D332" s="26" t="n"/>
      <c r="E332" s="26" t="n"/>
      <c r="F332" s="27" t="n"/>
      <c r="G332" s="27" t="n"/>
      <c r="H332" s="28">
        <f>IFERROR(IF(A332="","",MAX(0,F332-G332)),"")</f>
        <v/>
      </c>
      <c r="I332" s="27" t="n"/>
      <c r="J332" s="27" t="n"/>
      <c r="K332" s="28">
        <f>IFERROR(IF(A332="","",I332+J332),"")</f>
        <v/>
      </c>
      <c r="L332" s="29">
        <f>IFERROR(IF(A332="","",K332/H332),"")</f>
        <v/>
      </c>
      <c r="M332" s="29">
        <f>IFERROR(IF(A332="","",VLOOKUP(B332,'Assumptions'!$A$16:$B$22,2,0)),"")</f>
        <v/>
      </c>
      <c r="N332" s="27" t="n"/>
      <c r="O332" s="27" t="n"/>
      <c r="P332" s="27" t="n"/>
      <c r="Q332" s="28">
        <f>IFERROR(IF(A332="","",MIN(H332,MAX(0,K332,ROUND(H332*M332,0)+N332+O332))),"")</f>
        <v/>
      </c>
      <c r="R332" s="28">
        <f>IFERROR(IF(A332="","",MIN(H332,MAX(0,IF(P332="",Q332,P332)))),"")</f>
        <v/>
      </c>
      <c r="S332" s="28">
        <f>IFERROR(IF(A332="","",MAX(0,R332-K332)),"")</f>
        <v/>
      </c>
      <c r="T332" s="29">
        <f>IFERROR(IF(A332="","",R332/H332),"")</f>
        <v/>
      </c>
      <c r="U332" s="29">
        <f>IFERROR(IF(A332="","",'Assumptions'!$B$5),"")</f>
        <v/>
      </c>
      <c r="V332" s="29">
        <f>IFERROR(IF(A332="","",T332-U332),"")</f>
        <v/>
      </c>
      <c r="W332" s="50" t="n"/>
      <c r="X332" s="50" t="n"/>
      <c r="Y332" s="51">
        <f>IFERROR(IF(A332="","",IF(X332&lt;&gt;"",X332,IF(W332&lt;&gt;"",W332,'Assumptions'!$B$8))),"")</f>
        <v/>
      </c>
      <c r="Z332" s="51">
        <f>IFERROR(IF(A332="","",R332*Y332),"")</f>
        <v/>
      </c>
      <c r="AA332" s="51">
        <f>IFERROR(IF(A332="","",Z332/H332),"")</f>
        <v/>
      </c>
      <c r="AB332" s="32" t="n"/>
      <c r="AC332" s="52" t="n"/>
      <c r="AD332" s="29">
        <f>IFERROR(IF(OR(A332="",AB332=""),"",AB332/H332),"")</f>
        <v/>
      </c>
      <c r="AE332" s="51">
        <f>IFERROR(IF(OR(A332="",AB332="",AC332=""),"",AB332*AC332),"")</f>
        <v/>
      </c>
      <c r="AF332" s="28">
        <f>IFERROR(IF(OR(A332="",AB332=""),"",AB332-R332),"")</f>
        <v/>
      </c>
      <c r="AG332" s="29">
        <f>IFERROR(IF(OR(A332="",AB332=""),"",IF(AD332-T332&lt;0,T332-AD332,AD332-T332)),"")</f>
        <v/>
      </c>
      <c r="AH332" s="51">
        <f>IFERROR(IF(OR(A332="",AE332=""),"",AE332-Z332),"")</f>
        <v/>
      </c>
      <c r="AI332" s="25">
        <f>IFERROR(IF(A332="","",IF(G332&gt;F332,"Check out-of-order rooms",IF(K332&gt;H332,"On the books exceeds sellable rooms",IF(R332&gt;H332,"Forecast exceeds sellable rooms",IF(AND(A332&lt;TODAY(),AB332=""),"Actual results missing","OK"))))),"")</f>
        <v/>
      </c>
    </row>
    <row r="333">
      <c r="A333" s="24" t="n"/>
      <c r="B333" s="25">
        <f>IFERROR(IF(A333="","",VLOOKUP(MOD(A333,7),'Assumptions'!$E$16:$F$22,2,0)),"")</f>
        <v/>
      </c>
      <c r="C333" s="25">
        <f>IFERROR(IF(A333="","",IF(A333&lt;TODAY(),"Past",IF(A333=TODAY(),"Today","Future"))),"")</f>
        <v/>
      </c>
      <c r="D333" s="26" t="n"/>
      <c r="E333" s="26" t="n"/>
      <c r="F333" s="27" t="n"/>
      <c r="G333" s="27" t="n"/>
      <c r="H333" s="28">
        <f>IFERROR(IF(A333="","",MAX(0,F333-G333)),"")</f>
        <v/>
      </c>
      <c r="I333" s="27" t="n"/>
      <c r="J333" s="27" t="n"/>
      <c r="K333" s="28">
        <f>IFERROR(IF(A333="","",I333+J333),"")</f>
        <v/>
      </c>
      <c r="L333" s="29">
        <f>IFERROR(IF(A333="","",K333/H333),"")</f>
        <v/>
      </c>
      <c r="M333" s="29">
        <f>IFERROR(IF(A333="","",VLOOKUP(B333,'Assumptions'!$A$16:$B$22,2,0)),"")</f>
        <v/>
      </c>
      <c r="N333" s="27" t="n"/>
      <c r="O333" s="27" t="n"/>
      <c r="P333" s="27" t="n"/>
      <c r="Q333" s="28">
        <f>IFERROR(IF(A333="","",MIN(H333,MAX(0,K333,ROUND(H333*M333,0)+N333+O333))),"")</f>
        <v/>
      </c>
      <c r="R333" s="28">
        <f>IFERROR(IF(A333="","",MIN(H333,MAX(0,IF(P333="",Q333,P333)))),"")</f>
        <v/>
      </c>
      <c r="S333" s="28">
        <f>IFERROR(IF(A333="","",MAX(0,R333-K333)),"")</f>
        <v/>
      </c>
      <c r="T333" s="29">
        <f>IFERROR(IF(A333="","",R333/H333),"")</f>
        <v/>
      </c>
      <c r="U333" s="29">
        <f>IFERROR(IF(A333="","",'Assumptions'!$B$5),"")</f>
        <v/>
      </c>
      <c r="V333" s="29">
        <f>IFERROR(IF(A333="","",T333-U333),"")</f>
        <v/>
      </c>
      <c r="W333" s="50" t="n"/>
      <c r="X333" s="50" t="n"/>
      <c r="Y333" s="51">
        <f>IFERROR(IF(A333="","",IF(X333&lt;&gt;"",X333,IF(W333&lt;&gt;"",W333,'Assumptions'!$B$8))),"")</f>
        <v/>
      </c>
      <c r="Z333" s="51">
        <f>IFERROR(IF(A333="","",R333*Y333),"")</f>
        <v/>
      </c>
      <c r="AA333" s="51">
        <f>IFERROR(IF(A333="","",Z333/H333),"")</f>
        <v/>
      </c>
      <c r="AB333" s="32" t="n"/>
      <c r="AC333" s="52" t="n"/>
      <c r="AD333" s="29">
        <f>IFERROR(IF(OR(A333="",AB333=""),"",AB333/H333),"")</f>
        <v/>
      </c>
      <c r="AE333" s="51">
        <f>IFERROR(IF(OR(A333="",AB333="",AC333=""),"",AB333*AC333),"")</f>
        <v/>
      </c>
      <c r="AF333" s="28">
        <f>IFERROR(IF(OR(A333="",AB333=""),"",AB333-R333),"")</f>
        <v/>
      </c>
      <c r="AG333" s="29">
        <f>IFERROR(IF(OR(A333="",AB333=""),"",IF(AD333-T333&lt;0,T333-AD333,AD333-T333)),"")</f>
        <v/>
      </c>
      <c r="AH333" s="51">
        <f>IFERROR(IF(OR(A333="",AE333=""),"",AE333-Z333),"")</f>
        <v/>
      </c>
      <c r="AI333" s="25">
        <f>IFERROR(IF(A333="","",IF(G333&gt;F333,"Check out-of-order rooms",IF(K333&gt;H333,"On the books exceeds sellable rooms",IF(R333&gt;H333,"Forecast exceeds sellable rooms",IF(AND(A333&lt;TODAY(),AB333=""),"Actual results missing","OK"))))),"")</f>
        <v/>
      </c>
    </row>
    <row r="334">
      <c r="A334" s="24" t="n"/>
      <c r="B334" s="25">
        <f>IFERROR(IF(A334="","",VLOOKUP(MOD(A334,7),'Assumptions'!$E$16:$F$22,2,0)),"")</f>
        <v/>
      </c>
      <c r="C334" s="25">
        <f>IFERROR(IF(A334="","",IF(A334&lt;TODAY(),"Past",IF(A334=TODAY(),"Today","Future"))),"")</f>
        <v/>
      </c>
      <c r="D334" s="26" t="n"/>
      <c r="E334" s="26" t="n"/>
      <c r="F334" s="27" t="n"/>
      <c r="G334" s="27" t="n"/>
      <c r="H334" s="28">
        <f>IFERROR(IF(A334="","",MAX(0,F334-G334)),"")</f>
        <v/>
      </c>
      <c r="I334" s="27" t="n"/>
      <c r="J334" s="27" t="n"/>
      <c r="K334" s="28">
        <f>IFERROR(IF(A334="","",I334+J334),"")</f>
        <v/>
      </c>
      <c r="L334" s="29">
        <f>IFERROR(IF(A334="","",K334/H334),"")</f>
        <v/>
      </c>
      <c r="M334" s="29">
        <f>IFERROR(IF(A334="","",VLOOKUP(B334,'Assumptions'!$A$16:$B$22,2,0)),"")</f>
        <v/>
      </c>
      <c r="N334" s="27" t="n"/>
      <c r="O334" s="27" t="n"/>
      <c r="P334" s="27" t="n"/>
      <c r="Q334" s="28">
        <f>IFERROR(IF(A334="","",MIN(H334,MAX(0,K334,ROUND(H334*M334,0)+N334+O334))),"")</f>
        <v/>
      </c>
      <c r="R334" s="28">
        <f>IFERROR(IF(A334="","",MIN(H334,MAX(0,IF(P334="",Q334,P334)))),"")</f>
        <v/>
      </c>
      <c r="S334" s="28">
        <f>IFERROR(IF(A334="","",MAX(0,R334-K334)),"")</f>
        <v/>
      </c>
      <c r="T334" s="29">
        <f>IFERROR(IF(A334="","",R334/H334),"")</f>
        <v/>
      </c>
      <c r="U334" s="29">
        <f>IFERROR(IF(A334="","",'Assumptions'!$B$5),"")</f>
        <v/>
      </c>
      <c r="V334" s="29">
        <f>IFERROR(IF(A334="","",T334-U334),"")</f>
        <v/>
      </c>
      <c r="W334" s="50" t="n"/>
      <c r="X334" s="50" t="n"/>
      <c r="Y334" s="51">
        <f>IFERROR(IF(A334="","",IF(X334&lt;&gt;"",X334,IF(W334&lt;&gt;"",W334,'Assumptions'!$B$8))),"")</f>
        <v/>
      </c>
      <c r="Z334" s="51">
        <f>IFERROR(IF(A334="","",R334*Y334),"")</f>
        <v/>
      </c>
      <c r="AA334" s="51">
        <f>IFERROR(IF(A334="","",Z334/H334),"")</f>
        <v/>
      </c>
      <c r="AB334" s="32" t="n"/>
      <c r="AC334" s="52" t="n"/>
      <c r="AD334" s="29">
        <f>IFERROR(IF(OR(A334="",AB334=""),"",AB334/H334),"")</f>
        <v/>
      </c>
      <c r="AE334" s="51">
        <f>IFERROR(IF(OR(A334="",AB334="",AC334=""),"",AB334*AC334),"")</f>
        <v/>
      </c>
      <c r="AF334" s="28">
        <f>IFERROR(IF(OR(A334="",AB334=""),"",AB334-R334),"")</f>
        <v/>
      </c>
      <c r="AG334" s="29">
        <f>IFERROR(IF(OR(A334="",AB334=""),"",IF(AD334-T334&lt;0,T334-AD334,AD334-T334)),"")</f>
        <v/>
      </c>
      <c r="AH334" s="51">
        <f>IFERROR(IF(OR(A334="",AE334=""),"",AE334-Z334),"")</f>
        <v/>
      </c>
      <c r="AI334" s="25">
        <f>IFERROR(IF(A334="","",IF(G334&gt;F334,"Check out-of-order rooms",IF(K334&gt;H334,"On the books exceeds sellable rooms",IF(R334&gt;H334,"Forecast exceeds sellable rooms",IF(AND(A334&lt;TODAY(),AB334=""),"Actual results missing","OK"))))),"")</f>
        <v/>
      </c>
    </row>
    <row r="335">
      <c r="A335" s="24" t="n"/>
      <c r="B335" s="25">
        <f>IFERROR(IF(A335="","",VLOOKUP(MOD(A335,7),'Assumptions'!$E$16:$F$22,2,0)),"")</f>
        <v/>
      </c>
      <c r="C335" s="25">
        <f>IFERROR(IF(A335="","",IF(A335&lt;TODAY(),"Past",IF(A335=TODAY(),"Today","Future"))),"")</f>
        <v/>
      </c>
      <c r="D335" s="26" t="n"/>
      <c r="E335" s="26" t="n"/>
      <c r="F335" s="27" t="n"/>
      <c r="G335" s="27" t="n"/>
      <c r="H335" s="28">
        <f>IFERROR(IF(A335="","",MAX(0,F335-G335)),"")</f>
        <v/>
      </c>
      <c r="I335" s="27" t="n"/>
      <c r="J335" s="27" t="n"/>
      <c r="K335" s="28">
        <f>IFERROR(IF(A335="","",I335+J335),"")</f>
        <v/>
      </c>
      <c r="L335" s="29">
        <f>IFERROR(IF(A335="","",K335/H335),"")</f>
        <v/>
      </c>
      <c r="M335" s="29">
        <f>IFERROR(IF(A335="","",VLOOKUP(B335,'Assumptions'!$A$16:$B$22,2,0)),"")</f>
        <v/>
      </c>
      <c r="N335" s="27" t="n"/>
      <c r="O335" s="27" t="n"/>
      <c r="P335" s="27" t="n"/>
      <c r="Q335" s="28">
        <f>IFERROR(IF(A335="","",MIN(H335,MAX(0,K335,ROUND(H335*M335,0)+N335+O335))),"")</f>
        <v/>
      </c>
      <c r="R335" s="28">
        <f>IFERROR(IF(A335="","",MIN(H335,MAX(0,IF(P335="",Q335,P335)))),"")</f>
        <v/>
      </c>
      <c r="S335" s="28">
        <f>IFERROR(IF(A335="","",MAX(0,R335-K335)),"")</f>
        <v/>
      </c>
      <c r="T335" s="29">
        <f>IFERROR(IF(A335="","",R335/H335),"")</f>
        <v/>
      </c>
      <c r="U335" s="29">
        <f>IFERROR(IF(A335="","",'Assumptions'!$B$5),"")</f>
        <v/>
      </c>
      <c r="V335" s="29">
        <f>IFERROR(IF(A335="","",T335-U335),"")</f>
        <v/>
      </c>
      <c r="W335" s="50" t="n"/>
      <c r="X335" s="50" t="n"/>
      <c r="Y335" s="51">
        <f>IFERROR(IF(A335="","",IF(X335&lt;&gt;"",X335,IF(W335&lt;&gt;"",W335,'Assumptions'!$B$8))),"")</f>
        <v/>
      </c>
      <c r="Z335" s="51">
        <f>IFERROR(IF(A335="","",R335*Y335),"")</f>
        <v/>
      </c>
      <c r="AA335" s="51">
        <f>IFERROR(IF(A335="","",Z335/H335),"")</f>
        <v/>
      </c>
      <c r="AB335" s="32" t="n"/>
      <c r="AC335" s="52" t="n"/>
      <c r="AD335" s="29">
        <f>IFERROR(IF(OR(A335="",AB335=""),"",AB335/H335),"")</f>
        <v/>
      </c>
      <c r="AE335" s="51">
        <f>IFERROR(IF(OR(A335="",AB335="",AC335=""),"",AB335*AC335),"")</f>
        <v/>
      </c>
      <c r="AF335" s="28">
        <f>IFERROR(IF(OR(A335="",AB335=""),"",AB335-R335),"")</f>
        <v/>
      </c>
      <c r="AG335" s="29">
        <f>IFERROR(IF(OR(A335="",AB335=""),"",IF(AD335-T335&lt;0,T335-AD335,AD335-T335)),"")</f>
        <v/>
      </c>
      <c r="AH335" s="51">
        <f>IFERROR(IF(OR(A335="",AE335=""),"",AE335-Z335),"")</f>
        <v/>
      </c>
      <c r="AI335" s="25">
        <f>IFERROR(IF(A335="","",IF(G335&gt;F335,"Check out-of-order rooms",IF(K335&gt;H335,"On the books exceeds sellable rooms",IF(R335&gt;H335,"Forecast exceeds sellable rooms",IF(AND(A335&lt;TODAY(),AB335=""),"Actual results missing","OK"))))),"")</f>
        <v/>
      </c>
    </row>
    <row r="336">
      <c r="A336" s="24" t="n"/>
      <c r="B336" s="25">
        <f>IFERROR(IF(A336="","",VLOOKUP(MOD(A336,7),'Assumptions'!$E$16:$F$22,2,0)),"")</f>
        <v/>
      </c>
      <c r="C336" s="25">
        <f>IFERROR(IF(A336="","",IF(A336&lt;TODAY(),"Past",IF(A336=TODAY(),"Today","Future"))),"")</f>
        <v/>
      </c>
      <c r="D336" s="26" t="n"/>
      <c r="E336" s="26" t="n"/>
      <c r="F336" s="27" t="n"/>
      <c r="G336" s="27" t="n"/>
      <c r="H336" s="28">
        <f>IFERROR(IF(A336="","",MAX(0,F336-G336)),"")</f>
        <v/>
      </c>
      <c r="I336" s="27" t="n"/>
      <c r="J336" s="27" t="n"/>
      <c r="K336" s="28">
        <f>IFERROR(IF(A336="","",I336+J336),"")</f>
        <v/>
      </c>
      <c r="L336" s="29">
        <f>IFERROR(IF(A336="","",K336/H336),"")</f>
        <v/>
      </c>
      <c r="M336" s="29">
        <f>IFERROR(IF(A336="","",VLOOKUP(B336,'Assumptions'!$A$16:$B$22,2,0)),"")</f>
        <v/>
      </c>
      <c r="N336" s="27" t="n"/>
      <c r="O336" s="27" t="n"/>
      <c r="P336" s="27" t="n"/>
      <c r="Q336" s="28">
        <f>IFERROR(IF(A336="","",MIN(H336,MAX(0,K336,ROUND(H336*M336,0)+N336+O336))),"")</f>
        <v/>
      </c>
      <c r="R336" s="28">
        <f>IFERROR(IF(A336="","",MIN(H336,MAX(0,IF(P336="",Q336,P336)))),"")</f>
        <v/>
      </c>
      <c r="S336" s="28">
        <f>IFERROR(IF(A336="","",MAX(0,R336-K336)),"")</f>
        <v/>
      </c>
      <c r="T336" s="29">
        <f>IFERROR(IF(A336="","",R336/H336),"")</f>
        <v/>
      </c>
      <c r="U336" s="29">
        <f>IFERROR(IF(A336="","",'Assumptions'!$B$5),"")</f>
        <v/>
      </c>
      <c r="V336" s="29">
        <f>IFERROR(IF(A336="","",T336-U336),"")</f>
        <v/>
      </c>
      <c r="W336" s="50" t="n"/>
      <c r="X336" s="50" t="n"/>
      <c r="Y336" s="51">
        <f>IFERROR(IF(A336="","",IF(X336&lt;&gt;"",X336,IF(W336&lt;&gt;"",W336,'Assumptions'!$B$8))),"")</f>
        <v/>
      </c>
      <c r="Z336" s="51">
        <f>IFERROR(IF(A336="","",R336*Y336),"")</f>
        <v/>
      </c>
      <c r="AA336" s="51">
        <f>IFERROR(IF(A336="","",Z336/H336),"")</f>
        <v/>
      </c>
      <c r="AB336" s="32" t="n"/>
      <c r="AC336" s="52" t="n"/>
      <c r="AD336" s="29">
        <f>IFERROR(IF(OR(A336="",AB336=""),"",AB336/H336),"")</f>
        <v/>
      </c>
      <c r="AE336" s="51">
        <f>IFERROR(IF(OR(A336="",AB336="",AC336=""),"",AB336*AC336),"")</f>
        <v/>
      </c>
      <c r="AF336" s="28">
        <f>IFERROR(IF(OR(A336="",AB336=""),"",AB336-R336),"")</f>
        <v/>
      </c>
      <c r="AG336" s="29">
        <f>IFERROR(IF(OR(A336="",AB336=""),"",IF(AD336-T336&lt;0,T336-AD336,AD336-T336)),"")</f>
        <v/>
      </c>
      <c r="AH336" s="51">
        <f>IFERROR(IF(OR(A336="",AE336=""),"",AE336-Z336),"")</f>
        <v/>
      </c>
      <c r="AI336" s="25">
        <f>IFERROR(IF(A336="","",IF(G336&gt;F336,"Check out-of-order rooms",IF(K336&gt;H336,"On the books exceeds sellable rooms",IF(R336&gt;H336,"Forecast exceeds sellable rooms",IF(AND(A336&lt;TODAY(),AB336=""),"Actual results missing","OK"))))),"")</f>
        <v/>
      </c>
    </row>
    <row r="337">
      <c r="A337" s="24" t="n"/>
      <c r="B337" s="25">
        <f>IFERROR(IF(A337="","",VLOOKUP(MOD(A337,7),'Assumptions'!$E$16:$F$22,2,0)),"")</f>
        <v/>
      </c>
      <c r="C337" s="25">
        <f>IFERROR(IF(A337="","",IF(A337&lt;TODAY(),"Past",IF(A337=TODAY(),"Today","Future"))),"")</f>
        <v/>
      </c>
      <c r="D337" s="26" t="n"/>
      <c r="E337" s="26" t="n"/>
      <c r="F337" s="27" t="n"/>
      <c r="G337" s="27" t="n"/>
      <c r="H337" s="28">
        <f>IFERROR(IF(A337="","",MAX(0,F337-G337)),"")</f>
        <v/>
      </c>
      <c r="I337" s="27" t="n"/>
      <c r="J337" s="27" t="n"/>
      <c r="K337" s="28">
        <f>IFERROR(IF(A337="","",I337+J337),"")</f>
        <v/>
      </c>
      <c r="L337" s="29">
        <f>IFERROR(IF(A337="","",K337/H337),"")</f>
        <v/>
      </c>
      <c r="M337" s="29">
        <f>IFERROR(IF(A337="","",VLOOKUP(B337,'Assumptions'!$A$16:$B$22,2,0)),"")</f>
        <v/>
      </c>
      <c r="N337" s="27" t="n"/>
      <c r="O337" s="27" t="n"/>
      <c r="P337" s="27" t="n"/>
      <c r="Q337" s="28">
        <f>IFERROR(IF(A337="","",MIN(H337,MAX(0,K337,ROUND(H337*M337,0)+N337+O337))),"")</f>
        <v/>
      </c>
      <c r="R337" s="28">
        <f>IFERROR(IF(A337="","",MIN(H337,MAX(0,IF(P337="",Q337,P337)))),"")</f>
        <v/>
      </c>
      <c r="S337" s="28">
        <f>IFERROR(IF(A337="","",MAX(0,R337-K337)),"")</f>
        <v/>
      </c>
      <c r="T337" s="29">
        <f>IFERROR(IF(A337="","",R337/H337),"")</f>
        <v/>
      </c>
      <c r="U337" s="29">
        <f>IFERROR(IF(A337="","",'Assumptions'!$B$5),"")</f>
        <v/>
      </c>
      <c r="V337" s="29">
        <f>IFERROR(IF(A337="","",T337-U337),"")</f>
        <v/>
      </c>
      <c r="W337" s="50" t="n"/>
      <c r="X337" s="50" t="n"/>
      <c r="Y337" s="51">
        <f>IFERROR(IF(A337="","",IF(X337&lt;&gt;"",X337,IF(W337&lt;&gt;"",W337,'Assumptions'!$B$8))),"")</f>
        <v/>
      </c>
      <c r="Z337" s="51">
        <f>IFERROR(IF(A337="","",R337*Y337),"")</f>
        <v/>
      </c>
      <c r="AA337" s="51">
        <f>IFERROR(IF(A337="","",Z337/H337),"")</f>
        <v/>
      </c>
      <c r="AB337" s="32" t="n"/>
      <c r="AC337" s="52" t="n"/>
      <c r="AD337" s="29">
        <f>IFERROR(IF(OR(A337="",AB337=""),"",AB337/H337),"")</f>
        <v/>
      </c>
      <c r="AE337" s="51">
        <f>IFERROR(IF(OR(A337="",AB337="",AC337=""),"",AB337*AC337),"")</f>
        <v/>
      </c>
      <c r="AF337" s="28">
        <f>IFERROR(IF(OR(A337="",AB337=""),"",AB337-R337),"")</f>
        <v/>
      </c>
      <c r="AG337" s="29">
        <f>IFERROR(IF(OR(A337="",AB337=""),"",IF(AD337-T337&lt;0,T337-AD337,AD337-T337)),"")</f>
        <v/>
      </c>
      <c r="AH337" s="51">
        <f>IFERROR(IF(OR(A337="",AE337=""),"",AE337-Z337),"")</f>
        <v/>
      </c>
      <c r="AI337" s="25">
        <f>IFERROR(IF(A337="","",IF(G337&gt;F337,"Check out-of-order rooms",IF(K337&gt;H337,"On the books exceeds sellable rooms",IF(R337&gt;H337,"Forecast exceeds sellable rooms",IF(AND(A337&lt;TODAY(),AB337=""),"Actual results missing","OK"))))),"")</f>
        <v/>
      </c>
    </row>
    <row r="338">
      <c r="A338" s="24" t="n"/>
      <c r="B338" s="25">
        <f>IFERROR(IF(A338="","",VLOOKUP(MOD(A338,7),'Assumptions'!$E$16:$F$22,2,0)),"")</f>
        <v/>
      </c>
      <c r="C338" s="25">
        <f>IFERROR(IF(A338="","",IF(A338&lt;TODAY(),"Past",IF(A338=TODAY(),"Today","Future"))),"")</f>
        <v/>
      </c>
      <c r="D338" s="26" t="n"/>
      <c r="E338" s="26" t="n"/>
      <c r="F338" s="27" t="n"/>
      <c r="G338" s="27" t="n"/>
      <c r="H338" s="28">
        <f>IFERROR(IF(A338="","",MAX(0,F338-G338)),"")</f>
        <v/>
      </c>
      <c r="I338" s="27" t="n"/>
      <c r="J338" s="27" t="n"/>
      <c r="K338" s="28">
        <f>IFERROR(IF(A338="","",I338+J338),"")</f>
        <v/>
      </c>
      <c r="L338" s="29">
        <f>IFERROR(IF(A338="","",K338/H338),"")</f>
        <v/>
      </c>
      <c r="M338" s="29">
        <f>IFERROR(IF(A338="","",VLOOKUP(B338,'Assumptions'!$A$16:$B$22,2,0)),"")</f>
        <v/>
      </c>
      <c r="N338" s="27" t="n"/>
      <c r="O338" s="27" t="n"/>
      <c r="P338" s="27" t="n"/>
      <c r="Q338" s="28">
        <f>IFERROR(IF(A338="","",MIN(H338,MAX(0,K338,ROUND(H338*M338,0)+N338+O338))),"")</f>
        <v/>
      </c>
      <c r="R338" s="28">
        <f>IFERROR(IF(A338="","",MIN(H338,MAX(0,IF(P338="",Q338,P338)))),"")</f>
        <v/>
      </c>
      <c r="S338" s="28">
        <f>IFERROR(IF(A338="","",MAX(0,R338-K338)),"")</f>
        <v/>
      </c>
      <c r="T338" s="29">
        <f>IFERROR(IF(A338="","",R338/H338),"")</f>
        <v/>
      </c>
      <c r="U338" s="29">
        <f>IFERROR(IF(A338="","",'Assumptions'!$B$5),"")</f>
        <v/>
      </c>
      <c r="V338" s="29">
        <f>IFERROR(IF(A338="","",T338-U338),"")</f>
        <v/>
      </c>
      <c r="W338" s="50" t="n"/>
      <c r="X338" s="50" t="n"/>
      <c r="Y338" s="51">
        <f>IFERROR(IF(A338="","",IF(X338&lt;&gt;"",X338,IF(W338&lt;&gt;"",W338,'Assumptions'!$B$8))),"")</f>
        <v/>
      </c>
      <c r="Z338" s="51">
        <f>IFERROR(IF(A338="","",R338*Y338),"")</f>
        <v/>
      </c>
      <c r="AA338" s="51">
        <f>IFERROR(IF(A338="","",Z338/H338),"")</f>
        <v/>
      </c>
      <c r="AB338" s="32" t="n"/>
      <c r="AC338" s="52" t="n"/>
      <c r="AD338" s="29">
        <f>IFERROR(IF(OR(A338="",AB338=""),"",AB338/H338),"")</f>
        <v/>
      </c>
      <c r="AE338" s="51">
        <f>IFERROR(IF(OR(A338="",AB338="",AC338=""),"",AB338*AC338),"")</f>
        <v/>
      </c>
      <c r="AF338" s="28">
        <f>IFERROR(IF(OR(A338="",AB338=""),"",AB338-R338),"")</f>
        <v/>
      </c>
      <c r="AG338" s="29">
        <f>IFERROR(IF(OR(A338="",AB338=""),"",IF(AD338-T338&lt;0,T338-AD338,AD338-T338)),"")</f>
        <v/>
      </c>
      <c r="AH338" s="51">
        <f>IFERROR(IF(OR(A338="",AE338=""),"",AE338-Z338),"")</f>
        <v/>
      </c>
      <c r="AI338" s="25">
        <f>IFERROR(IF(A338="","",IF(G338&gt;F338,"Check out-of-order rooms",IF(K338&gt;H338,"On the books exceeds sellable rooms",IF(R338&gt;H338,"Forecast exceeds sellable rooms",IF(AND(A338&lt;TODAY(),AB338=""),"Actual results missing","OK"))))),"")</f>
        <v/>
      </c>
    </row>
    <row r="339">
      <c r="A339" s="24" t="n"/>
      <c r="B339" s="25">
        <f>IFERROR(IF(A339="","",VLOOKUP(MOD(A339,7),'Assumptions'!$E$16:$F$22,2,0)),"")</f>
        <v/>
      </c>
      <c r="C339" s="25">
        <f>IFERROR(IF(A339="","",IF(A339&lt;TODAY(),"Past",IF(A339=TODAY(),"Today","Future"))),"")</f>
        <v/>
      </c>
      <c r="D339" s="26" t="n"/>
      <c r="E339" s="26" t="n"/>
      <c r="F339" s="27" t="n"/>
      <c r="G339" s="27" t="n"/>
      <c r="H339" s="28">
        <f>IFERROR(IF(A339="","",MAX(0,F339-G339)),"")</f>
        <v/>
      </c>
      <c r="I339" s="27" t="n"/>
      <c r="J339" s="27" t="n"/>
      <c r="K339" s="28">
        <f>IFERROR(IF(A339="","",I339+J339),"")</f>
        <v/>
      </c>
      <c r="L339" s="29">
        <f>IFERROR(IF(A339="","",K339/H339),"")</f>
        <v/>
      </c>
      <c r="M339" s="29">
        <f>IFERROR(IF(A339="","",VLOOKUP(B339,'Assumptions'!$A$16:$B$22,2,0)),"")</f>
        <v/>
      </c>
      <c r="N339" s="27" t="n"/>
      <c r="O339" s="27" t="n"/>
      <c r="P339" s="27" t="n"/>
      <c r="Q339" s="28">
        <f>IFERROR(IF(A339="","",MIN(H339,MAX(0,K339,ROUND(H339*M339,0)+N339+O339))),"")</f>
        <v/>
      </c>
      <c r="R339" s="28">
        <f>IFERROR(IF(A339="","",MIN(H339,MAX(0,IF(P339="",Q339,P339)))),"")</f>
        <v/>
      </c>
      <c r="S339" s="28">
        <f>IFERROR(IF(A339="","",MAX(0,R339-K339)),"")</f>
        <v/>
      </c>
      <c r="T339" s="29">
        <f>IFERROR(IF(A339="","",R339/H339),"")</f>
        <v/>
      </c>
      <c r="U339" s="29">
        <f>IFERROR(IF(A339="","",'Assumptions'!$B$5),"")</f>
        <v/>
      </c>
      <c r="V339" s="29">
        <f>IFERROR(IF(A339="","",T339-U339),"")</f>
        <v/>
      </c>
      <c r="W339" s="50" t="n"/>
      <c r="X339" s="50" t="n"/>
      <c r="Y339" s="51">
        <f>IFERROR(IF(A339="","",IF(X339&lt;&gt;"",X339,IF(W339&lt;&gt;"",W339,'Assumptions'!$B$8))),"")</f>
        <v/>
      </c>
      <c r="Z339" s="51">
        <f>IFERROR(IF(A339="","",R339*Y339),"")</f>
        <v/>
      </c>
      <c r="AA339" s="51">
        <f>IFERROR(IF(A339="","",Z339/H339),"")</f>
        <v/>
      </c>
      <c r="AB339" s="32" t="n"/>
      <c r="AC339" s="52" t="n"/>
      <c r="AD339" s="29">
        <f>IFERROR(IF(OR(A339="",AB339=""),"",AB339/H339),"")</f>
        <v/>
      </c>
      <c r="AE339" s="51">
        <f>IFERROR(IF(OR(A339="",AB339="",AC339=""),"",AB339*AC339),"")</f>
        <v/>
      </c>
      <c r="AF339" s="28">
        <f>IFERROR(IF(OR(A339="",AB339=""),"",AB339-R339),"")</f>
        <v/>
      </c>
      <c r="AG339" s="29">
        <f>IFERROR(IF(OR(A339="",AB339=""),"",IF(AD339-T339&lt;0,T339-AD339,AD339-T339)),"")</f>
        <v/>
      </c>
      <c r="AH339" s="51">
        <f>IFERROR(IF(OR(A339="",AE339=""),"",AE339-Z339),"")</f>
        <v/>
      </c>
      <c r="AI339" s="25">
        <f>IFERROR(IF(A339="","",IF(G339&gt;F339,"Check out-of-order rooms",IF(K339&gt;H339,"On the books exceeds sellable rooms",IF(R339&gt;H339,"Forecast exceeds sellable rooms",IF(AND(A339&lt;TODAY(),AB339=""),"Actual results missing","OK"))))),"")</f>
        <v/>
      </c>
    </row>
    <row r="340">
      <c r="A340" s="24" t="n"/>
      <c r="B340" s="25">
        <f>IFERROR(IF(A340="","",VLOOKUP(MOD(A340,7),'Assumptions'!$E$16:$F$22,2,0)),"")</f>
        <v/>
      </c>
      <c r="C340" s="25">
        <f>IFERROR(IF(A340="","",IF(A340&lt;TODAY(),"Past",IF(A340=TODAY(),"Today","Future"))),"")</f>
        <v/>
      </c>
      <c r="D340" s="26" t="n"/>
      <c r="E340" s="26" t="n"/>
      <c r="F340" s="27" t="n"/>
      <c r="G340" s="27" t="n"/>
      <c r="H340" s="28">
        <f>IFERROR(IF(A340="","",MAX(0,F340-G340)),"")</f>
        <v/>
      </c>
      <c r="I340" s="27" t="n"/>
      <c r="J340" s="27" t="n"/>
      <c r="K340" s="28">
        <f>IFERROR(IF(A340="","",I340+J340),"")</f>
        <v/>
      </c>
      <c r="L340" s="29">
        <f>IFERROR(IF(A340="","",K340/H340),"")</f>
        <v/>
      </c>
      <c r="M340" s="29">
        <f>IFERROR(IF(A340="","",VLOOKUP(B340,'Assumptions'!$A$16:$B$22,2,0)),"")</f>
        <v/>
      </c>
      <c r="N340" s="27" t="n"/>
      <c r="O340" s="27" t="n"/>
      <c r="P340" s="27" t="n"/>
      <c r="Q340" s="28">
        <f>IFERROR(IF(A340="","",MIN(H340,MAX(0,K340,ROUND(H340*M340,0)+N340+O340))),"")</f>
        <v/>
      </c>
      <c r="R340" s="28">
        <f>IFERROR(IF(A340="","",MIN(H340,MAX(0,IF(P340="",Q340,P340)))),"")</f>
        <v/>
      </c>
      <c r="S340" s="28">
        <f>IFERROR(IF(A340="","",MAX(0,R340-K340)),"")</f>
        <v/>
      </c>
      <c r="T340" s="29">
        <f>IFERROR(IF(A340="","",R340/H340),"")</f>
        <v/>
      </c>
      <c r="U340" s="29">
        <f>IFERROR(IF(A340="","",'Assumptions'!$B$5),"")</f>
        <v/>
      </c>
      <c r="V340" s="29">
        <f>IFERROR(IF(A340="","",T340-U340),"")</f>
        <v/>
      </c>
      <c r="W340" s="50" t="n"/>
      <c r="X340" s="50" t="n"/>
      <c r="Y340" s="51">
        <f>IFERROR(IF(A340="","",IF(X340&lt;&gt;"",X340,IF(W340&lt;&gt;"",W340,'Assumptions'!$B$8))),"")</f>
        <v/>
      </c>
      <c r="Z340" s="51">
        <f>IFERROR(IF(A340="","",R340*Y340),"")</f>
        <v/>
      </c>
      <c r="AA340" s="51">
        <f>IFERROR(IF(A340="","",Z340/H340),"")</f>
        <v/>
      </c>
      <c r="AB340" s="32" t="n"/>
      <c r="AC340" s="52" t="n"/>
      <c r="AD340" s="29">
        <f>IFERROR(IF(OR(A340="",AB340=""),"",AB340/H340),"")</f>
        <v/>
      </c>
      <c r="AE340" s="51">
        <f>IFERROR(IF(OR(A340="",AB340="",AC340=""),"",AB340*AC340),"")</f>
        <v/>
      </c>
      <c r="AF340" s="28">
        <f>IFERROR(IF(OR(A340="",AB340=""),"",AB340-R340),"")</f>
        <v/>
      </c>
      <c r="AG340" s="29">
        <f>IFERROR(IF(OR(A340="",AB340=""),"",IF(AD340-T340&lt;0,T340-AD340,AD340-T340)),"")</f>
        <v/>
      </c>
      <c r="AH340" s="51">
        <f>IFERROR(IF(OR(A340="",AE340=""),"",AE340-Z340),"")</f>
        <v/>
      </c>
      <c r="AI340" s="25">
        <f>IFERROR(IF(A340="","",IF(G340&gt;F340,"Check out-of-order rooms",IF(K340&gt;H340,"On the books exceeds sellable rooms",IF(R340&gt;H340,"Forecast exceeds sellable rooms",IF(AND(A340&lt;TODAY(),AB340=""),"Actual results missing","OK"))))),"")</f>
        <v/>
      </c>
    </row>
    <row r="341">
      <c r="A341" s="24" t="n"/>
      <c r="B341" s="25">
        <f>IFERROR(IF(A341="","",VLOOKUP(MOD(A341,7),'Assumptions'!$E$16:$F$22,2,0)),"")</f>
        <v/>
      </c>
      <c r="C341" s="25">
        <f>IFERROR(IF(A341="","",IF(A341&lt;TODAY(),"Past",IF(A341=TODAY(),"Today","Future"))),"")</f>
        <v/>
      </c>
      <c r="D341" s="26" t="n"/>
      <c r="E341" s="26" t="n"/>
      <c r="F341" s="27" t="n"/>
      <c r="G341" s="27" t="n"/>
      <c r="H341" s="28">
        <f>IFERROR(IF(A341="","",MAX(0,F341-G341)),"")</f>
        <v/>
      </c>
      <c r="I341" s="27" t="n"/>
      <c r="J341" s="27" t="n"/>
      <c r="K341" s="28">
        <f>IFERROR(IF(A341="","",I341+J341),"")</f>
        <v/>
      </c>
      <c r="L341" s="29">
        <f>IFERROR(IF(A341="","",K341/H341),"")</f>
        <v/>
      </c>
      <c r="M341" s="29">
        <f>IFERROR(IF(A341="","",VLOOKUP(B341,'Assumptions'!$A$16:$B$22,2,0)),"")</f>
        <v/>
      </c>
      <c r="N341" s="27" t="n"/>
      <c r="O341" s="27" t="n"/>
      <c r="P341" s="27" t="n"/>
      <c r="Q341" s="28">
        <f>IFERROR(IF(A341="","",MIN(H341,MAX(0,K341,ROUND(H341*M341,0)+N341+O341))),"")</f>
        <v/>
      </c>
      <c r="R341" s="28">
        <f>IFERROR(IF(A341="","",MIN(H341,MAX(0,IF(P341="",Q341,P341)))),"")</f>
        <v/>
      </c>
      <c r="S341" s="28">
        <f>IFERROR(IF(A341="","",MAX(0,R341-K341)),"")</f>
        <v/>
      </c>
      <c r="T341" s="29">
        <f>IFERROR(IF(A341="","",R341/H341),"")</f>
        <v/>
      </c>
      <c r="U341" s="29">
        <f>IFERROR(IF(A341="","",'Assumptions'!$B$5),"")</f>
        <v/>
      </c>
      <c r="V341" s="29">
        <f>IFERROR(IF(A341="","",T341-U341),"")</f>
        <v/>
      </c>
      <c r="W341" s="50" t="n"/>
      <c r="X341" s="50" t="n"/>
      <c r="Y341" s="51">
        <f>IFERROR(IF(A341="","",IF(X341&lt;&gt;"",X341,IF(W341&lt;&gt;"",W341,'Assumptions'!$B$8))),"")</f>
        <v/>
      </c>
      <c r="Z341" s="51">
        <f>IFERROR(IF(A341="","",R341*Y341),"")</f>
        <v/>
      </c>
      <c r="AA341" s="51">
        <f>IFERROR(IF(A341="","",Z341/H341),"")</f>
        <v/>
      </c>
      <c r="AB341" s="32" t="n"/>
      <c r="AC341" s="52" t="n"/>
      <c r="AD341" s="29">
        <f>IFERROR(IF(OR(A341="",AB341=""),"",AB341/H341),"")</f>
        <v/>
      </c>
      <c r="AE341" s="51">
        <f>IFERROR(IF(OR(A341="",AB341="",AC341=""),"",AB341*AC341),"")</f>
        <v/>
      </c>
      <c r="AF341" s="28">
        <f>IFERROR(IF(OR(A341="",AB341=""),"",AB341-R341),"")</f>
        <v/>
      </c>
      <c r="AG341" s="29">
        <f>IFERROR(IF(OR(A341="",AB341=""),"",IF(AD341-T341&lt;0,T341-AD341,AD341-T341)),"")</f>
        <v/>
      </c>
      <c r="AH341" s="51">
        <f>IFERROR(IF(OR(A341="",AE341=""),"",AE341-Z341),"")</f>
        <v/>
      </c>
      <c r="AI341" s="25">
        <f>IFERROR(IF(A341="","",IF(G341&gt;F341,"Check out-of-order rooms",IF(K341&gt;H341,"On the books exceeds sellable rooms",IF(R341&gt;H341,"Forecast exceeds sellable rooms",IF(AND(A341&lt;TODAY(),AB341=""),"Actual results missing","OK"))))),"")</f>
        <v/>
      </c>
    </row>
    <row r="342">
      <c r="A342" s="24" t="n"/>
      <c r="B342" s="25">
        <f>IFERROR(IF(A342="","",VLOOKUP(MOD(A342,7),'Assumptions'!$E$16:$F$22,2,0)),"")</f>
        <v/>
      </c>
      <c r="C342" s="25">
        <f>IFERROR(IF(A342="","",IF(A342&lt;TODAY(),"Past",IF(A342=TODAY(),"Today","Future"))),"")</f>
        <v/>
      </c>
      <c r="D342" s="26" t="n"/>
      <c r="E342" s="26" t="n"/>
      <c r="F342" s="27" t="n"/>
      <c r="G342" s="27" t="n"/>
      <c r="H342" s="28">
        <f>IFERROR(IF(A342="","",MAX(0,F342-G342)),"")</f>
        <v/>
      </c>
      <c r="I342" s="27" t="n"/>
      <c r="J342" s="27" t="n"/>
      <c r="K342" s="28">
        <f>IFERROR(IF(A342="","",I342+J342),"")</f>
        <v/>
      </c>
      <c r="L342" s="29">
        <f>IFERROR(IF(A342="","",K342/H342),"")</f>
        <v/>
      </c>
      <c r="M342" s="29">
        <f>IFERROR(IF(A342="","",VLOOKUP(B342,'Assumptions'!$A$16:$B$22,2,0)),"")</f>
        <v/>
      </c>
      <c r="N342" s="27" t="n"/>
      <c r="O342" s="27" t="n"/>
      <c r="P342" s="27" t="n"/>
      <c r="Q342" s="28">
        <f>IFERROR(IF(A342="","",MIN(H342,MAX(0,K342,ROUND(H342*M342,0)+N342+O342))),"")</f>
        <v/>
      </c>
      <c r="R342" s="28">
        <f>IFERROR(IF(A342="","",MIN(H342,MAX(0,IF(P342="",Q342,P342)))),"")</f>
        <v/>
      </c>
      <c r="S342" s="28">
        <f>IFERROR(IF(A342="","",MAX(0,R342-K342)),"")</f>
        <v/>
      </c>
      <c r="T342" s="29">
        <f>IFERROR(IF(A342="","",R342/H342),"")</f>
        <v/>
      </c>
      <c r="U342" s="29">
        <f>IFERROR(IF(A342="","",'Assumptions'!$B$5),"")</f>
        <v/>
      </c>
      <c r="V342" s="29">
        <f>IFERROR(IF(A342="","",T342-U342),"")</f>
        <v/>
      </c>
      <c r="W342" s="50" t="n"/>
      <c r="X342" s="50" t="n"/>
      <c r="Y342" s="51">
        <f>IFERROR(IF(A342="","",IF(X342&lt;&gt;"",X342,IF(W342&lt;&gt;"",W342,'Assumptions'!$B$8))),"")</f>
        <v/>
      </c>
      <c r="Z342" s="51">
        <f>IFERROR(IF(A342="","",R342*Y342),"")</f>
        <v/>
      </c>
      <c r="AA342" s="51">
        <f>IFERROR(IF(A342="","",Z342/H342),"")</f>
        <v/>
      </c>
      <c r="AB342" s="32" t="n"/>
      <c r="AC342" s="52" t="n"/>
      <c r="AD342" s="29">
        <f>IFERROR(IF(OR(A342="",AB342=""),"",AB342/H342),"")</f>
        <v/>
      </c>
      <c r="AE342" s="51">
        <f>IFERROR(IF(OR(A342="",AB342="",AC342=""),"",AB342*AC342),"")</f>
        <v/>
      </c>
      <c r="AF342" s="28">
        <f>IFERROR(IF(OR(A342="",AB342=""),"",AB342-R342),"")</f>
        <v/>
      </c>
      <c r="AG342" s="29">
        <f>IFERROR(IF(OR(A342="",AB342=""),"",IF(AD342-T342&lt;0,T342-AD342,AD342-T342)),"")</f>
        <v/>
      </c>
      <c r="AH342" s="51">
        <f>IFERROR(IF(OR(A342="",AE342=""),"",AE342-Z342),"")</f>
        <v/>
      </c>
      <c r="AI342" s="25">
        <f>IFERROR(IF(A342="","",IF(G342&gt;F342,"Check out-of-order rooms",IF(K342&gt;H342,"On the books exceeds sellable rooms",IF(R342&gt;H342,"Forecast exceeds sellable rooms",IF(AND(A342&lt;TODAY(),AB342=""),"Actual results missing","OK"))))),"")</f>
        <v/>
      </c>
    </row>
    <row r="343">
      <c r="A343" s="24" t="n"/>
      <c r="B343" s="25">
        <f>IFERROR(IF(A343="","",VLOOKUP(MOD(A343,7),'Assumptions'!$E$16:$F$22,2,0)),"")</f>
        <v/>
      </c>
      <c r="C343" s="25">
        <f>IFERROR(IF(A343="","",IF(A343&lt;TODAY(),"Past",IF(A343=TODAY(),"Today","Future"))),"")</f>
        <v/>
      </c>
      <c r="D343" s="26" t="n"/>
      <c r="E343" s="26" t="n"/>
      <c r="F343" s="27" t="n"/>
      <c r="G343" s="27" t="n"/>
      <c r="H343" s="28">
        <f>IFERROR(IF(A343="","",MAX(0,F343-G343)),"")</f>
        <v/>
      </c>
      <c r="I343" s="27" t="n"/>
      <c r="J343" s="27" t="n"/>
      <c r="K343" s="28">
        <f>IFERROR(IF(A343="","",I343+J343),"")</f>
        <v/>
      </c>
      <c r="L343" s="29">
        <f>IFERROR(IF(A343="","",K343/H343),"")</f>
        <v/>
      </c>
      <c r="M343" s="29">
        <f>IFERROR(IF(A343="","",VLOOKUP(B343,'Assumptions'!$A$16:$B$22,2,0)),"")</f>
        <v/>
      </c>
      <c r="N343" s="27" t="n"/>
      <c r="O343" s="27" t="n"/>
      <c r="P343" s="27" t="n"/>
      <c r="Q343" s="28">
        <f>IFERROR(IF(A343="","",MIN(H343,MAX(0,K343,ROUND(H343*M343,0)+N343+O343))),"")</f>
        <v/>
      </c>
      <c r="R343" s="28">
        <f>IFERROR(IF(A343="","",MIN(H343,MAX(0,IF(P343="",Q343,P343)))),"")</f>
        <v/>
      </c>
      <c r="S343" s="28">
        <f>IFERROR(IF(A343="","",MAX(0,R343-K343)),"")</f>
        <v/>
      </c>
      <c r="T343" s="29">
        <f>IFERROR(IF(A343="","",R343/H343),"")</f>
        <v/>
      </c>
      <c r="U343" s="29">
        <f>IFERROR(IF(A343="","",'Assumptions'!$B$5),"")</f>
        <v/>
      </c>
      <c r="V343" s="29">
        <f>IFERROR(IF(A343="","",T343-U343),"")</f>
        <v/>
      </c>
      <c r="W343" s="50" t="n"/>
      <c r="X343" s="50" t="n"/>
      <c r="Y343" s="51">
        <f>IFERROR(IF(A343="","",IF(X343&lt;&gt;"",X343,IF(W343&lt;&gt;"",W343,'Assumptions'!$B$8))),"")</f>
        <v/>
      </c>
      <c r="Z343" s="51">
        <f>IFERROR(IF(A343="","",R343*Y343),"")</f>
        <v/>
      </c>
      <c r="AA343" s="51">
        <f>IFERROR(IF(A343="","",Z343/H343),"")</f>
        <v/>
      </c>
      <c r="AB343" s="32" t="n"/>
      <c r="AC343" s="52" t="n"/>
      <c r="AD343" s="29">
        <f>IFERROR(IF(OR(A343="",AB343=""),"",AB343/H343),"")</f>
        <v/>
      </c>
      <c r="AE343" s="51">
        <f>IFERROR(IF(OR(A343="",AB343="",AC343=""),"",AB343*AC343),"")</f>
        <v/>
      </c>
      <c r="AF343" s="28">
        <f>IFERROR(IF(OR(A343="",AB343=""),"",AB343-R343),"")</f>
        <v/>
      </c>
      <c r="AG343" s="29">
        <f>IFERROR(IF(OR(A343="",AB343=""),"",IF(AD343-T343&lt;0,T343-AD343,AD343-T343)),"")</f>
        <v/>
      </c>
      <c r="AH343" s="51">
        <f>IFERROR(IF(OR(A343="",AE343=""),"",AE343-Z343),"")</f>
        <v/>
      </c>
      <c r="AI343" s="25">
        <f>IFERROR(IF(A343="","",IF(G343&gt;F343,"Check out-of-order rooms",IF(K343&gt;H343,"On the books exceeds sellable rooms",IF(R343&gt;H343,"Forecast exceeds sellable rooms",IF(AND(A343&lt;TODAY(),AB343=""),"Actual results missing","OK"))))),"")</f>
        <v/>
      </c>
    </row>
    <row r="344">
      <c r="A344" s="24" t="n"/>
      <c r="B344" s="25">
        <f>IFERROR(IF(A344="","",VLOOKUP(MOD(A344,7),'Assumptions'!$E$16:$F$22,2,0)),"")</f>
        <v/>
      </c>
      <c r="C344" s="25">
        <f>IFERROR(IF(A344="","",IF(A344&lt;TODAY(),"Past",IF(A344=TODAY(),"Today","Future"))),"")</f>
        <v/>
      </c>
      <c r="D344" s="26" t="n"/>
      <c r="E344" s="26" t="n"/>
      <c r="F344" s="27" t="n"/>
      <c r="G344" s="27" t="n"/>
      <c r="H344" s="28">
        <f>IFERROR(IF(A344="","",MAX(0,F344-G344)),"")</f>
        <v/>
      </c>
      <c r="I344" s="27" t="n"/>
      <c r="J344" s="27" t="n"/>
      <c r="K344" s="28">
        <f>IFERROR(IF(A344="","",I344+J344),"")</f>
        <v/>
      </c>
      <c r="L344" s="29">
        <f>IFERROR(IF(A344="","",K344/H344),"")</f>
        <v/>
      </c>
      <c r="M344" s="29">
        <f>IFERROR(IF(A344="","",VLOOKUP(B344,'Assumptions'!$A$16:$B$22,2,0)),"")</f>
        <v/>
      </c>
      <c r="N344" s="27" t="n"/>
      <c r="O344" s="27" t="n"/>
      <c r="P344" s="27" t="n"/>
      <c r="Q344" s="28">
        <f>IFERROR(IF(A344="","",MIN(H344,MAX(0,K344,ROUND(H344*M344,0)+N344+O344))),"")</f>
        <v/>
      </c>
      <c r="R344" s="28">
        <f>IFERROR(IF(A344="","",MIN(H344,MAX(0,IF(P344="",Q344,P344)))),"")</f>
        <v/>
      </c>
      <c r="S344" s="28">
        <f>IFERROR(IF(A344="","",MAX(0,R344-K344)),"")</f>
        <v/>
      </c>
      <c r="T344" s="29">
        <f>IFERROR(IF(A344="","",R344/H344),"")</f>
        <v/>
      </c>
      <c r="U344" s="29">
        <f>IFERROR(IF(A344="","",'Assumptions'!$B$5),"")</f>
        <v/>
      </c>
      <c r="V344" s="29">
        <f>IFERROR(IF(A344="","",T344-U344),"")</f>
        <v/>
      </c>
      <c r="W344" s="50" t="n"/>
      <c r="X344" s="50" t="n"/>
      <c r="Y344" s="51">
        <f>IFERROR(IF(A344="","",IF(X344&lt;&gt;"",X344,IF(W344&lt;&gt;"",W344,'Assumptions'!$B$8))),"")</f>
        <v/>
      </c>
      <c r="Z344" s="51">
        <f>IFERROR(IF(A344="","",R344*Y344),"")</f>
        <v/>
      </c>
      <c r="AA344" s="51">
        <f>IFERROR(IF(A344="","",Z344/H344),"")</f>
        <v/>
      </c>
      <c r="AB344" s="32" t="n"/>
      <c r="AC344" s="52" t="n"/>
      <c r="AD344" s="29">
        <f>IFERROR(IF(OR(A344="",AB344=""),"",AB344/H344),"")</f>
        <v/>
      </c>
      <c r="AE344" s="51">
        <f>IFERROR(IF(OR(A344="",AB344="",AC344=""),"",AB344*AC344),"")</f>
        <v/>
      </c>
      <c r="AF344" s="28">
        <f>IFERROR(IF(OR(A344="",AB344=""),"",AB344-R344),"")</f>
        <v/>
      </c>
      <c r="AG344" s="29">
        <f>IFERROR(IF(OR(A344="",AB344=""),"",IF(AD344-T344&lt;0,T344-AD344,AD344-T344)),"")</f>
        <v/>
      </c>
      <c r="AH344" s="51">
        <f>IFERROR(IF(OR(A344="",AE344=""),"",AE344-Z344),"")</f>
        <v/>
      </c>
      <c r="AI344" s="25">
        <f>IFERROR(IF(A344="","",IF(G344&gt;F344,"Check out-of-order rooms",IF(K344&gt;H344,"On the books exceeds sellable rooms",IF(R344&gt;H344,"Forecast exceeds sellable rooms",IF(AND(A344&lt;TODAY(),AB344=""),"Actual results missing","OK"))))),"")</f>
        <v/>
      </c>
    </row>
    <row r="345">
      <c r="A345" s="24" t="n"/>
      <c r="B345" s="25">
        <f>IFERROR(IF(A345="","",VLOOKUP(MOD(A345,7),'Assumptions'!$E$16:$F$22,2,0)),"")</f>
        <v/>
      </c>
      <c r="C345" s="25">
        <f>IFERROR(IF(A345="","",IF(A345&lt;TODAY(),"Past",IF(A345=TODAY(),"Today","Future"))),"")</f>
        <v/>
      </c>
      <c r="D345" s="26" t="n"/>
      <c r="E345" s="26" t="n"/>
      <c r="F345" s="27" t="n"/>
      <c r="G345" s="27" t="n"/>
      <c r="H345" s="28">
        <f>IFERROR(IF(A345="","",MAX(0,F345-G345)),"")</f>
        <v/>
      </c>
      <c r="I345" s="27" t="n"/>
      <c r="J345" s="27" t="n"/>
      <c r="K345" s="28">
        <f>IFERROR(IF(A345="","",I345+J345),"")</f>
        <v/>
      </c>
      <c r="L345" s="29">
        <f>IFERROR(IF(A345="","",K345/H345),"")</f>
        <v/>
      </c>
      <c r="M345" s="29">
        <f>IFERROR(IF(A345="","",VLOOKUP(B345,'Assumptions'!$A$16:$B$22,2,0)),"")</f>
        <v/>
      </c>
      <c r="N345" s="27" t="n"/>
      <c r="O345" s="27" t="n"/>
      <c r="P345" s="27" t="n"/>
      <c r="Q345" s="28">
        <f>IFERROR(IF(A345="","",MIN(H345,MAX(0,K345,ROUND(H345*M345,0)+N345+O345))),"")</f>
        <v/>
      </c>
      <c r="R345" s="28">
        <f>IFERROR(IF(A345="","",MIN(H345,MAX(0,IF(P345="",Q345,P345)))),"")</f>
        <v/>
      </c>
      <c r="S345" s="28">
        <f>IFERROR(IF(A345="","",MAX(0,R345-K345)),"")</f>
        <v/>
      </c>
      <c r="T345" s="29">
        <f>IFERROR(IF(A345="","",R345/H345),"")</f>
        <v/>
      </c>
      <c r="U345" s="29">
        <f>IFERROR(IF(A345="","",'Assumptions'!$B$5),"")</f>
        <v/>
      </c>
      <c r="V345" s="29">
        <f>IFERROR(IF(A345="","",T345-U345),"")</f>
        <v/>
      </c>
      <c r="W345" s="50" t="n"/>
      <c r="X345" s="50" t="n"/>
      <c r="Y345" s="51">
        <f>IFERROR(IF(A345="","",IF(X345&lt;&gt;"",X345,IF(W345&lt;&gt;"",W345,'Assumptions'!$B$8))),"")</f>
        <v/>
      </c>
      <c r="Z345" s="51">
        <f>IFERROR(IF(A345="","",R345*Y345),"")</f>
        <v/>
      </c>
      <c r="AA345" s="51">
        <f>IFERROR(IF(A345="","",Z345/H345),"")</f>
        <v/>
      </c>
      <c r="AB345" s="32" t="n"/>
      <c r="AC345" s="52" t="n"/>
      <c r="AD345" s="29">
        <f>IFERROR(IF(OR(A345="",AB345=""),"",AB345/H345),"")</f>
        <v/>
      </c>
      <c r="AE345" s="51">
        <f>IFERROR(IF(OR(A345="",AB345="",AC345=""),"",AB345*AC345),"")</f>
        <v/>
      </c>
      <c r="AF345" s="28">
        <f>IFERROR(IF(OR(A345="",AB345=""),"",AB345-R345),"")</f>
        <v/>
      </c>
      <c r="AG345" s="29">
        <f>IFERROR(IF(OR(A345="",AB345=""),"",IF(AD345-T345&lt;0,T345-AD345,AD345-T345)),"")</f>
        <v/>
      </c>
      <c r="AH345" s="51">
        <f>IFERROR(IF(OR(A345="",AE345=""),"",AE345-Z345),"")</f>
        <v/>
      </c>
      <c r="AI345" s="25">
        <f>IFERROR(IF(A345="","",IF(G345&gt;F345,"Check out-of-order rooms",IF(K345&gt;H345,"On the books exceeds sellable rooms",IF(R345&gt;H345,"Forecast exceeds sellable rooms",IF(AND(A345&lt;TODAY(),AB345=""),"Actual results missing","OK"))))),"")</f>
        <v/>
      </c>
    </row>
    <row r="346">
      <c r="A346" s="24" t="n"/>
      <c r="B346" s="25">
        <f>IFERROR(IF(A346="","",VLOOKUP(MOD(A346,7),'Assumptions'!$E$16:$F$22,2,0)),"")</f>
        <v/>
      </c>
      <c r="C346" s="25">
        <f>IFERROR(IF(A346="","",IF(A346&lt;TODAY(),"Past",IF(A346=TODAY(),"Today","Future"))),"")</f>
        <v/>
      </c>
      <c r="D346" s="26" t="n"/>
      <c r="E346" s="26" t="n"/>
      <c r="F346" s="27" t="n"/>
      <c r="G346" s="27" t="n"/>
      <c r="H346" s="28">
        <f>IFERROR(IF(A346="","",MAX(0,F346-G346)),"")</f>
        <v/>
      </c>
      <c r="I346" s="27" t="n"/>
      <c r="J346" s="27" t="n"/>
      <c r="K346" s="28">
        <f>IFERROR(IF(A346="","",I346+J346),"")</f>
        <v/>
      </c>
      <c r="L346" s="29">
        <f>IFERROR(IF(A346="","",K346/H346),"")</f>
        <v/>
      </c>
      <c r="M346" s="29">
        <f>IFERROR(IF(A346="","",VLOOKUP(B346,'Assumptions'!$A$16:$B$22,2,0)),"")</f>
        <v/>
      </c>
      <c r="N346" s="27" t="n"/>
      <c r="O346" s="27" t="n"/>
      <c r="P346" s="27" t="n"/>
      <c r="Q346" s="28">
        <f>IFERROR(IF(A346="","",MIN(H346,MAX(0,K346,ROUND(H346*M346,0)+N346+O346))),"")</f>
        <v/>
      </c>
      <c r="R346" s="28">
        <f>IFERROR(IF(A346="","",MIN(H346,MAX(0,IF(P346="",Q346,P346)))),"")</f>
        <v/>
      </c>
      <c r="S346" s="28">
        <f>IFERROR(IF(A346="","",MAX(0,R346-K346)),"")</f>
        <v/>
      </c>
      <c r="T346" s="29">
        <f>IFERROR(IF(A346="","",R346/H346),"")</f>
        <v/>
      </c>
      <c r="U346" s="29">
        <f>IFERROR(IF(A346="","",'Assumptions'!$B$5),"")</f>
        <v/>
      </c>
      <c r="V346" s="29">
        <f>IFERROR(IF(A346="","",T346-U346),"")</f>
        <v/>
      </c>
      <c r="W346" s="50" t="n"/>
      <c r="X346" s="50" t="n"/>
      <c r="Y346" s="51">
        <f>IFERROR(IF(A346="","",IF(X346&lt;&gt;"",X346,IF(W346&lt;&gt;"",W346,'Assumptions'!$B$8))),"")</f>
        <v/>
      </c>
      <c r="Z346" s="51">
        <f>IFERROR(IF(A346="","",R346*Y346),"")</f>
        <v/>
      </c>
      <c r="AA346" s="51">
        <f>IFERROR(IF(A346="","",Z346/H346),"")</f>
        <v/>
      </c>
      <c r="AB346" s="32" t="n"/>
      <c r="AC346" s="52" t="n"/>
      <c r="AD346" s="29">
        <f>IFERROR(IF(OR(A346="",AB346=""),"",AB346/H346),"")</f>
        <v/>
      </c>
      <c r="AE346" s="51">
        <f>IFERROR(IF(OR(A346="",AB346="",AC346=""),"",AB346*AC346),"")</f>
        <v/>
      </c>
      <c r="AF346" s="28">
        <f>IFERROR(IF(OR(A346="",AB346=""),"",AB346-R346),"")</f>
        <v/>
      </c>
      <c r="AG346" s="29">
        <f>IFERROR(IF(OR(A346="",AB346=""),"",IF(AD346-T346&lt;0,T346-AD346,AD346-T346)),"")</f>
        <v/>
      </c>
      <c r="AH346" s="51">
        <f>IFERROR(IF(OR(A346="",AE346=""),"",AE346-Z346),"")</f>
        <v/>
      </c>
      <c r="AI346" s="25">
        <f>IFERROR(IF(A346="","",IF(G346&gt;F346,"Check out-of-order rooms",IF(K346&gt;H346,"On the books exceeds sellable rooms",IF(R346&gt;H346,"Forecast exceeds sellable rooms",IF(AND(A346&lt;TODAY(),AB346=""),"Actual results missing","OK"))))),"")</f>
        <v/>
      </c>
    </row>
    <row r="347">
      <c r="A347" s="24" t="n"/>
      <c r="B347" s="25">
        <f>IFERROR(IF(A347="","",VLOOKUP(MOD(A347,7),'Assumptions'!$E$16:$F$22,2,0)),"")</f>
        <v/>
      </c>
      <c r="C347" s="25">
        <f>IFERROR(IF(A347="","",IF(A347&lt;TODAY(),"Past",IF(A347=TODAY(),"Today","Future"))),"")</f>
        <v/>
      </c>
      <c r="D347" s="26" t="n"/>
      <c r="E347" s="26" t="n"/>
      <c r="F347" s="27" t="n"/>
      <c r="G347" s="27" t="n"/>
      <c r="H347" s="28">
        <f>IFERROR(IF(A347="","",MAX(0,F347-G347)),"")</f>
        <v/>
      </c>
      <c r="I347" s="27" t="n"/>
      <c r="J347" s="27" t="n"/>
      <c r="K347" s="28">
        <f>IFERROR(IF(A347="","",I347+J347),"")</f>
        <v/>
      </c>
      <c r="L347" s="29">
        <f>IFERROR(IF(A347="","",K347/H347),"")</f>
        <v/>
      </c>
      <c r="M347" s="29">
        <f>IFERROR(IF(A347="","",VLOOKUP(B347,'Assumptions'!$A$16:$B$22,2,0)),"")</f>
        <v/>
      </c>
      <c r="N347" s="27" t="n"/>
      <c r="O347" s="27" t="n"/>
      <c r="P347" s="27" t="n"/>
      <c r="Q347" s="28">
        <f>IFERROR(IF(A347="","",MIN(H347,MAX(0,K347,ROUND(H347*M347,0)+N347+O347))),"")</f>
        <v/>
      </c>
      <c r="R347" s="28">
        <f>IFERROR(IF(A347="","",MIN(H347,MAX(0,IF(P347="",Q347,P347)))),"")</f>
        <v/>
      </c>
      <c r="S347" s="28">
        <f>IFERROR(IF(A347="","",MAX(0,R347-K347)),"")</f>
        <v/>
      </c>
      <c r="T347" s="29">
        <f>IFERROR(IF(A347="","",R347/H347),"")</f>
        <v/>
      </c>
      <c r="U347" s="29">
        <f>IFERROR(IF(A347="","",'Assumptions'!$B$5),"")</f>
        <v/>
      </c>
      <c r="V347" s="29">
        <f>IFERROR(IF(A347="","",T347-U347),"")</f>
        <v/>
      </c>
      <c r="W347" s="50" t="n"/>
      <c r="X347" s="50" t="n"/>
      <c r="Y347" s="51">
        <f>IFERROR(IF(A347="","",IF(X347&lt;&gt;"",X347,IF(W347&lt;&gt;"",W347,'Assumptions'!$B$8))),"")</f>
        <v/>
      </c>
      <c r="Z347" s="51">
        <f>IFERROR(IF(A347="","",R347*Y347),"")</f>
        <v/>
      </c>
      <c r="AA347" s="51">
        <f>IFERROR(IF(A347="","",Z347/H347),"")</f>
        <v/>
      </c>
      <c r="AB347" s="32" t="n"/>
      <c r="AC347" s="52" t="n"/>
      <c r="AD347" s="29">
        <f>IFERROR(IF(OR(A347="",AB347=""),"",AB347/H347),"")</f>
        <v/>
      </c>
      <c r="AE347" s="51">
        <f>IFERROR(IF(OR(A347="",AB347="",AC347=""),"",AB347*AC347),"")</f>
        <v/>
      </c>
      <c r="AF347" s="28">
        <f>IFERROR(IF(OR(A347="",AB347=""),"",AB347-R347),"")</f>
        <v/>
      </c>
      <c r="AG347" s="29">
        <f>IFERROR(IF(OR(A347="",AB347=""),"",IF(AD347-T347&lt;0,T347-AD347,AD347-T347)),"")</f>
        <v/>
      </c>
      <c r="AH347" s="51">
        <f>IFERROR(IF(OR(A347="",AE347=""),"",AE347-Z347),"")</f>
        <v/>
      </c>
      <c r="AI347" s="25">
        <f>IFERROR(IF(A347="","",IF(G347&gt;F347,"Check out-of-order rooms",IF(K347&gt;H347,"On the books exceeds sellable rooms",IF(R347&gt;H347,"Forecast exceeds sellable rooms",IF(AND(A347&lt;TODAY(),AB347=""),"Actual results missing","OK"))))),"")</f>
        <v/>
      </c>
    </row>
    <row r="348">
      <c r="A348" s="24" t="n"/>
      <c r="B348" s="25">
        <f>IFERROR(IF(A348="","",VLOOKUP(MOD(A348,7),'Assumptions'!$E$16:$F$22,2,0)),"")</f>
        <v/>
      </c>
      <c r="C348" s="25">
        <f>IFERROR(IF(A348="","",IF(A348&lt;TODAY(),"Past",IF(A348=TODAY(),"Today","Future"))),"")</f>
        <v/>
      </c>
      <c r="D348" s="26" t="n"/>
      <c r="E348" s="26" t="n"/>
      <c r="F348" s="27" t="n"/>
      <c r="G348" s="27" t="n"/>
      <c r="H348" s="28">
        <f>IFERROR(IF(A348="","",MAX(0,F348-G348)),"")</f>
        <v/>
      </c>
      <c r="I348" s="27" t="n"/>
      <c r="J348" s="27" t="n"/>
      <c r="K348" s="28">
        <f>IFERROR(IF(A348="","",I348+J348),"")</f>
        <v/>
      </c>
      <c r="L348" s="29">
        <f>IFERROR(IF(A348="","",K348/H348),"")</f>
        <v/>
      </c>
      <c r="M348" s="29">
        <f>IFERROR(IF(A348="","",VLOOKUP(B348,'Assumptions'!$A$16:$B$22,2,0)),"")</f>
        <v/>
      </c>
      <c r="N348" s="27" t="n"/>
      <c r="O348" s="27" t="n"/>
      <c r="P348" s="27" t="n"/>
      <c r="Q348" s="28">
        <f>IFERROR(IF(A348="","",MIN(H348,MAX(0,K348,ROUND(H348*M348,0)+N348+O348))),"")</f>
        <v/>
      </c>
      <c r="R348" s="28">
        <f>IFERROR(IF(A348="","",MIN(H348,MAX(0,IF(P348="",Q348,P348)))),"")</f>
        <v/>
      </c>
      <c r="S348" s="28">
        <f>IFERROR(IF(A348="","",MAX(0,R348-K348)),"")</f>
        <v/>
      </c>
      <c r="T348" s="29">
        <f>IFERROR(IF(A348="","",R348/H348),"")</f>
        <v/>
      </c>
      <c r="U348" s="29">
        <f>IFERROR(IF(A348="","",'Assumptions'!$B$5),"")</f>
        <v/>
      </c>
      <c r="V348" s="29">
        <f>IFERROR(IF(A348="","",T348-U348),"")</f>
        <v/>
      </c>
      <c r="W348" s="50" t="n"/>
      <c r="X348" s="50" t="n"/>
      <c r="Y348" s="51">
        <f>IFERROR(IF(A348="","",IF(X348&lt;&gt;"",X348,IF(W348&lt;&gt;"",W348,'Assumptions'!$B$8))),"")</f>
        <v/>
      </c>
      <c r="Z348" s="51">
        <f>IFERROR(IF(A348="","",R348*Y348),"")</f>
        <v/>
      </c>
      <c r="AA348" s="51">
        <f>IFERROR(IF(A348="","",Z348/H348),"")</f>
        <v/>
      </c>
      <c r="AB348" s="32" t="n"/>
      <c r="AC348" s="52" t="n"/>
      <c r="AD348" s="29">
        <f>IFERROR(IF(OR(A348="",AB348=""),"",AB348/H348),"")</f>
        <v/>
      </c>
      <c r="AE348" s="51">
        <f>IFERROR(IF(OR(A348="",AB348="",AC348=""),"",AB348*AC348),"")</f>
        <v/>
      </c>
      <c r="AF348" s="28">
        <f>IFERROR(IF(OR(A348="",AB348=""),"",AB348-R348),"")</f>
        <v/>
      </c>
      <c r="AG348" s="29">
        <f>IFERROR(IF(OR(A348="",AB348=""),"",IF(AD348-T348&lt;0,T348-AD348,AD348-T348)),"")</f>
        <v/>
      </c>
      <c r="AH348" s="51">
        <f>IFERROR(IF(OR(A348="",AE348=""),"",AE348-Z348),"")</f>
        <v/>
      </c>
      <c r="AI348" s="25">
        <f>IFERROR(IF(A348="","",IF(G348&gt;F348,"Check out-of-order rooms",IF(K348&gt;H348,"On the books exceeds sellable rooms",IF(R348&gt;H348,"Forecast exceeds sellable rooms",IF(AND(A348&lt;TODAY(),AB348=""),"Actual results missing","OK"))))),"")</f>
        <v/>
      </c>
    </row>
    <row r="349">
      <c r="A349" s="24" t="n"/>
      <c r="B349" s="25">
        <f>IFERROR(IF(A349="","",VLOOKUP(MOD(A349,7),'Assumptions'!$E$16:$F$22,2,0)),"")</f>
        <v/>
      </c>
      <c r="C349" s="25">
        <f>IFERROR(IF(A349="","",IF(A349&lt;TODAY(),"Past",IF(A349=TODAY(),"Today","Future"))),"")</f>
        <v/>
      </c>
      <c r="D349" s="26" t="n"/>
      <c r="E349" s="26" t="n"/>
      <c r="F349" s="27" t="n"/>
      <c r="G349" s="27" t="n"/>
      <c r="H349" s="28">
        <f>IFERROR(IF(A349="","",MAX(0,F349-G349)),"")</f>
        <v/>
      </c>
      <c r="I349" s="27" t="n"/>
      <c r="J349" s="27" t="n"/>
      <c r="K349" s="28">
        <f>IFERROR(IF(A349="","",I349+J349),"")</f>
        <v/>
      </c>
      <c r="L349" s="29">
        <f>IFERROR(IF(A349="","",K349/H349),"")</f>
        <v/>
      </c>
      <c r="M349" s="29">
        <f>IFERROR(IF(A349="","",VLOOKUP(B349,'Assumptions'!$A$16:$B$22,2,0)),"")</f>
        <v/>
      </c>
      <c r="N349" s="27" t="n"/>
      <c r="O349" s="27" t="n"/>
      <c r="P349" s="27" t="n"/>
      <c r="Q349" s="28">
        <f>IFERROR(IF(A349="","",MIN(H349,MAX(0,K349,ROUND(H349*M349,0)+N349+O349))),"")</f>
        <v/>
      </c>
      <c r="R349" s="28">
        <f>IFERROR(IF(A349="","",MIN(H349,MAX(0,IF(P349="",Q349,P349)))),"")</f>
        <v/>
      </c>
      <c r="S349" s="28">
        <f>IFERROR(IF(A349="","",MAX(0,R349-K349)),"")</f>
        <v/>
      </c>
      <c r="T349" s="29">
        <f>IFERROR(IF(A349="","",R349/H349),"")</f>
        <v/>
      </c>
      <c r="U349" s="29">
        <f>IFERROR(IF(A349="","",'Assumptions'!$B$5),"")</f>
        <v/>
      </c>
      <c r="V349" s="29">
        <f>IFERROR(IF(A349="","",T349-U349),"")</f>
        <v/>
      </c>
      <c r="W349" s="50" t="n"/>
      <c r="X349" s="50" t="n"/>
      <c r="Y349" s="51">
        <f>IFERROR(IF(A349="","",IF(X349&lt;&gt;"",X349,IF(W349&lt;&gt;"",W349,'Assumptions'!$B$8))),"")</f>
        <v/>
      </c>
      <c r="Z349" s="51">
        <f>IFERROR(IF(A349="","",R349*Y349),"")</f>
        <v/>
      </c>
      <c r="AA349" s="51">
        <f>IFERROR(IF(A349="","",Z349/H349),"")</f>
        <v/>
      </c>
      <c r="AB349" s="32" t="n"/>
      <c r="AC349" s="52" t="n"/>
      <c r="AD349" s="29">
        <f>IFERROR(IF(OR(A349="",AB349=""),"",AB349/H349),"")</f>
        <v/>
      </c>
      <c r="AE349" s="51">
        <f>IFERROR(IF(OR(A349="",AB349="",AC349=""),"",AB349*AC349),"")</f>
        <v/>
      </c>
      <c r="AF349" s="28">
        <f>IFERROR(IF(OR(A349="",AB349=""),"",AB349-R349),"")</f>
        <v/>
      </c>
      <c r="AG349" s="29">
        <f>IFERROR(IF(OR(A349="",AB349=""),"",IF(AD349-T349&lt;0,T349-AD349,AD349-T349)),"")</f>
        <v/>
      </c>
      <c r="AH349" s="51">
        <f>IFERROR(IF(OR(A349="",AE349=""),"",AE349-Z349),"")</f>
        <v/>
      </c>
      <c r="AI349" s="25">
        <f>IFERROR(IF(A349="","",IF(G349&gt;F349,"Check out-of-order rooms",IF(K349&gt;H349,"On the books exceeds sellable rooms",IF(R349&gt;H349,"Forecast exceeds sellable rooms",IF(AND(A349&lt;TODAY(),AB349=""),"Actual results missing","OK"))))),"")</f>
        <v/>
      </c>
    </row>
    <row r="350">
      <c r="A350" s="24" t="n"/>
      <c r="B350" s="25">
        <f>IFERROR(IF(A350="","",VLOOKUP(MOD(A350,7),'Assumptions'!$E$16:$F$22,2,0)),"")</f>
        <v/>
      </c>
      <c r="C350" s="25">
        <f>IFERROR(IF(A350="","",IF(A350&lt;TODAY(),"Past",IF(A350=TODAY(),"Today","Future"))),"")</f>
        <v/>
      </c>
      <c r="D350" s="26" t="n"/>
      <c r="E350" s="26" t="n"/>
      <c r="F350" s="27" t="n"/>
      <c r="G350" s="27" t="n"/>
      <c r="H350" s="28">
        <f>IFERROR(IF(A350="","",MAX(0,F350-G350)),"")</f>
        <v/>
      </c>
      <c r="I350" s="27" t="n"/>
      <c r="J350" s="27" t="n"/>
      <c r="K350" s="28">
        <f>IFERROR(IF(A350="","",I350+J350),"")</f>
        <v/>
      </c>
      <c r="L350" s="29">
        <f>IFERROR(IF(A350="","",K350/H350),"")</f>
        <v/>
      </c>
      <c r="M350" s="29">
        <f>IFERROR(IF(A350="","",VLOOKUP(B350,'Assumptions'!$A$16:$B$22,2,0)),"")</f>
        <v/>
      </c>
      <c r="N350" s="27" t="n"/>
      <c r="O350" s="27" t="n"/>
      <c r="P350" s="27" t="n"/>
      <c r="Q350" s="28">
        <f>IFERROR(IF(A350="","",MIN(H350,MAX(0,K350,ROUND(H350*M350,0)+N350+O350))),"")</f>
        <v/>
      </c>
      <c r="R350" s="28">
        <f>IFERROR(IF(A350="","",MIN(H350,MAX(0,IF(P350="",Q350,P350)))),"")</f>
        <v/>
      </c>
      <c r="S350" s="28">
        <f>IFERROR(IF(A350="","",MAX(0,R350-K350)),"")</f>
        <v/>
      </c>
      <c r="T350" s="29">
        <f>IFERROR(IF(A350="","",R350/H350),"")</f>
        <v/>
      </c>
      <c r="U350" s="29">
        <f>IFERROR(IF(A350="","",'Assumptions'!$B$5),"")</f>
        <v/>
      </c>
      <c r="V350" s="29">
        <f>IFERROR(IF(A350="","",T350-U350),"")</f>
        <v/>
      </c>
      <c r="W350" s="50" t="n"/>
      <c r="X350" s="50" t="n"/>
      <c r="Y350" s="51">
        <f>IFERROR(IF(A350="","",IF(X350&lt;&gt;"",X350,IF(W350&lt;&gt;"",W350,'Assumptions'!$B$8))),"")</f>
        <v/>
      </c>
      <c r="Z350" s="51">
        <f>IFERROR(IF(A350="","",R350*Y350),"")</f>
        <v/>
      </c>
      <c r="AA350" s="51">
        <f>IFERROR(IF(A350="","",Z350/H350),"")</f>
        <v/>
      </c>
      <c r="AB350" s="32" t="n"/>
      <c r="AC350" s="52" t="n"/>
      <c r="AD350" s="29">
        <f>IFERROR(IF(OR(A350="",AB350=""),"",AB350/H350),"")</f>
        <v/>
      </c>
      <c r="AE350" s="51">
        <f>IFERROR(IF(OR(A350="",AB350="",AC350=""),"",AB350*AC350),"")</f>
        <v/>
      </c>
      <c r="AF350" s="28">
        <f>IFERROR(IF(OR(A350="",AB350=""),"",AB350-R350),"")</f>
        <v/>
      </c>
      <c r="AG350" s="29">
        <f>IFERROR(IF(OR(A350="",AB350=""),"",IF(AD350-T350&lt;0,T350-AD350,AD350-T350)),"")</f>
        <v/>
      </c>
      <c r="AH350" s="51">
        <f>IFERROR(IF(OR(A350="",AE350=""),"",AE350-Z350),"")</f>
        <v/>
      </c>
      <c r="AI350" s="25">
        <f>IFERROR(IF(A350="","",IF(G350&gt;F350,"Check out-of-order rooms",IF(K350&gt;H350,"On the books exceeds sellable rooms",IF(R350&gt;H350,"Forecast exceeds sellable rooms",IF(AND(A350&lt;TODAY(),AB350=""),"Actual results missing","OK"))))),"")</f>
        <v/>
      </c>
    </row>
    <row r="351">
      <c r="A351" s="24" t="n"/>
      <c r="B351" s="25">
        <f>IFERROR(IF(A351="","",VLOOKUP(MOD(A351,7),'Assumptions'!$E$16:$F$22,2,0)),"")</f>
        <v/>
      </c>
      <c r="C351" s="25">
        <f>IFERROR(IF(A351="","",IF(A351&lt;TODAY(),"Past",IF(A351=TODAY(),"Today","Future"))),"")</f>
        <v/>
      </c>
      <c r="D351" s="26" t="n"/>
      <c r="E351" s="26" t="n"/>
      <c r="F351" s="27" t="n"/>
      <c r="G351" s="27" t="n"/>
      <c r="H351" s="28">
        <f>IFERROR(IF(A351="","",MAX(0,F351-G351)),"")</f>
        <v/>
      </c>
      <c r="I351" s="27" t="n"/>
      <c r="J351" s="27" t="n"/>
      <c r="K351" s="28">
        <f>IFERROR(IF(A351="","",I351+J351),"")</f>
        <v/>
      </c>
      <c r="L351" s="29">
        <f>IFERROR(IF(A351="","",K351/H351),"")</f>
        <v/>
      </c>
      <c r="M351" s="29">
        <f>IFERROR(IF(A351="","",VLOOKUP(B351,'Assumptions'!$A$16:$B$22,2,0)),"")</f>
        <v/>
      </c>
      <c r="N351" s="27" t="n"/>
      <c r="O351" s="27" t="n"/>
      <c r="P351" s="27" t="n"/>
      <c r="Q351" s="28">
        <f>IFERROR(IF(A351="","",MIN(H351,MAX(0,K351,ROUND(H351*M351,0)+N351+O351))),"")</f>
        <v/>
      </c>
      <c r="R351" s="28">
        <f>IFERROR(IF(A351="","",MIN(H351,MAX(0,IF(P351="",Q351,P351)))),"")</f>
        <v/>
      </c>
      <c r="S351" s="28">
        <f>IFERROR(IF(A351="","",MAX(0,R351-K351)),"")</f>
        <v/>
      </c>
      <c r="T351" s="29">
        <f>IFERROR(IF(A351="","",R351/H351),"")</f>
        <v/>
      </c>
      <c r="U351" s="29">
        <f>IFERROR(IF(A351="","",'Assumptions'!$B$5),"")</f>
        <v/>
      </c>
      <c r="V351" s="29">
        <f>IFERROR(IF(A351="","",T351-U351),"")</f>
        <v/>
      </c>
      <c r="W351" s="50" t="n"/>
      <c r="X351" s="50" t="n"/>
      <c r="Y351" s="51">
        <f>IFERROR(IF(A351="","",IF(X351&lt;&gt;"",X351,IF(W351&lt;&gt;"",W351,'Assumptions'!$B$8))),"")</f>
        <v/>
      </c>
      <c r="Z351" s="51">
        <f>IFERROR(IF(A351="","",R351*Y351),"")</f>
        <v/>
      </c>
      <c r="AA351" s="51">
        <f>IFERROR(IF(A351="","",Z351/H351),"")</f>
        <v/>
      </c>
      <c r="AB351" s="32" t="n"/>
      <c r="AC351" s="52" t="n"/>
      <c r="AD351" s="29">
        <f>IFERROR(IF(OR(A351="",AB351=""),"",AB351/H351),"")</f>
        <v/>
      </c>
      <c r="AE351" s="51">
        <f>IFERROR(IF(OR(A351="",AB351="",AC351=""),"",AB351*AC351),"")</f>
        <v/>
      </c>
      <c r="AF351" s="28">
        <f>IFERROR(IF(OR(A351="",AB351=""),"",AB351-R351),"")</f>
        <v/>
      </c>
      <c r="AG351" s="29">
        <f>IFERROR(IF(OR(A351="",AB351=""),"",IF(AD351-T351&lt;0,T351-AD351,AD351-T351)),"")</f>
        <v/>
      </c>
      <c r="AH351" s="51">
        <f>IFERROR(IF(OR(A351="",AE351=""),"",AE351-Z351),"")</f>
        <v/>
      </c>
      <c r="AI351" s="25">
        <f>IFERROR(IF(A351="","",IF(G351&gt;F351,"Check out-of-order rooms",IF(K351&gt;H351,"On the books exceeds sellable rooms",IF(R351&gt;H351,"Forecast exceeds sellable rooms",IF(AND(A351&lt;TODAY(),AB351=""),"Actual results missing","OK"))))),"")</f>
        <v/>
      </c>
    </row>
    <row r="352">
      <c r="A352" s="24" t="n"/>
      <c r="B352" s="25">
        <f>IFERROR(IF(A352="","",VLOOKUP(MOD(A352,7),'Assumptions'!$E$16:$F$22,2,0)),"")</f>
        <v/>
      </c>
      <c r="C352" s="25">
        <f>IFERROR(IF(A352="","",IF(A352&lt;TODAY(),"Past",IF(A352=TODAY(),"Today","Future"))),"")</f>
        <v/>
      </c>
      <c r="D352" s="26" t="n"/>
      <c r="E352" s="26" t="n"/>
      <c r="F352" s="27" t="n"/>
      <c r="G352" s="27" t="n"/>
      <c r="H352" s="28">
        <f>IFERROR(IF(A352="","",MAX(0,F352-G352)),"")</f>
        <v/>
      </c>
      <c r="I352" s="27" t="n"/>
      <c r="J352" s="27" t="n"/>
      <c r="K352" s="28">
        <f>IFERROR(IF(A352="","",I352+J352),"")</f>
        <v/>
      </c>
      <c r="L352" s="29">
        <f>IFERROR(IF(A352="","",K352/H352),"")</f>
        <v/>
      </c>
      <c r="M352" s="29">
        <f>IFERROR(IF(A352="","",VLOOKUP(B352,'Assumptions'!$A$16:$B$22,2,0)),"")</f>
        <v/>
      </c>
      <c r="N352" s="27" t="n"/>
      <c r="O352" s="27" t="n"/>
      <c r="P352" s="27" t="n"/>
      <c r="Q352" s="28">
        <f>IFERROR(IF(A352="","",MIN(H352,MAX(0,K352,ROUND(H352*M352,0)+N352+O352))),"")</f>
        <v/>
      </c>
      <c r="R352" s="28">
        <f>IFERROR(IF(A352="","",MIN(H352,MAX(0,IF(P352="",Q352,P352)))),"")</f>
        <v/>
      </c>
      <c r="S352" s="28">
        <f>IFERROR(IF(A352="","",MAX(0,R352-K352)),"")</f>
        <v/>
      </c>
      <c r="T352" s="29">
        <f>IFERROR(IF(A352="","",R352/H352),"")</f>
        <v/>
      </c>
      <c r="U352" s="29">
        <f>IFERROR(IF(A352="","",'Assumptions'!$B$5),"")</f>
        <v/>
      </c>
      <c r="V352" s="29">
        <f>IFERROR(IF(A352="","",T352-U352),"")</f>
        <v/>
      </c>
      <c r="W352" s="50" t="n"/>
      <c r="X352" s="50" t="n"/>
      <c r="Y352" s="51">
        <f>IFERROR(IF(A352="","",IF(X352&lt;&gt;"",X352,IF(W352&lt;&gt;"",W352,'Assumptions'!$B$8))),"")</f>
        <v/>
      </c>
      <c r="Z352" s="51">
        <f>IFERROR(IF(A352="","",R352*Y352),"")</f>
        <v/>
      </c>
      <c r="AA352" s="51">
        <f>IFERROR(IF(A352="","",Z352/H352),"")</f>
        <v/>
      </c>
      <c r="AB352" s="32" t="n"/>
      <c r="AC352" s="52" t="n"/>
      <c r="AD352" s="29">
        <f>IFERROR(IF(OR(A352="",AB352=""),"",AB352/H352),"")</f>
        <v/>
      </c>
      <c r="AE352" s="51">
        <f>IFERROR(IF(OR(A352="",AB352="",AC352=""),"",AB352*AC352),"")</f>
        <v/>
      </c>
      <c r="AF352" s="28">
        <f>IFERROR(IF(OR(A352="",AB352=""),"",AB352-R352),"")</f>
        <v/>
      </c>
      <c r="AG352" s="29">
        <f>IFERROR(IF(OR(A352="",AB352=""),"",IF(AD352-T352&lt;0,T352-AD352,AD352-T352)),"")</f>
        <v/>
      </c>
      <c r="AH352" s="51">
        <f>IFERROR(IF(OR(A352="",AE352=""),"",AE352-Z352),"")</f>
        <v/>
      </c>
      <c r="AI352" s="25">
        <f>IFERROR(IF(A352="","",IF(G352&gt;F352,"Check out-of-order rooms",IF(K352&gt;H352,"On the books exceeds sellable rooms",IF(R352&gt;H352,"Forecast exceeds sellable rooms",IF(AND(A352&lt;TODAY(),AB352=""),"Actual results missing","OK"))))),"")</f>
        <v/>
      </c>
    </row>
    <row r="353">
      <c r="A353" s="24" t="n"/>
      <c r="B353" s="25">
        <f>IFERROR(IF(A353="","",VLOOKUP(MOD(A353,7),'Assumptions'!$E$16:$F$22,2,0)),"")</f>
        <v/>
      </c>
      <c r="C353" s="25">
        <f>IFERROR(IF(A353="","",IF(A353&lt;TODAY(),"Past",IF(A353=TODAY(),"Today","Future"))),"")</f>
        <v/>
      </c>
      <c r="D353" s="26" t="n"/>
      <c r="E353" s="26" t="n"/>
      <c r="F353" s="27" t="n"/>
      <c r="G353" s="27" t="n"/>
      <c r="H353" s="28">
        <f>IFERROR(IF(A353="","",MAX(0,F353-G353)),"")</f>
        <v/>
      </c>
      <c r="I353" s="27" t="n"/>
      <c r="J353" s="27" t="n"/>
      <c r="K353" s="28">
        <f>IFERROR(IF(A353="","",I353+J353),"")</f>
        <v/>
      </c>
      <c r="L353" s="29">
        <f>IFERROR(IF(A353="","",K353/H353),"")</f>
        <v/>
      </c>
      <c r="M353" s="29">
        <f>IFERROR(IF(A353="","",VLOOKUP(B353,'Assumptions'!$A$16:$B$22,2,0)),"")</f>
        <v/>
      </c>
      <c r="N353" s="27" t="n"/>
      <c r="O353" s="27" t="n"/>
      <c r="P353" s="27" t="n"/>
      <c r="Q353" s="28">
        <f>IFERROR(IF(A353="","",MIN(H353,MAX(0,K353,ROUND(H353*M353,0)+N353+O353))),"")</f>
        <v/>
      </c>
      <c r="R353" s="28">
        <f>IFERROR(IF(A353="","",MIN(H353,MAX(0,IF(P353="",Q353,P353)))),"")</f>
        <v/>
      </c>
      <c r="S353" s="28">
        <f>IFERROR(IF(A353="","",MAX(0,R353-K353)),"")</f>
        <v/>
      </c>
      <c r="T353" s="29">
        <f>IFERROR(IF(A353="","",R353/H353),"")</f>
        <v/>
      </c>
      <c r="U353" s="29">
        <f>IFERROR(IF(A353="","",'Assumptions'!$B$5),"")</f>
        <v/>
      </c>
      <c r="V353" s="29">
        <f>IFERROR(IF(A353="","",T353-U353),"")</f>
        <v/>
      </c>
      <c r="W353" s="50" t="n"/>
      <c r="X353" s="50" t="n"/>
      <c r="Y353" s="51">
        <f>IFERROR(IF(A353="","",IF(X353&lt;&gt;"",X353,IF(W353&lt;&gt;"",W353,'Assumptions'!$B$8))),"")</f>
        <v/>
      </c>
      <c r="Z353" s="51">
        <f>IFERROR(IF(A353="","",R353*Y353),"")</f>
        <v/>
      </c>
      <c r="AA353" s="51">
        <f>IFERROR(IF(A353="","",Z353/H353),"")</f>
        <v/>
      </c>
      <c r="AB353" s="32" t="n"/>
      <c r="AC353" s="52" t="n"/>
      <c r="AD353" s="29">
        <f>IFERROR(IF(OR(A353="",AB353=""),"",AB353/H353),"")</f>
        <v/>
      </c>
      <c r="AE353" s="51">
        <f>IFERROR(IF(OR(A353="",AB353="",AC353=""),"",AB353*AC353),"")</f>
        <v/>
      </c>
      <c r="AF353" s="28">
        <f>IFERROR(IF(OR(A353="",AB353=""),"",AB353-R353),"")</f>
        <v/>
      </c>
      <c r="AG353" s="29">
        <f>IFERROR(IF(OR(A353="",AB353=""),"",IF(AD353-T353&lt;0,T353-AD353,AD353-T353)),"")</f>
        <v/>
      </c>
      <c r="AH353" s="51">
        <f>IFERROR(IF(OR(A353="",AE353=""),"",AE353-Z353),"")</f>
        <v/>
      </c>
      <c r="AI353" s="25">
        <f>IFERROR(IF(A353="","",IF(G353&gt;F353,"Check out-of-order rooms",IF(K353&gt;H353,"On the books exceeds sellable rooms",IF(R353&gt;H353,"Forecast exceeds sellable rooms",IF(AND(A353&lt;TODAY(),AB353=""),"Actual results missing","OK"))))),"")</f>
        <v/>
      </c>
    </row>
    <row r="354">
      <c r="A354" s="24" t="n"/>
      <c r="B354" s="25">
        <f>IFERROR(IF(A354="","",VLOOKUP(MOD(A354,7),'Assumptions'!$E$16:$F$22,2,0)),"")</f>
        <v/>
      </c>
      <c r="C354" s="25">
        <f>IFERROR(IF(A354="","",IF(A354&lt;TODAY(),"Past",IF(A354=TODAY(),"Today","Future"))),"")</f>
        <v/>
      </c>
      <c r="D354" s="26" t="n"/>
      <c r="E354" s="26" t="n"/>
      <c r="F354" s="27" t="n"/>
      <c r="G354" s="27" t="n"/>
      <c r="H354" s="28">
        <f>IFERROR(IF(A354="","",MAX(0,F354-G354)),"")</f>
        <v/>
      </c>
      <c r="I354" s="27" t="n"/>
      <c r="J354" s="27" t="n"/>
      <c r="K354" s="28">
        <f>IFERROR(IF(A354="","",I354+J354),"")</f>
        <v/>
      </c>
      <c r="L354" s="29">
        <f>IFERROR(IF(A354="","",K354/H354),"")</f>
        <v/>
      </c>
      <c r="M354" s="29">
        <f>IFERROR(IF(A354="","",VLOOKUP(B354,'Assumptions'!$A$16:$B$22,2,0)),"")</f>
        <v/>
      </c>
      <c r="N354" s="27" t="n"/>
      <c r="O354" s="27" t="n"/>
      <c r="P354" s="27" t="n"/>
      <c r="Q354" s="28">
        <f>IFERROR(IF(A354="","",MIN(H354,MAX(0,K354,ROUND(H354*M354,0)+N354+O354))),"")</f>
        <v/>
      </c>
      <c r="R354" s="28">
        <f>IFERROR(IF(A354="","",MIN(H354,MAX(0,IF(P354="",Q354,P354)))),"")</f>
        <v/>
      </c>
      <c r="S354" s="28">
        <f>IFERROR(IF(A354="","",MAX(0,R354-K354)),"")</f>
        <v/>
      </c>
      <c r="T354" s="29">
        <f>IFERROR(IF(A354="","",R354/H354),"")</f>
        <v/>
      </c>
      <c r="U354" s="29">
        <f>IFERROR(IF(A354="","",'Assumptions'!$B$5),"")</f>
        <v/>
      </c>
      <c r="V354" s="29">
        <f>IFERROR(IF(A354="","",T354-U354),"")</f>
        <v/>
      </c>
      <c r="W354" s="50" t="n"/>
      <c r="X354" s="50" t="n"/>
      <c r="Y354" s="51">
        <f>IFERROR(IF(A354="","",IF(X354&lt;&gt;"",X354,IF(W354&lt;&gt;"",W354,'Assumptions'!$B$8))),"")</f>
        <v/>
      </c>
      <c r="Z354" s="51">
        <f>IFERROR(IF(A354="","",R354*Y354),"")</f>
        <v/>
      </c>
      <c r="AA354" s="51">
        <f>IFERROR(IF(A354="","",Z354/H354),"")</f>
        <v/>
      </c>
      <c r="AB354" s="32" t="n"/>
      <c r="AC354" s="52" t="n"/>
      <c r="AD354" s="29">
        <f>IFERROR(IF(OR(A354="",AB354=""),"",AB354/H354),"")</f>
        <v/>
      </c>
      <c r="AE354" s="51">
        <f>IFERROR(IF(OR(A354="",AB354="",AC354=""),"",AB354*AC354),"")</f>
        <v/>
      </c>
      <c r="AF354" s="28">
        <f>IFERROR(IF(OR(A354="",AB354=""),"",AB354-R354),"")</f>
        <v/>
      </c>
      <c r="AG354" s="29">
        <f>IFERROR(IF(OR(A354="",AB354=""),"",IF(AD354-T354&lt;0,T354-AD354,AD354-T354)),"")</f>
        <v/>
      </c>
      <c r="AH354" s="51">
        <f>IFERROR(IF(OR(A354="",AE354=""),"",AE354-Z354),"")</f>
        <v/>
      </c>
      <c r="AI354" s="25">
        <f>IFERROR(IF(A354="","",IF(G354&gt;F354,"Check out-of-order rooms",IF(K354&gt;H354,"On the books exceeds sellable rooms",IF(R354&gt;H354,"Forecast exceeds sellable rooms",IF(AND(A354&lt;TODAY(),AB354=""),"Actual results missing","OK"))))),"")</f>
        <v/>
      </c>
    </row>
    <row r="355">
      <c r="A355" s="24" t="n"/>
      <c r="B355" s="25">
        <f>IFERROR(IF(A355="","",VLOOKUP(MOD(A355,7),'Assumptions'!$E$16:$F$22,2,0)),"")</f>
        <v/>
      </c>
      <c r="C355" s="25">
        <f>IFERROR(IF(A355="","",IF(A355&lt;TODAY(),"Past",IF(A355=TODAY(),"Today","Future"))),"")</f>
        <v/>
      </c>
      <c r="D355" s="26" t="n"/>
      <c r="E355" s="26" t="n"/>
      <c r="F355" s="27" t="n"/>
      <c r="G355" s="27" t="n"/>
      <c r="H355" s="28">
        <f>IFERROR(IF(A355="","",MAX(0,F355-G355)),"")</f>
        <v/>
      </c>
      <c r="I355" s="27" t="n"/>
      <c r="J355" s="27" t="n"/>
      <c r="K355" s="28">
        <f>IFERROR(IF(A355="","",I355+J355),"")</f>
        <v/>
      </c>
      <c r="L355" s="29">
        <f>IFERROR(IF(A355="","",K355/H355),"")</f>
        <v/>
      </c>
      <c r="M355" s="29">
        <f>IFERROR(IF(A355="","",VLOOKUP(B355,'Assumptions'!$A$16:$B$22,2,0)),"")</f>
        <v/>
      </c>
      <c r="N355" s="27" t="n"/>
      <c r="O355" s="27" t="n"/>
      <c r="P355" s="27" t="n"/>
      <c r="Q355" s="28">
        <f>IFERROR(IF(A355="","",MIN(H355,MAX(0,K355,ROUND(H355*M355,0)+N355+O355))),"")</f>
        <v/>
      </c>
      <c r="R355" s="28">
        <f>IFERROR(IF(A355="","",MIN(H355,MAX(0,IF(P355="",Q355,P355)))),"")</f>
        <v/>
      </c>
      <c r="S355" s="28">
        <f>IFERROR(IF(A355="","",MAX(0,R355-K355)),"")</f>
        <v/>
      </c>
      <c r="T355" s="29">
        <f>IFERROR(IF(A355="","",R355/H355),"")</f>
        <v/>
      </c>
      <c r="U355" s="29">
        <f>IFERROR(IF(A355="","",'Assumptions'!$B$5),"")</f>
        <v/>
      </c>
      <c r="V355" s="29">
        <f>IFERROR(IF(A355="","",T355-U355),"")</f>
        <v/>
      </c>
      <c r="W355" s="50" t="n"/>
      <c r="X355" s="50" t="n"/>
      <c r="Y355" s="51">
        <f>IFERROR(IF(A355="","",IF(X355&lt;&gt;"",X355,IF(W355&lt;&gt;"",W355,'Assumptions'!$B$8))),"")</f>
        <v/>
      </c>
      <c r="Z355" s="51">
        <f>IFERROR(IF(A355="","",R355*Y355),"")</f>
        <v/>
      </c>
      <c r="AA355" s="51">
        <f>IFERROR(IF(A355="","",Z355/H355),"")</f>
        <v/>
      </c>
      <c r="AB355" s="32" t="n"/>
      <c r="AC355" s="52" t="n"/>
      <c r="AD355" s="29">
        <f>IFERROR(IF(OR(A355="",AB355=""),"",AB355/H355),"")</f>
        <v/>
      </c>
      <c r="AE355" s="51">
        <f>IFERROR(IF(OR(A355="",AB355="",AC355=""),"",AB355*AC355),"")</f>
        <v/>
      </c>
      <c r="AF355" s="28">
        <f>IFERROR(IF(OR(A355="",AB355=""),"",AB355-R355),"")</f>
        <v/>
      </c>
      <c r="AG355" s="29">
        <f>IFERROR(IF(OR(A355="",AB355=""),"",IF(AD355-T355&lt;0,T355-AD355,AD355-T355)),"")</f>
        <v/>
      </c>
      <c r="AH355" s="51">
        <f>IFERROR(IF(OR(A355="",AE355=""),"",AE355-Z355),"")</f>
        <v/>
      </c>
      <c r="AI355" s="25">
        <f>IFERROR(IF(A355="","",IF(G355&gt;F355,"Check out-of-order rooms",IF(K355&gt;H355,"On the books exceeds sellable rooms",IF(R355&gt;H355,"Forecast exceeds sellable rooms",IF(AND(A355&lt;TODAY(),AB355=""),"Actual results missing","OK"))))),"")</f>
        <v/>
      </c>
    </row>
    <row r="356">
      <c r="A356" s="24" t="n"/>
      <c r="B356" s="25">
        <f>IFERROR(IF(A356="","",VLOOKUP(MOD(A356,7),'Assumptions'!$E$16:$F$22,2,0)),"")</f>
        <v/>
      </c>
      <c r="C356" s="25">
        <f>IFERROR(IF(A356="","",IF(A356&lt;TODAY(),"Past",IF(A356=TODAY(),"Today","Future"))),"")</f>
        <v/>
      </c>
      <c r="D356" s="26" t="n"/>
      <c r="E356" s="26" t="n"/>
      <c r="F356" s="27" t="n"/>
      <c r="G356" s="27" t="n"/>
      <c r="H356" s="28">
        <f>IFERROR(IF(A356="","",MAX(0,F356-G356)),"")</f>
        <v/>
      </c>
      <c r="I356" s="27" t="n"/>
      <c r="J356" s="27" t="n"/>
      <c r="K356" s="28">
        <f>IFERROR(IF(A356="","",I356+J356),"")</f>
        <v/>
      </c>
      <c r="L356" s="29">
        <f>IFERROR(IF(A356="","",K356/H356),"")</f>
        <v/>
      </c>
      <c r="M356" s="29">
        <f>IFERROR(IF(A356="","",VLOOKUP(B356,'Assumptions'!$A$16:$B$22,2,0)),"")</f>
        <v/>
      </c>
      <c r="N356" s="27" t="n"/>
      <c r="O356" s="27" t="n"/>
      <c r="P356" s="27" t="n"/>
      <c r="Q356" s="28">
        <f>IFERROR(IF(A356="","",MIN(H356,MAX(0,K356,ROUND(H356*M356,0)+N356+O356))),"")</f>
        <v/>
      </c>
      <c r="R356" s="28">
        <f>IFERROR(IF(A356="","",MIN(H356,MAX(0,IF(P356="",Q356,P356)))),"")</f>
        <v/>
      </c>
      <c r="S356" s="28">
        <f>IFERROR(IF(A356="","",MAX(0,R356-K356)),"")</f>
        <v/>
      </c>
      <c r="T356" s="29">
        <f>IFERROR(IF(A356="","",R356/H356),"")</f>
        <v/>
      </c>
      <c r="U356" s="29">
        <f>IFERROR(IF(A356="","",'Assumptions'!$B$5),"")</f>
        <v/>
      </c>
      <c r="V356" s="29">
        <f>IFERROR(IF(A356="","",T356-U356),"")</f>
        <v/>
      </c>
      <c r="W356" s="50" t="n"/>
      <c r="X356" s="50" t="n"/>
      <c r="Y356" s="51">
        <f>IFERROR(IF(A356="","",IF(X356&lt;&gt;"",X356,IF(W356&lt;&gt;"",W356,'Assumptions'!$B$8))),"")</f>
        <v/>
      </c>
      <c r="Z356" s="51">
        <f>IFERROR(IF(A356="","",R356*Y356),"")</f>
        <v/>
      </c>
      <c r="AA356" s="51">
        <f>IFERROR(IF(A356="","",Z356/H356),"")</f>
        <v/>
      </c>
      <c r="AB356" s="32" t="n"/>
      <c r="AC356" s="52" t="n"/>
      <c r="AD356" s="29">
        <f>IFERROR(IF(OR(A356="",AB356=""),"",AB356/H356),"")</f>
        <v/>
      </c>
      <c r="AE356" s="51">
        <f>IFERROR(IF(OR(A356="",AB356="",AC356=""),"",AB356*AC356),"")</f>
        <v/>
      </c>
      <c r="AF356" s="28">
        <f>IFERROR(IF(OR(A356="",AB356=""),"",AB356-R356),"")</f>
        <v/>
      </c>
      <c r="AG356" s="29">
        <f>IFERROR(IF(OR(A356="",AB356=""),"",IF(AD356-T356&lt;0,T356-AD356,AD356-T356)),"")</f>
        <v/>
      </c>
      <c r="AH356" s="51">
        <f>IFERROR(IF(OR(A356="",AE356=""),"",AE356-Z356),"")</f>
        <v/>
      </c>
      <c r="AI356" s="25">
        <f>IFERROR(IF(A356="","",IF(G356&gt;F356,"Check out-of-order rooms",IF(K356&gt;H356,"On the books exceeds sellable rooms",IF(R356&gt;H356,"Forecast exceeds sellable rooms",IF(AND(A356&lt;TODAY(),AB356=""),"Actual results missing","OK"))))),"")</f>
        <v/>
      </c>
    </row>
    <row r="357">
      <c r="A357" s="24" t="n"/>
      <c r="B357" s="25">
        <f>IFERROR(IF(A357="","",VLOOKUP(MOD(A357,7),'Assumptions'!$E$16:$F$22,2,0)),"")</f>
        <v/>
      </c>
      <c r="C357" s="25">
        <f>IFERROR(IF(A357="","",IF(A357&lt;TODAY(),"Past",IF(A357=TODAY(),"Today","Future"))),"")</f>
        <v/>
      </c>
      <c r="D357" s="26" t="n"/>
      <c r="E357" s="26" t="n"/>
      <c r="F357" s="27" t="n"/>
      <c r="G357" s="27" t="n"/>
      <c r="H357" s="28">
        <f>IFERROR(IF(A357="","",MAX(0,F357-G357)),"")</f>
        <v/>
      </c>
      <c r="I357" s="27" t="n"/>
      <c r="J357" s="27" t="n"/>
      <c r="K357" s="28">
        <f>IFERROR(IF(A357="","",I357+J357),"")</f>
        <v/>
      </c>
      <c r="L357" s="29">
        <f>IFERROR(IF(A357="","",K357/H357),"")</f>
        <v/>
      </c>
      <c r="M357" s="29">
        <f>IFERROR(IF(A357="","",VLOOKUP(B357,'Assumptions'!$A$16:$B$22,2,0)),"")</f>
        <v/>
      </c>
      <c r="N357" s="27" t="n"/>
      <c r="O357" s="27" t="n"/>
      <c r="P357" s="27" t="n"/>
      <c r="Q357" s="28">
        <f>IFERROR(IF(A357="","",MIN(H357,MAX(0,K357,ROUND(H357*M357,0)+N357+O357))),"")</f>
        <v/>
      </c>
      <c r="R357" s="28">
        <f>IFERROR(IF(A357="","",MIN(H357,MAX(0,IF(P357="",Q357,P357)))),"")</f>
        <v/>
      </c>
      <c r="S357" s="28">
        <f>IFERROR(IF(A357="","",MAX(0,R357-K357)),"")</f>
        <v/>
      </c>
      <c r="T357" s="29">
        <f>IFERROR(IF(A357="","",R357/H357),"")</f>
        <v/>
      </c>
      <c r="U357" s="29">
        <f>IFERROR(IF(A357="","",'Assumptions'!$B$5),"")</f>
        <v/>
      </c>
      <c r="V357" s="29">
        <f>IFERROR(IF(A357="","",T357-U357),"")</f>
        <v/>
      </c>
      <c r="W357" s="50" t="n"/>
      <c r="X357" s="50" t="n"/>
      <c r="Y357" s="51">
        <f>IFERROR(IF(A357="","",IF(X357&lt;&gt;"",X357,IF(W357&lt;&gt;"",W357,'Assumptions'!$B$8))),"")</f>
        <v/>
      </c>
      <c r="Z357" s="51">
        <f>IFERROR(IF(A357="","",R357*Y357),"")</f>
        <v/>
      </c>
      <c r="AA357" s="51">
        <f>IFERROR(IF(A357="","",Z357/H357),"")</f>
        <v/>
      </c>
      <c r="AB357" s="32" t="n"/>
      <c r="AC357" s="52" t="n"/>
      <c r="AD357" s="29">
        <f>IFERROR(IF(OR(A357="",AB357=""),"",AB357/H357),"")</f>
        <v/>
      </c>
      <c r="AE357" s="51">
        <f>IFERROR(IF(OR(A357="",AB357="",AC357=""),"",AB357*AC357),"")</f>
        <v/>
      </c>
      <c r="AF357" s="28">
        <f>IFERROR(IF(OR(A357="",AB357=""),"",AB357-R357),"")</f>
        <v/>
      </c>
      <c r="AG357" s="29">
        <f>IFERROR(IF(OR(A357="",AB357=""),"",IF(AD357-T357&lt;0,T357-AD357,AD357-T357)),"")</f>
        <v/>
      </c>
      <c r="AH357" s="51">
        <f>IFERROR(IF(OR(A357="",AE357=""),"",AE357-Z357),"")</f>
        <v/>
      </c>
      <c r="AI357" s="25">
        <f>IFERROR(IF(A357="","",IF(G357&gt;F357,"Check out-of-order rooms",IF(K357&gt;H357,"On the books exceeds sellable rooms",IF(R357&gt;H357,"Forecast exceeds sellable rooms",IF(AND(A357&lt;TODAY(),AB357=""),"Actual results missing","OK"))))),"")</f>
        <v/>
      </c>
    </row>
    <row r="358">
      <c r="A358" s="24" t="n"/>
      <c r="B358" s="25">
        <f>IFERROR(IF(A358="","",VLOOKUP(MOD(A358,7),'Assumptions'!$E$16:$F$22,2,0)),"")</f>
        <v/>
      </c>
      <c r="C358" s="25">
        <f>IFERROR(IF(A358="","",IF(A358&lt;TODAY(),"Past",IF(A358=TODAY(),"Today","Future"))),"")</f>
        <v/>
      </c>
      <c r="D358" s="26" t="n"/>
      <c r="E358" s="26" t="n"/>
      <c r="F358" s="27" t="n"/>
      <c r="G358" s="27" t="n"/>
      <c r="H358" s="28">
        <f>IFERROR(IF(A358="","",MAX(0,F358-G358)),"")</f>
        <v/>
      </c>
      <c r="I358" s="27" t="n"/>
      <c r="J358" s="27" t="n"/>
      <c r="K358" s="28">
        <f>IFERROR(IF(A358="","",I358+J358),"")</f>
        <v/>
      </c>
      <c r="L358" s="29">
        <f>IFERROR(IF(A358="","",K358/H358),"")</f>
        <v/>
      </c>
      <c r="M358" s="29">
        <f>IFERROR(IF(A358="","",VLOOKUP(B358,'Assumptions'!$A$16:$B$22,2,0)),"")</f>
        <v/>
      </c>
      <c r="N358" s="27" t="n"/>
      <c r="O358" s="27" t="n"/>
      <c r="P358" s="27" t="n"/>
      <c r="Q358" s="28">
        <f>IFERROR(IF(A358="","",MIN(H358,MAX(0,K358,ROUND(H358*M358,0)+N358+O358))),"")</f>
        <v/>
      </c>
      <c r="R358" s="28">
        <f>IFERROR(IF(A358="","",MIN(H358,MAX(0,IF(P358="",Q358,P358)))),"")</f>
        <v/>
      </c>
      <c r="S358" s="28">
        <f>IFERROR(IF(A358="","",MAX(0,R358-K358)),"")</f>
        <v/>
      </c>
      <c r="T358" s="29">
        <f>IFERROR(IF(A358="","",R358/H358),"")</f>
        <v/>
      </c>
      <c r="U358" s="29">
        <f>IFERROR(IF(A358="","",'Assumptions'!$B$5),"")</f>
        <v/>
      </c>
      <c r="V358" s="29">
        <f>IFERROR(IF(A358="","",T358-U358),"")</f>
        <v/>
      </c>
      <c r="W358" s="50" t="n"/>
      <c r="X358" s="50" t="n"/>
      <c r="Y358" s="51">
        <f>IFERROR(IF(A358="","",IF(X358&lt;&gt;"",X358,IF(W358&lt;&gt;"",W358,'Assumptions'!$B$8))),"")</f>
        <v/>
      </c>
      <c r="Z358" s="51">
        <f>IFERROR(IF(A358="","",R358*Y358),"")</f>
        <v/>
      </c>
      <c r="AA358" s="51">
        <f>IFERROR(IF(A358="","",Z358/H358),"")</f>
        <v/>
      </c>
      <c r="AB358" s="32" t="n"/>
      <c r="AC358" s="52" t="n"/>
      <c r="AD358" s="29">
        <f>IFERROR(IF(OR(A358="",AB358=""),"",AB358/H358),"")</f>
        <v/>
      </c>
      <c r="AE358" s="51">
        <f>IFERROR(IF(OR(A358="",AB358="",AC358=""),"",AB358*AC358),"")</f>
        <v/>
      </c>
      <c r="AF358" s="28">
        <f>IFERROR(IF(OR(A358="",AB358=""),"",AB358-R358),"")</f>
        <v/>
      </c>
      <c r="AG358" s="29">
        <f>IFERROR(IF(OR(A358="",AB358=""),"",IF(AD358-T358&lt;0,T358-AD358,AD358-T358)),"")</f>
        <v/>
      </c>
      <c r="AH358" s="51">
        <f>IFERROR(IF(OR(A358="",AE358=""),"",AE358-Z358),"")</f>
        <v/>
      </c>
      <c r="AI358" s="25">
        <f>IFERROR(IF(A358="","",IF(G358&gt;F358,"Check out-of-order rooms",IF(K358&gt;H358,"On the books exceeds sellable rooms",IF(R358&gt;H358,"Forecast exceeds sellable rooms",IF(AND(A358&lt;TODAY(),AB358=""),"Actual results missing","OK"))))),"")</f>
        <v/>
      </c>
    </row>
    <row r="359">
      <c r="A359" s="24" t="n"/>
      <c r="B359" s="25">
        <f>IFERROR(IF(A359="","",VLOOKUP(MOD(A359,7),'Assumptions'!$E$16:$F$22,2,0)),"")</f>
        <v/>
      </c>
      <c r="C359" s="25">
        <f>IFERROR(IF(A359="","",IF(A359&lt;TODAY(),"Past",IF(A359=TODAY(),"Today","Future"))),"")</f>
        <v/>
      </c>
      <c r="D359" s="26" t="n"/>
      <c r="E359" s="26" t="n"/>
      <c r="F359" s="27" t="n"/>
      <c r="G359" s="27" t="n"/>
      <c r="H359" s="28">
        <f>IFERROR(IF(A359="","",MAX(0,F359-G359)),"")</f>
        <v/>
      </c>
      <c r="I359" s="27" t="n"/>
      <c r="J359" s="27" t="n"/>
      <c r="K359" s="28">
        <f>IFERROR(IF(A359="","",I359+J359),"")</f>
        <v/>
      </c>
      <c r="L359" s="29">
        <f>IFERROR(IF(A359="","",K359/H359),"")</f>
        <v/>
      </c>
      <c r="M359" s="29">
        <f>IFERROR(IF(A359="","",VLOOKUP(B359,'Assumptions'!$A$16:$B$22,2,0)),"")</f>
        <v/>
      </c>
      <c r="N359" s="27" t="n"/>
      <c r="O359" s="27" t="n"/>
      <c r="P359" s="27" t="n"/>
      <c r="Q359" s="28">
        <f>IFERROR(IF(A359="","",MIN(H359,MAX(0,K359,ROUND(H359*M359,0)+N359+O359))),"")</f>
        <v/>
      </c>
      <c r="R359" s="28">
        <f>IFERROR(IF(A359="","",MIN(H359,MAX(0,IF(P359="",Q359,P359)))),"")</f>
        <v/>
      </c>
      <c r="S359" s="28">
        <f>IFERROR(IF(A359="","",MAX(0,R359-K359)),"")</f>
        <v/>
      </c>
      <c r="T359" s="29">
        <f>IFERROR(IF(A359="","",R359/H359),"")</f>
        <v/>
      </c>
      <c r="U359" s="29">
        <f>IFERROR(IF(A359="","",'Assumptions'!$B$5),"")</f>
        <v/>
      </c>
      <c r="V359" s="29">
        <f>IFERROR(IF(A359="","",T359-U359),"")</f>
        <v/>
      </c>
      <c r="W359" s="50" t="n"/>
      <c r="X359" s="50" t="n"/>
      <c r="Y359" s="51">
        <f>IFERROR(IF(A359="","",IF(X359&lt;&gt;"",X359,IF(W359&lt;&gt;"",W359,'Assumptions'!$B$8))),"")</f>
        <v/>
      </c>
      <c r="Z359" s="51">
        <f>IFERROR(IF(A359="","",R359*Y359),"")</f>
        <v/>
      </c>
      <c r="AA359" s="51">
        <f>IFERROR(IF(A359="","",Z359/H359),"")</f>
        <v/>
      </c>
      <c r="AB359" s="32" t="n"/>
      <c r="AC359" s="52" t="n"/>
      <c r="AD359" s="29">
        <f>IFERROR(IF(OR(A359="",AB359=""),"",AB359/H359),"")</f>
        <v/>
      </c>
      <c r="AE359" s="51">
        <f>IFERROR(IF(OR(A359="",AB359="",AC359=""),"",AB359*AC359),"")</f>
        <v/>
      </c>
      <c r="AF359" s="28">
        <f>IFERROR(IF(OR(A359="",AB359=""),"",AB359-R359),"")</f>
        <v/>
      </c>
      <c r="AG359" s="29">
        <f>IFERROR(IF(OR(A359="",AB359=""),"",IF(AD359-T359&lt;0,T359-AD359,AD359-T359)),"")</f>
        <v/>
      </c>
      <c r="AH359" s="51">
        <f>IFERROR(IF(OR(A359="",AE359=""),"",AE359-Z359),"")</f>
        <v/>
      </c>
      <c r="AI359" s="25">
        <f>IFERROR(IF(A359="","",IF(G359&gt;F359,"Check out-of-order rooms",IF(K359&gt;H359,"On the books exceeds sellable rooms",IF(R359&gt;H359,"Forecast exceeds sellable rooms",IF(AND(A359&lt;TODAY(),AB359=""),"Actual results missing","OK"))))),"")</f>
        <v/>
      </c>
    </row>
    <row r="360">
      <c r="A360" s="24" t="n"/>
      <c r="B360" s="25">
        <f>IFERROR(IF(A360="","",VLOOKUP(MOD(A360,7),'Assumptions'!$E$16:$F$22,2,0)),"")</f>
        <v/>
      </c>
      <c r="C360" s="25">
        <f>IFERROR(IF(A360="","",IF(A360&lt;TODAY(),"Past",IF(A360=TODAY(),"Today","Future"))),"")</f>
        <v/>
      </c>
      <c r="D360" s="26" t="n"/>
      <c r="E360" s="26" t="n"/>
      <c r="F360" s="27" t="n"/>
      <c r="G360" s="27" t="n"/>
      <c r="H360" s="28">
        <f>IFERROR(IF(A360="","",MAX(0,F360-G360)),"")</f>
        <v/>
      </c>
      <c r="I360" s="27" t="n"/>
      <c r="J360" s="27" t="n"/>
      <c r="K360" s="28">
        <f>IFERROR(IF(A360="","",I360+J360),"")</f>
        <v/>
      </c>
      <c r="L360" s="29">
        <f>IFERROR(IF(A360="","",K360/H360),"")</f>
        <v/>
      </c>
      <c r="M360" s="29">
        <f>IFERROR(IF(A360="","",VLOOKUP(B360,'Assumptions'!$A$16:$B$22,2,0)),"")</f>
        <v/>
      </c>
      <c r="N360" s="27" t="n"/>
      <c r="O360" s="27" t="n"/>
      <c r="P360" s="27" t="n"/>
      <c r="Q360" s="28">
        <f>IFERROR(IF(A360="","",MIN(H360,MAX(0,K360,ROUND(H360*M360,0)+N360+O360))),"")</f>
        <v/>
      </c>
      <c r="R360" s="28">
        <f>IFERROR(IF(A360="","",MIN(H360,MAX(0,IF(P360="",Q360,P360)))),"")</f>
        <v/>
      </c>
      <c r="S360" s="28">
        <f>IFERROR(IF(A360="","",MAX(0,R360-K360)),"")</f>
        <v/>
      </c>
      <c r="T360" s="29">
        <f>IFERROR(IF(A360="","",R360/H360),"")</f>
        <v/>
      </c>
      <c r="U360" s="29">
        <f>IFERROR(IF(A360="","",'Assumptions'!$B$5),"")</f>
        <v/>
      </c>
      <c r="V360" s="29">
        <f>IFERROR(IF(A360="","",T360-U360),"")</f>
        <v/>
      </c>
      <c r="W360" s="50" t="n"/>
      <c r="X360" s="50" t="n"/>
      <c r="Y360" s="51">
        <f>IFERROR(IF(A360="","",IF(X360&lt;&gt;"",X360,IF(W360&lt;&gt;"",W360,'Assumptions'!$B$8))),"")</f>
        <v/>
      </c>
      <c r="Z360" s="51">
        <f>IFERROR(IF(A360="","",R360*Y360),"")</f>
        <v/>
      </c>
      <c r="AA360" s="51">
        <f>IFERROR(IF(A360="","",Z360/H360),"")</f>
        <v/>
      </c>
      <c r="AB360" s="32" t="n"/>
      <c r="AC360" s="52" t="n"/>
      <c r="AD360" s="29">
        <f>IFERROR(IF(OR(A360="",AB360=""),"",AB360/H360),"")</f>
        <v/>
      </c>
      <c r="AE360" s="51">
        <f>IFERROR(IF(OR(A360="",AB360="",AC360=""),"",AB360*AC360),"")</f>
        <v/>
      </c>
      <c r="AF360" s="28">
        <f>IFERROR(IF(OR(A360="",AB360=""),"",AB360-R360),"")</f>
        <v/>
      </c>
      <c r="AG360" s="29">
        <f>IFERROR(IF(OR(A360="",AB360=""),"",IF(AD360-T360&lt;0,T360-AD360,AD360-T360)),"")</f>
        <v/>
      </c>
      <c r="AH360" s="51">
        <f>IFERROR(IF(OR(A360="",AE360=""),"",AE360-Z360),"")</f>
        <v/>
      </c>
      <c r="AI360" s="25">
        <f>IFERROR(IF(A360="","",IF(G360&gt;F360,"Check out-of-order rooms",IF(K360&gt;H360,"On the books exceeds sellable rooms",IF(R360&gt;H360,"Forecast exceeds sellable rooms",IF(AND(A360&lt;TODAY(),AB360=""),"Actual results missing","OK"))))),"")</f>
        <v/>
      </c>
    </row>
    <row r="361">
      <c r="A361" s="24" t="n"/>
      <c r="B361" s="25">
        <f>IFERROR(IF(A361="","",VLOOKUP(MOD(A361,7),'Assumptions'!$E$16:$F$22,2,0)),"")</f>
        <v/>
      </c>
      <c r="C361" s="25">
        <f>IFERROR(IF(A361="","",IF(A361&lt;TODAY(),"Past",IF(A361=TODAY(),"Today","Future"))),"")</f>
        <v/>
      </c>
      <c r="D361" s="26" t="n"/>
      <c r="E361" s="26" t="n"/>
      <c r="F361" s="27" t="n"/>
      <c r="G361" s="27" t="n"/>
      <c r="H361" s="28">
        <f>IFERROR(IF(A361="","",MAX(0,F361-G361)),"")</f>
        <v/>
      </c>
      <c r="I361" s="27" t="n"/>
      <c r="J361" s="27" t="n"/>
      <c r="K361" s="28">
        <f>IFERROR(IF(A361="","",I361+J361),"")</f>
        <v/>
      </c>
      <c r="L361" s="29">
        <f>IFERROR(IF(A361="","",K361/H361),"")</f>
        <v/>
      </c>
      <c r="M361" s="29">
        <f>IFERROR(IF(A361="","",VLOOKUP(B361,'Assumptions'!$A$16:$B$22,2,0)),"")</f>
        <v/>
      </c>
      <c r="N361" s="27" t="n"/>
      <c r="O361" s="27" t="n"/>
      <c r="P361" s="27" t="n"/>
      <c r="Q361" s="28">
        <f>IFERROR(IF(A361="","",MIN(H361,MAX(0,K361,ROUND(H361*M361,0)+N361+O361))),"")</f>
        <v/>
      </c>
      <c r="R361" s="28">
        <f>IFERROR(IF(A361="","",MIN(H361,MAX(0,IF(P361="",Q361,P361)))),"")</f>
        <v/>
      </c>
      <c r="S361" s="28">
        <f>IFERROR(IF(A361="","",MAX(0,R361-K361)),"")</f>
        <v/>
      </c>
      <c r="T361" s="29">
        <f>IFERROR(IF(A361="","",R361/H361),"")</f>
        <v/>
      </c>
      <c r="U361" s="29">
        <f>IFERROR(IF(A361="","",'Assumptions'!$B$5),"")</f>
        <v/>
      </c>
      <c r="V361" s="29">
        <f>IFERROR(IF(A361="","",T361-U361),"")</f>
        <v/>
      </c>
      <c r="W361" s="50" t="n"/>
      <c r="X361" s="50" t="n"/>
      <c r="Y361" s="51">
        <f>IFERROR(IF(A361="","",IF(X361&lt;&gt;"",X361,IF(W361&lt;&gt;"",W361,'Assumptions'!$B$8))),"")</f>
        <v/>
      </c>
      <c r="Z361" s="51">
        <f>IFERROR(IF(A361="","",R361*Y361),"")</f>
        <v/>
      </c>
      <c r="AA361" s="51">
        <f>IFERROR(IF(A361="","",Z361/H361),"")</f>
        <v/>
      </c>
      <c r="AB361" s="32" t="n"/>
      <c r="AC361" s="52" t="n"/>
      <c r="AD361" s="29">
        <f>IFERROR(IF(OR(A361="",AB361=""),"",AB361/H361),"")</f>
        <v/>
      </c>
      <c r="AE361" s="51">
        <f>IFERROR(IF(OR(A361="",AB361="",AC361=""),"",AB361*AC361),"")</f>
        <v/>
      </c>
      <c r="AF361" s="28">
        <f>IFERROR(IF(OR(A361="",AB361=""),"",AB361-R361),"")</f>
        <v/>
      </c>
      <c r="AG361" s="29">
        <f>IFERROR(IF(OR(A361="",AB361=""),"",IF(AD361-T361&lt;0,T361-AD361,AD361-T361)),"")</f>
        <v/>
      </c>
      <c r="AH361" s="51">
        <f>IFERROR(IF(OR(A361="",AE361=""),"",AE361-Z361),"")</f>
        <v/>
      </c>
      <c r="AI361" s="25">
        <f>IFERROR(IF(A361="","",IF(G361&gt;F361,"Check out-of-order rooms",IF(K361&gt;H361,"On the books exceeds sellable rooms",IF(R361&gt;H361,"Forecast exceeds sellable rooms",IF(AND(A361&lt;TODAY(),AB361=""),"Actual results missing","OK"))))),"")</f>
        <v/>
      </c>
    </row>
    <row r="362">
      <c r="A362" s="24" t="n"/>
      <c r="B362" s="25">
        <f>IFERROR(IF(A362="","",VLOOKUP(MOD(A362,7),'Assumptions'!$E$16:$F$22,2,0)),"")</f>
        <v/>
      </c>
      <c r="C362" s="25">
        <f>IFERROR(IF(A362="","",IF(A362&lt;TODAY(),"Past",IF(A362=TODAY(),"Today","Future"))),"")</f>
        <v/>
      </c>
      <c r="D362" s="26" t="n"/>
      <c r="E362" s="26" t="n"/>
      <c r="F362" s="27" t="n"/>
      <c r="G362" s="27" t="n"/>
      <c r="H362" s="28">
        <f>IFERROR(IF(A362="","",MAX(0,F362-G362)),"")</f>
        <v/>
      </c>
      <c r="I362" s="27" t="n"/>
      <c r="J362" s="27" t="n"/>
      <c r="K362" s="28">
        <f>IFERROR(IF(A362="","",I362+J362),"")</f>
        <v/>
      </c>
      <c r="L362" s="29">
        <f>IFERROR(IF(A362="","",K362/H362),"")</f>
        <v/>
      </c>
      <c r="M362" s="29">
        <f>IFERROR(IF(A362="","",VLOOKUP(B362,'Assumptions'!$A$16:$B$22,2,0)),"")</f>
        <v/>
      </c>
      <c r="N362" s="27" t="n"/>
      <c r="O362" s="27" t="n"/>
      <c r="P362" s="27" t="n"/>
      <c r="Q362" s="28">
        <f>IFERROR(IF(A362="","",MIN(H362,MAX(0,K362,ROUND(H362*M362,0)+N362+O362))),"")</f>
        <v/>
      </c>
      <c r="R362" s="28">
        <f>IFERROR(IF(A362="","",MIN(H362,MAX(0,IF(P362="",Q362,P362)))),"")</f>
        <v/>
      </c>
      <c r="S362" s="28">
        <f>IFERROR(IF(A362="","",MAX(0,R362-K362)),"")</f>
        <v/>
      </c>
      <c r="T362" s="29">
        <f>IFERROR(IF(A362="","",R362/H362),"")</f>
        <v/>
      </c>
      <c r="U362" s="29">
        <f>IFERROR(IF(A362="","",'Assumptions'!$B$5),"")</f>
        <v/>
      </c>
      <c r="V362" s="29">
        <f>IFERROR(IF(A362="","",T362-U362),"")</f>
        <v/>
      </c>
      <c r="W362" s="50" t="n"/>
      <c r="X362" s="50" t="n"/>
      <c r="Y362" s="51">
        <f>IFERROR(IF(A362="","",IF(X362&lt;&gt;"",X362,IF(W362&lt;&gt;"",W362,'Assumptions'!$B$8))),"")</f>
        <v/>
      </c>
      <c r="Z362" s="51">
        <f>IFERROR(IF(A362="","",R362*Y362),"")</f>
        <v/>
      </c>
      <c r="AA362" s="51">
        <f>IFERROR(IF(A362="","",Z362/H362),"")</f>
        <v/>
      </c>
      <c r="AB362" s="32" t="n"/>
      <c r="AC362" s="52" t="n"/>
      <c r="AD362" s="29">
        <f>IFERROR(IF(OR(A362="",AB362=""),"",AB362/H362),"")</f>
        <v/>
      </c>
      <c r="AE362" s="51">
        <f>IFERROR(IF(OR(A362="",AB362="",AC362=""),"",AB362*AC362),"")</f>
        <v/>
      </c>
      <c r="AF362" s="28">
        <f>IFERROR(IF(OR(A362="",AB362=""),"",AB362-R362),"")</f>
        <v/>
      </c>
      <c r="AG362" s="29">
        <f>IFERROR(IF(OR(A362="",AB362=""),"",IF(AD362-T362&lt;0,T362-AD362,AD362-T362)),"")</f>
        <v/>
      </c>
      <c r="AH362" s="51">
        <f>IFERROR(IF(OR(A362="",AE362=""),"",AE362-Z362),"")</f>
        <v/>
      </c>
      <c r="AI362" s="25">
        <f>IFERROR(IF(A362="","",IF(G362&gt;F362,"Check out-of-order rooms",IF(K362&gt;H362,"On the books exceeds sellable rooms",IF(R362&gt;H362,"Forecast exceeds sellable rooms",IF(AND(A362&lt;TODAY(),AB362=""),"Actual results missing","OK"))))),"")</f>
        <v/>
      </c>
    </row>
    <row r="363">
      <c r="A363" s="24" t="n"/>
      <c r="B363" s="25">
        <f>IFERROR(IF(A363="","",VLOOKUP(MOD(A363,7),'Assumptions'!$E$16:$F$22,2,0)),"")</f>
        <v/>
      </c>
      <c r="C363" s="25">
        <f>IFERROR(IF(A363="","",IF(A363&lt;TODAY(),"Past",IF(A363=TODAY(),"Today","Future"))),"")</f>
        <v/>
      </c>
      <c r="D363" s="26" t="n"/>
      <c r="E363" s="26" t="n"/>
      <c r="F363" s="27" t="n"/>
      <c r="G363" s="27" t="n"/>
      <c r="H363" s="28">
        <f>IFERROR(IF(A363="","",MAX(0,F363-G363)),"")</f>
        <v/>
      </c>
      <c r="I363" s="27" t="n"/>
      <c r="J363" s="27" t="n"/>
      <c r="K363" s="28">
        <f>IFERROR(IF(A363="","",I363+J363),"")</f>
        <v/>
      </c>
      <c r="L363" s="29">
        <f>IFERROR(IF(A363="","",K363/H363),"")</f>
        <v/>
      </c>
      <c r="M363" s="29">
        <f>IFERROR(IF(A363="","",VLOOKUP(B363,'Assumptions'!$A$16:$B$22,2,0)),"")</f>
        <v/>
      </c>
      <c r="N363" s="27" t="n"/>
      <c r="O363" s="27" t="n"/>
      <c r="P363" s="27" t="n"/>
      <c r="Q363" s="28">
        <f>IFERROR(IF(A363="","",MIN(H363,MAX(0,K363,ROUND(H363*M363,0)+N363+O363))),"")</f>
        <v/>
      </c>
      <c r="R363" s="28">
        <f>IFERROR(IF(A363="","",MIN(H363,MAX(0,IF(P363="",Q363,P363)))),"")</f>
        <v/>
      </c>
      <c r="S363" s="28">
        <f>IFERROR(IF(A363="","",MAX(0,R363-K363)),"")</f>
        <v/>
      </c>
      <c r="T363" s="29">
        <f>IFERROR(IF(A363="","",R363/H363),"")</f>
        <v/>
      </c>
      <c r="U363" s="29">
        <f>IFERROR(IF(A363="","",'Assumptions'!$B$5),"")</f>
        <v/>
      </c>
      <c r="V363" s="29">
        <f>IFERROR(IF(A363="","",T363-U363),"")</f>
        <v/>
      </c>
      <c r="W363" s="50" t="n"/>
      <c r="X363" s="50" t="n"/>
      <c r="Y363" s="51">
        <f>IFERROR(IF(A363="","",IF(X363&lt;&gt;"",X363,IF(W363&lt;&gt;"",W363,'Assumptions'!$B$8))),"")</f>
        <v/>
      </c>
      <c r="Z363" s="51">
        <f>IFERROR(IF(A363="","",R363*Y363),"")</f>
        <v/>
      </c>
      <c r="AA363" s="51">
        <f>IFERROR(IF(A363="","",Z363/H363),"")</f>
        <v/>
      </c>
      <c r="AB363" s="32" t="n"/>
      <c r="AC363" s="52" t="n"/>
      <c r="AD363" s="29">
        <f>IFERROR(IF(OR(A363="",AB363=""),"",AB363/H363),"")</f>
        <v/>
      </c>
      <c r="AE363" s="51">
        <f>IFERROR(IF(OR(A363="",AB363="",AC363=""),"",AB363*AC363),"")</f>
        <v/>
      </c>
      <c r="AF363" s="28">
        <f>IFERROR(IF(OR(A363="",AB363=""),"",AB363-R363),"")</f>
        <v/>
      </c>
      <c r="AG363" s="29">
        <f>IFERROR(IF(OR(A363="",AB363=""),"",IF(AD363-T363&lt;0,T363-AD363,AD363-T363)),"")</f>
        <v/>
      </c>
      <c r="AH363" s="51">
        <f>IFERROR(IF(OR(A363="",AE363=""),"",AE363-Z363),"")</f>
        <v/>
      </c>
      <c r="AI363" s="25">
        <f>IFERROR(IF(A363="","",IF(G363&gt;F363,"Check out-of-order rooms",IF(K363&gt;H363,"On the books exceeds sellable rooms",IF(R363&gt;H363,"Forecast exceeds sellable rooms",IF(AND(A363&lt;TODAY(),AB363=""),"Actual results missing","OK"))))),"")</f>
        <v/>
      </c>
    </row>
    <row r="364">
      <c r="A364" s="24" t="n"/>
      <c r="B364" s="25">
        <f>IFERROR(IF(A364="","",VLOOKUP(MOD(A364,7),'Assumptions'!$E$16:$F$22,2,0)),"")</f>
        <v/>
      </c>
      <c r="C364" s="25">
        <f>IFERROR(IF(A364="","",IF(A364&lt;TODAY(),"Past",IF(A364=TODAY(),"Today","Future"))),"")</f>
        <v/>
      </c>
      <c r="D364" s="26" t="n"/>
      <c r="E364" s="26" t="n"/>
      <c r="F364" s="27" t="n"/>
      <c r="G364" s="27" t="n"/>
      <c r="H364" s="28">
        <f>IFERROR(IF(A364="","",MAX(0,F364-G364)),"")</f>
        <v/>
      </c>
      <c r="I364" s="27" t="n"/>
      <c r="J364" s="27" t="n"/>
      <c r="K364" s="28">
        <f>IFERROR(IF(A364="","",I364+J364),"")</f>
        <v/>
      </c>
      <c r="L364" s="29">
        <f>IFERROR(IF(A364="","",K364/H364),"")</f>
        <v/>
      </c>
      <c r="M364" s="29">
        <f>IFERROR(IF(A364="","",VLOOKUP(B364,'Assumptions'!$A$16:$B$22,2,0)),"")</f>
        <v/>
      </c>
      <c r="N364" s="27" t="n"/>
      <c r="O364" s="27" t="n"/>
      <c r="P364" s="27" t="n"/>
      <c r="Q364" s="28">
        <f>IFERROR(IF(A364="","",MIN(H364,MAX(0,K364,ROUND(H364*M364,0)+N364+O364))),"")</f>
        <v/>
      </c>
      <c r="R364" s="28">
        <f>IFERROR(IF(A364="","",MIN(H364,MAX(0,IF(P364="",Q364,P364)))),"")</f>
        <v/>
      </c>
      <c r="S364" s="28">
        <f>IFERROR(IF(A364="","",MAX(0,R364-K364)),"")</f>
        <v/>
      </c>
      <c r="T364" s="29">
        <f>IFERROR(IF(A364="","",R364/H364),"")</f>
        <v/>
      </c>
      <c r="U364" s="29">
        <f>IFERROR(IF(A364="","",'Assumptions'!$B$5),"")</f>
        <v/>
      </c>
      <c r="V364" s="29">
        <f>IFERROR(IF(A364="","",T364-U364),"")</f>
        <v/>
      </c>
      <c r="W364" s="50" t="n"/>
      <c r="X364" s="50" t="n"/>
      <c r="Y364" s="51">
        <f>IFERROR(IF(A364="","",IF(X364&lt;&gt;"",X364,IF(W364&lt;&gt;"",W364,'Assumptions'!$B$8))),"")</f>
        <v/>
      </c>
      <c r="Z364" s="51">
        <f>IFERROR(IF(A364="","",R364*Y364),"")</f>
        <v/>
      </c>
      <c r="AA364" s="51">
        <f>IFERROR(IF(A364="","",Z364/H364),"")</f>
        <v/>
      </c>
      <c r="AB364" s="32" t="n"/>
      <c r="AC364" s="52" t="n"/>
      <c r="AD364" s="29">
        <f>IFERROR(IF(OR(A364="",AB364=""),"",AB364/H364),"")</f>
        <v/>
      </c>
      <c r="AE364" s="51">
        <f>IFERROR(IF(OR(A364="",AB364="",AC364=""),"",AB364*AC364),"")</f>
        <v/>
      </c>
      <c r="AF364" s="28">
        <f>IFERROR(IF(OR(A364="",AB364=""),"",AB364-R364),"")</f>
        <v/>
      </c>
      <c r="AG364" s="29">
        <f>IFERROR(IF(OR(A364="",AB364=""),"",IF(AD364-T364&lt;0,T364-AD364,AD364-T364)),"")</f>
        <v/>
      </c>
      <c r="AH364" s="51">
        <f>IFERROR(IF(OR(A364="",AE364=""),"",AE364-Z364),"")</f>
        <v/>
      </c>
      <c r="AI364" s="25">
        <f>IFERROR(IF(A364="","",IF(G364&gt;F364,"Check out-of-order rooms",IF(K364&gt;H364,"On the books exceeds sellable rooms",IF(R364&gt;H364,"Forecast exceeds sellable rooms",IF(AND(A364&lt;TODAY(),AB364=""),"Actual results missing","OK"))))),"")</f>
        <v/>
      </c>
    </row>
    <row r="365">
      <c r="A365" s="24" t="n"/>
      <c r="B365" s="25">
        <f>IFERROR(IF(A365="","",VLOOKUP(MOD(A365,7),'Assumptions'!$E$16:$F$22,2,0)),"")</f>
        <v/>
      </c>
      <c r="C365" s="25">
        <f>IFERROR(IF(A365="","",IF(A365&lt;TODAY(),"Past",IF(A365=TODAY(),"Today","Future"))),"")</f>
        <v/>
      </c>
      <c r="D365" s="26" t="n"/>
      <c r="E365" s="26" t="n"/>
      <c r="F365" s="27" t="n"/>
      <c r="G365" s="27" t="n"/>
      <c r="H365" s="28">
        <f>IFERROR(IF(A365="","",MAX(0,F365-G365)),"")</f>
        <v/>
      </c>
      <c r="I365" s="27" t="n"/>
      <c r="J365" s="27" t="n"/>
      <c r="K365" s="28">
        <f>IFERROR(IF(A365="","",I365+J365),"")</f>
        <v/>
      </c>
      <c r="L365" s="29">
        <f>IFERROR(IF(A365="","",K365/H365),"")</f>
        <v/>
      </c>
      <c r="M365" s="29">
        <f>IFERROR(IF(A365="","",VLOOKUP(B365,'Assumptions'!$A$16:$B$22,2,0)),"")</f>
        <v/>
      </c>
      <c r="N365" s="27" t="n"/>
      <c r="O365" s="27" t="n"/>
      <c r="P365" s="27" t="n"/>
      <c r="Q365" s="28">
        <f>IFERROR(IF(A365="","",MIN(H365,MAX(0,K365,ROUND(H365*M365,0)+N365+O365))),"")</f>
        <v/>
      </c>
      <c r="R365" s="28">
        <f>IFERROR(IF(A365="","",MIN(H365,MAX(0,IF(P365="",Q365,P365)))),"")</f>
        <v/>
      </c>
      <c r="S365" s="28">
        <f>IFERROR(IF(A365="","",MAX(0,R365-K365)),"")</f>
        <v/>
      </c>
      <c r="T365" s="29">
        <f>IFERROR(IF(A365="","",R365/H365),"")</f>
        <v/>
      </c>
      <c r="U365" s="29">
        <f>IFERROR(IF(A365="","",'Assumptions'!$B$5),"")</f>
        <v/>
      </c>
      <c r="V365" s="29">
        <f>IFERROR(IF(A365="","",T365-U365),"")</f>
        <v/>
      </c>
      <c r="W365" s="50" t="n"/>
      <c r="X365" s="50" t="n"/>
      <c r="Y365" s="51">
        <f>IFERROR(IF(A365="","",IF(X365&lt;&gt;"",X365,IF(W365&lt;&gt;"",W365,'Assumptions'!$B$8))),"")</f>
        <v/>
      </c>
      <c r="Z365" s="51">
        <f>IFERROR(IF(A365="","",R365*Y365),"")</f>
        <v/>
      </c>
      <c r="AA365" s="51">
        <f>IFERROR(IF(A365="","",Z365/H365),"")</f>
        <v/>
      </c>
      <c r="AB365" s="32" t="n"/>
      <c r="AC365" s="52" t="n"/>
      <c r="AD365" s="29">
        <f>IFERROR(IF(OR(A365="",AB365=""),"",AB365/H365),"")</f>
        <v/>
      </c>
      <c r="AE365" s="51">
        <f>IFERROR(IF(OR(A365="",AB365="",AC365=""),"",AB365*AC365),"")</f>
        <v/>
      </c>
      <c r="AF365" s="28">
        <f>IFERROR(IF(OR(A365="",AB365=""),"",AB365-R365),"")</f>
        <v/>
      </c>
      <c r="AG365" s="29">
        <f>IFERROR(IF(OR(A365="",AB365=""),"",IF(AD365-T365&lt;0,T365-AD365,AD365-T365)),"")</f>
        <v/>
      </c>
      <c r="AH365" s="51">
        <f>IFERROR(IF(OR(A365="",AE365=""),"",AE365-Z365),"")</f>
        <v/>
      </c>
      <c r="AI365" s="25">
        <f>IFERROR(IF(A365="","",IF(G365&gt;F365,"Check out-of-order rooms",IF(K365&gt;H365,"On the books exceeds sellable rooms",IF(R365&gt;H365,"Forecast exceeds sellable rooms",IF(AND(A365&lt;TODAY(),AB365=""),"Actual results missing","OK"))))),"")</f>
        <v/>
      </c>
    </row>
    <row r="366">
      <c r="A366" s="24" t="n"/>
      <c r="B366" s="25">
        <f>IFERROR(IF(A366="","",VLOOKUP(MOD(A366,7),'Assumptions'!$E$16:$F$22,2,0)),"")</f>
        <v/>
      </c>
      <c r="C366" s="25">
        <f>IFERROR(IF(A366="","",IF(A366&lt;TODAY(),"Past",IF(A366=TODAY(),"Today","Future"))),"")</f>
        <v/>
      </c>
      <c r="D366" s="26" t="n"/>
      <c r="E366" s="26" t="n"/>
      <c r="F366" s="27" t="n"/>
      <c r="G366" s="27" t="n"/>
      <c r="H366" s="28">
        <f>IFERROR(IF(A366="","",MAX(0,F366-G366)),"")</f>
        <v/>
      </c>
      <c r="I366" s="27" t="n"/>
      <c r="J366" s="27" t="n"/>
      <c r="K366" s="28">
        <f>IFERROR(IF(A366="","",I366+J366),"")</f>
        <v/>
      </c>
      <c r="L366" s="29">
        <f>IFERROR(IF(A366="","",K366/H366),"")</f>
        <v/>
      </c>
      <c r="M366" s="29">
        <f>IFERROR(IF(A366="","",VLOOKUP(B366,'Assumptions'!$A$16:$B$22,2,0)),"")</f>
        <v/>
      </c>
      <c r="N366" s="27" t="n"/>
      <c r="O366" s="27" t="n"/>
      <c r="P366" s="27" t="n"/>
      <c r="Q366" s="28">
        <f>IFERROR(IF(A366="","",MIN(H366,MAX(0,K366,ROUND(H366*M366,0)+N366+O366))),"")</f>
        <v/>
      </c>
      <c r="R366" s="28">
        <f>IFERROR(IF(A366="","",MIN(H366,MAX(0,IF(P366="",Q366,P366)))),"")</f>
        <v/>
      </c>
      <c r="S366" s="28">
        <f>IFERROR(IF(A366="","",MAX(0,R366-K366)),"")</f>
        <v/>
      </c>
      <c r="T366" s="29">
        <f>IFERROR(IF(A366="","",R366/H366),"")</f>
        <v/>
      </c>
      <c r="U366" s="29">
        <f>IFERROR(IF(A366="","",'Assumptions'!$B$5),"")</f>
        <v/>
      </c>
      <c r="V366" s="29">
        <f>IFERROR(IF(A366="","",T366-U366),"")</f>
        <v/>
      </c>
      <c r="W366" s="50" t="n"/>
      <c r="X366" s="50" t="n"/>
      <c r="Y366" s="51">
        <f>IFERROR(IF(A366="","",IF(X366&lt;&gt;"",X366,IF(W366&lt;&gt;"",W366,'Assumptions'!$B$8))),"")</f>
        <v/>
      </c>
      <c r="Z366" s="51">
        <f>IFERROR(IF(A366="","",R366*Y366),"")</f>
        <v/>
      </c>
      <c r="AA366" s="51">
        <f>IFERROR(IF(A366="","",Z366/H366),"")</f>
        <v/>
      </c>
      <c r="AB366" s="32" t="n"/>
      <c r="AC366" s="52" t="n"/>
      <c r="AD366" s="29">
        <f>IFERROR(IF(OR(A366="",AB366=""),"",AB366/H366),"")</f>
        <v/>
      </c>
      <c r="AE366" s="51">
        <f>IFERROR(IF(OR(A366="",AB366="",AC366=""),"",AB366*AC366),"")</f>
        <v/>
      </c>
      <c r="AF366" s="28">
        <f>IFERROR(IF(OR(A366="",AB366=""),"",AB366-R366),"")</f>
        <v/>
      </c>
      <c r="AG366" s="29">
        <f>IFERROR(IF(OR(A366="",AB366=""),"",IF(AD366-T366&lt;0,T366-AD366,AD366-T366)),"")</f>
        <v/>
      </c>
      <c r="AH366" s="51">
        <f>IFERROR(IF(OR(A366="",AE366=""),"",AE366-Z366),"")</f>
        <v/>
      </c>
      <c r="AI366" s="25">
        <f>IFERROR(IF(A366="","",IF(G366&gt;F366,"Check out-of-order rooms",IF(K366&gt;H366,"On the books exceeds sellable rooms",IF(R366&gt;H366,"Forecast exceeds sellable rooms",IF(AND(A366&lt;TODAY(),AB366=""),"Actual results missing","OK"))))),"")</f>
        <v/>
      </c>
    </row>
    <row r="367">
      <c r="A367" s="24" t="n"/>
      <c r="B367" s="25">
        <f>IFERROR(IF(A367="","",VLOOKUP(MOD(A367,7),'Assumptions'!$E$16:$F$22,2,0)),"")</f>
        <v/>
      </c>
      <c r="C367" s="25">
        <f>IFERROR(IF(A367="","",IF(A367&lt;TODAY(),"Past",IF(A367=TODAY(),"Today","Future"))),"")</f>
        <v/>
      </c>
      <c r="D367" s="26" t="n"/>
      <c r="E367" s="26" t="n"/>
      <c r="F367" s="27" t="n"/>
      <c r="G367" s="27" t="n"/>
      <c r="H367" s="28">
        <f>IFERROR(IF(A367="","",MAX(0,F367-G367)),"")</f>
        <v/>
      </c>
      <c r="I367" s="27" t="n"/>
      <c r="J367" s="27" t="n"/>
      <c r="K367" s="28">
        <f>IFERROR(IF(A367="","",I367+J367),"")</f>
        <v/>
      </c>
      <c r="L367" s="29">
        <f>IFERROR(IF(A367="","",K367/H367),"")</f>
        <v/>
      </c>
      <c r="M367" s="29">
        <f>IFERROR(IF(A367="","",VLOOKUP(B367,'Assumptions'!$A$16:$B$22,2,0)),"")</f>
        <v/>
      </c>
      <c r="N367" s="27" t="n"/>
      <c r="O367" s="27" t="n"/>
      <c r="P367" s="27" t="n"/>
      <c r="Q367" s="28">
        <f>IFERROR(IF(A367="","",MIN(H367,MAX(0,K367,ROUND(H367*M367,0)+N367+O367))),"")</f>
        <v/>
      </c>
      <c r="R367" s="28">
        <f>IFERROR(IF(A367="","",MIN(H367,MAX(0,IF(P367="",Q367,P367)))),"")</f>
        <v/>
      </c>
      <c r="S367" s="28">
        <f>IFERROR(IF(A367="","",MAX(0,R367-K367)),"")</f>
        <v/>
      </c>
      <c r="T367" s="29">
        <f>IFERROR(IF(A367="","",R367/H367),"")</f>
        <v/>
      </c>
      <c r="U367" s="29">
        <f>IFERROR(IF(A367="","",'Assumptions'!$B$5),"")</f>
        <v/>
      </c>
      <c r="V367" s="29">
        <f>IFERROR(IF(A367="","",T367-U367),"")</f>
        <v/>
      </c>
      <c r="W367" s="50" t="n"/>
      <c r="X367" s="50" t="n"/>
      <c r="Y367" s="51">
        <f>IFERROR(IF(A367="","",IF(X367&lt;&gt;"",X367,IF(W367&lt;&gt;"",W367,'Assumptions'!$B$8))),"")</f>
        <v/>
      </c>
      <c r="Z367" s="51">
        <f>IFERROR(IF(A367="","",R367*Y367),"")</f>
        <v/>
      </c>
      <c r="AA367" s="51">
        <f>IFERROR(IF(A367="","",Z367/H367),"")</f>
        <v/>
      </c>
      <c r="AB367" s="32" t="n"/>
      <c r="AC367" s="52" t="n"/>
      <c r="AD367" s="29">
        <f>IFERROR(IF(OR(A367="",AB367=""),"",AB367/H367),"")</f>
        <v/>
      </c>
      <c r="AE367" s="51">
        <f>IFERROR(IF(OR(A367="",AB367="",AC367=""),"",AB367*AC367),"")</f>
        <v/>
      </c>
      <c r="AF367" s="28">
        <f>IFERROR(IF(OR(A367="",AB367=""),"",AB367-R367),"")</f>
        <v/>
      </c>
      <c r="AG367" s="29">
        <f>IFERROR(IF(OR(A367="",AB367=""),"",IF(AD367-T367&lt;0,T367-AD367,AD367-T367)),"")</f>
        <v/>
      </c>
      <c r="AH367" s="51">
        <f>IFERROR(IF(OR(A367="",AE367=""),"",AE367-Z367),"")</f>
        <v/>
      </c>
      <c r="AI367" s="25">
        <f>IFERROR(IF(A367="","",IF(G367&gt;F367,"Check out-of-order rooms",IF(K367&gt;H367,"On the books exceeds sellable rooms",IF(R367&gt;H367,"Forecast exceeds sellable rooms",IF(AND(A367&lt;TODAY(),AB367=""),"Actual results missing","OK"))))),"")</f>
        <v/>
      </c>
    </row>
    <row r="368">
      <c r="A368" s="24" t="n"/>
      <c r="B368" s="25">
        <f>IFERROR(IF(A368="","",VLOOKUP(MOD(A368,7),'Assumptions'!$E$16:$F$22,2,0)),"")</f>
        <v/>
      </c>
      <c r="C368" s="25">
        <f>IFERROR(IF(A368="","",IF(A368&lt;TODAY(),"Past",IF(A368=TODAY(),"Today","Future"))),"")</f>
        <v/>
      </c>
      <c r="D368" s="26" t="n"/>
      <c r="E368" s="26" t="n"/>
      <c r="F368" s="27" t="n"/>
      <c r="G368" s="27" t="n"/>
      <c r="H368" s="28">
        <f>IFERROR(IF(A368="","",MAX(0,F368-G368)),"")</f>
        <v/>
      </c>
      <c r="I368" s="27" t="n"/>
      <c r="J368" s="27" t="n"/>
      <c r="K368" s="28">
        <f>IFERROR(IF(A368="","",I368+J368),"")</f>
        <v/>
      </c>
      <c r="L368" s="29">
        <f>IFERROR(IF(A368="","",K368/H368),"")</f>
        <v/>
      </c>
      <c r="M368" s="29">
        <f>IFERROR(IF(A368="","",VLOOKUP(B368,'Assumptions'!$A$16:$B$22,2,0)),"")</f>
        <v/>
      </c>
      <c r="N368" s="27" t="n"/>
      <c r="O368" s="27" t="n"/>
      <c r="P368" s="27" t="n"/>
      <c r="Q368" s="28">
        <f>IFERROR(IF(A368="","",MIN(H368,MAX(0,K368,ROUND(H368*M368,0)+N368+O368))),"")</f>
        <v/>
      </c>
      <c r="R368" s="28">
        <f>IFERROR(IF(A368="","",MIN(H368,MAX(0,IF(P368="",Q368,P368)))),"")</f>
        <v/>
      </c>
      <c r="S368" s="28">
        <f>IFERROR(IF(A368="","",MAX(0,R368-K368)),"")</f>
        <v/>
      </c>
      <c r="T368" s="29">
        <f>IFERROR(IF(A368="","",R368/H368),"")</f>
        <v/>
      </c>
      <c r="U368" s="29">
        <f>IFERROR(IF(A368="","",'Assumptions'!$B$5),"")</f>
        <v/>
      </c>
      <c r="V368" s="29">
        <f>IFERROR(IF(A368="","",T368-U368),"")</f>
        <v/>
      </c>
      <c r="W368" s="50" t="n"/>
      <c r="X368" s="50" t="n"/>
      <c r="Y368" s="51">
        <f>IFERROR(IF(A368="","",IF(X368&lt;&gt;"",X368,IF(W368&lt;&gt;"",W368,'Assumptions'!$B$8))),"")</f>
        <v/>
      </c>
      <c r="Z368" s="51">
        <f>IFERROR(IF(A368="","",R368*Y368),"")</f>
        <v/>
      </c>
      <c r="AA368" s="51">
        <f>IFERROR(IF(A368="","",Z368/H368),"")</f>
        <v/>
      </c>
      <c r="AB368" s="32" t="n"/>
      <c r="AC368" s="52" t="n"/>
      <c r="AD368" s="29">
        <f>IFERROR(IF(OR(A368="",AB368=""),"",AB368/H368),"")</f>
        <v/>
      </c>
      <c r="AE368" s="51">
        <f>IFERROR(IF(OR(A368="",AB368="",AC368=""),"",AB368*AC368),"")</f>
        <v/>
      </c>
      <c r="AF368" s="28">
        <f>IFERROR(IF(OR(A368="",AB368=""),"",AB368-R368),"")</f>
        <v/>
      </c>
      <c r="AG368" s="29">
        <f>IFERROR(IF(OR(A368="",AB368=""),"",IF(AD368-T368&lt;0,T368-AD368,AD368-T368)),"")</f>
        <v/>
      </c>
      <c r="AH368" s="51">
        <f>IFERROR(IF(OR(A368="",AE368=""),"",AE368-Z368),"")</f>
        <v/>
      </c>
      <c r="AI368" s="25">
        <f>IFERROR(IF(A368="","",IF(G368&gt;F368,"Check out-of-order rooms",IF(K368&gt;H368,"On the books exceeds sellable rooms",IF(R368&gt;H368,"Forecast exceeds sellable rooms",IF(AND(A368&lt;TODAY(),AB368=""),"Actual results missing","OK"))))),"")</f>
        <v/>
      </c>
    </row>
    <row r="369">
      <c r="A369" s="24" t="n"/>
      <c r="B369" s="25">
        <f>IFERROR(IF(A369="","",VLOOKUP(MOD(A369,7),'Assumptions'!$E$16:$F$22,2,0)),"")</f>
        <v/>
      </c>
      <c r="C369" s="25">
        <f>IFERROR(IF(A369="","",IF(A369&lt;TODAY(),"Past",IF(A369=TODAY(),"Today","Future"))),"")</f>
        <v/>
      </c>
      <c r="D369" s="26" t="n"/>
      <c r="E369" s="26" t="n"/>
      <c r="F369" s="27" t="n"/>
      <c r="G369" s="27" t="n"/>
      <c r="H369" s="28">
        <f>IFERROR(IF(A369="","",MAX(0,F369-G369)),"")</f>
        <v/>
      </c>
      <c r="I369" s="27" t="n"/>
      <c r="J369" s="27" t="n"/>
      <c r="K369" s="28">
        <f>IFERROR(IF(A369="","",I369+J369),"")</f>
        <v/>
      </c>
      <c r="L369" s="29">
        <f>IFERROR(IF(A369="","",K369/H369),"")</f>
        <v/>
      </c>
      <c r="M369" s="29">
        <f>IFERROR(IF(A369="","",VLOOKUP(B369,'Assumptions'!$A$16:$B$22,2,0)),"")</f>
        <v/>
      </c>
      <c r="N369" s="27" t="n"/>
      <c r="O369" s="27" t="n"/>
      <c r="P369" s="27" t="n"/>
      <c r="Q369" s="28">
        <f>IFERROR(IF(A369="","",MIN(H369,MAX(0,K369,ROUND(H369*M369,0)+N369+O369))),"")</f>
        <v/>
      </c>
      <c r="R369" s="28">
        <f>IFERROR(IF(A369="","",MIN(H369,MAX(0,IF(P369="",Q369,P369)))),"")</f>
        <v/>
      </c>
      <c r="S369" s="28">
        <f>IFERROR(IF(A369="","",MAX(0,R369-K369)),"")</f>
        <v/>
      </c>
      <c r="T369" s="29">
        <f>IFERROR(IF(A369="","",R369/H369),"")</f>
        <v/>
      </c>
      <c r="U369" s="29">
        <f>IFERROR(IF(A369="","",'Assumptions'!$B$5),"")</f>
        <v/>
      </c>
      <c r="V369" s="29">
        <f>IFERROR(IF(A369="","",T369-U369),"")</f>
        <v/>
      </c>
      <c r="W369" s="50" t="n"/>
      <c r="X369" s="50" t="n"/>
      <c r="Y369" s="51">
        <f>IFERROR(IF(A369="","",IF(X369&lt;&gt;"",X369,IF(W369&lt;&gt;"",W369,'Assumptions'!$B$8))),"")</f>
        <v/>
      </c>
      <c r="Z369" s="51">
        <f>IFERROR(IF(A369="","",R369*Y369),"")</f>
        <v/>
      </c>
      <c r="AA369" s="51">
        <f>IFERROR(IF(A369="","",Z369/H369),"")</f>
        <v/>
      </c>
      <c r="AB369" s="32" t="n"/>
      <c r="AC369" s="52" t="n"/>
      <c r="AD369" s="29">
        <f>IFERROR(IF(OR(A369="",AB369=""),"",AB369/H369),"")</f>
        <v/>
      </c>
      <c r="AE369" s="51">
        <f>IFERROR(IF(OR(A369="",AB369="",AC369=""),"",AB369*AC369),"")</f>
        <v/>
      </c>
      <c r="AF369" s="28">
        <f>IFERROR(IF(OR(A369="",AB369=""),"",AB369-R369),"")</f>
        <v/>
      </c>
      <c r="AG369" s="29">
        <f>IFERROR(IF(OR(A369="",AB369=""),"",IF(AD369-T369&lt;0,T369-AD369,AD369-T369)),"")</f>
        <v/>
      </c>
      <c r="AH369" s="51">
        <f>IFERROR(IF(OR(A369="",AE369=""),"",AE369-Z369),"")</f>
        <v/>
      </c>
      <c r="AI369" s="25">
        <f>IFERROR(IF(A369="","",IF(G369&gt;F369,"Check out-of-order rooms",IF(K369&gt;H369,"On the books exceeds sellable rooms",IF(R369&gt;H369,"Forecast exceeds sellable rooms",IF(AND(A369&lt;TODAY(),AB369=""),"Actual results missing","OK"))))),"")</f>
        <v/>
      </c>
    </row>
    <row r="370">
      <c r="A370" s="24" t="n"/>
      <c r="B370" s="25">
        <f>IFERROR(IF(A370="","",VLOOKUP(MOD(A370,7),'Assumptions'!$E$16:$F$22,2,0)),"")</f>
        <v/>
      </c>
      <c r="C370" s="25">
        <f>IFERROR(IF(A370="","",IF(A370&lt;TODAY(),"Past",IF(A370=TODAY(),"Today","Future"))),"")</f>
        <v/>
      </c>
      <c r="D370" s="26" t="n"/>
      <c r="E370" s="26" t="n"/>
      <c r="F370" s="27" t="n"/>
      <c r="G370" s="27" t="n"/>
      <c r="H370" s="28">
        <f>IFERROR(IF(A370="","",MAX(0,F370-G370)),"")</f>
        <v/>
      </c>
      <c r="I370" s="27" t="n"/>
      <c r="J370" s="27" t="n"/>
      <c r="K370" s="28">
        <f>IFERROR(IF(A370="","",I370+J370),"")</f>
        <v/>
      </c>
      <c r="L370" s="29">
        <f>IFERROR(IF(A370="","",K370/H370),"")</f>
        <v/>
      </c>
      <c r="M370" s="29">
        <f>IFERROR(IF(A370="","",VLOOKUP(B370,'Assumptions'!$A$16:$B$22,2,0)),"")</f>
        <v/>
      </c>
      <c r="N370" s="27" t="n"/>
      <c r="O370" s="27" t="n"/>
      <c r="P370" s="27" t="n"/>
      <c r="Q370" s="28">
        <f>IFERROR(IF(A370="","",MIN(H370,MAX(0,K370,ROUND(H370*M370,0)+N370+O370))),"")</f>
        <v/>
      </c>
      <c r="R370" s="28">
        <f>IFERROR(IF(A370="","",MIN(H370,MAX(0,IF(P370="",Q370,P370)))),"")</f>
        <v/>
      </c>
      <c r="S370" s="28">
        <f>IFERROR(IF(A370="","",MAX(0,R370-K370)),"")</f>
        <v/>
      </c>
      <c r="T370" s="29">
        <f>IFERROR(IF(A370="","",R370/H370),"")</f>
        <v/>
      </c>
      <c r="U370" s="29">
        <f>IFERROR(IF(A370="","",'Assumptions'!$B$5),"")</f>
        <v/>
      </c>
      <c r="V370" s="29">
        <f>IFERROR(IF(A370="","",T370-U370),"")</f>
        <v/>
      </c>
      <c r="W370" s="50" t="n"/>
      <c r="X370" s="50" t="n"/>
      <c r="Y370" s="51">
        <f>IFERROR(IF(A370="","",IF(X370&lt;&gt;"",X370,IF(W370&lt;&gt;"",W370,'Assumptions'!$B$8))),"")</f>
        <v/>
      </c>
      <c r="Z370" s="51">
        <f>IFERROR(IF(A370="","",R370*Y370),"")</f>
        <v/>
      </c>
      <c r="AA370" s="51">
        <f>IFERROR(IF(A370="","",Z370/H370),"")</f>
        <v/>
      </c>
      <c r="AB370" s="32" t="n"/>
      <c r="AC370" s="52" t="n"/>
      <c r="AD370" s="29">
        <f>IFERROR(IF(OR(A370="",AB370=""),"",AB370/H370),"")</f>
        <v/>
      </c>
      <c r="AE370" s="51">
        <f>IFERROR(IF(OR(A370="",AB370="",AC370=""),"",AB370*AC370),"")</f>
        <v/>
      </c>
      <c r="AF370" s="28">
        <f>IFERROR(IF(OR(A370="",AB370=""),"",AB370-R370),"")</f>
        <v/>
      </c>
      <c r="AG370" s="29">
        <f>IFERROR(IF(OR(A370="",AB370=""),"",IF(AD370-T370&lt;0,T370-AD370,AD370-T370)),"")</f>
        <v/>
      </c>
      <c r="AH370" s="51">
        <f>IFERROR(IF(OR(A370="",AE370=""),"",AE370-Z370),"")</f>
        <v/>
      </c>
      <c r="AI370" s="25">
        <f>IFERROR(IF(A370="","",IF(G370&gt;F370,"Check out-of-order rooms",IF(K370&gt;H370,"On the books exceeds sellable rooms",IF(R370&gt;H370,"Forecast exceeds sellable rooms",IF(AND(A370&lt;TODAY(),AB370=""),"Actual results missing","OK"))))),"")</f>
        <v/>
      </c>
    </row>
    <row r="371">
      <c r="A371" s="24" t="n"/>
      <c r="B371" s="25">
        <f>IFERROR(IF(A371="","",VLOOKUP(MOD(A371,7),'Assumptions'!$E$16:$F$22,2,0)),"")</f>
        <v/>
      </c>
      <c r="C371" s="25">
        <f>IFERROR(IF(A371="","",IF(A371&lt;TODAY(),"Past",IF(A371=TODAY(),"Today","Future"))),"")</f>
        <v/>
      </c>
      <c r="D371" s="26" t="n"/>
      <c r="E371" s="26" t="n"/>
      <c r="F371" s="27" t="n"/>
      <c r="G371" s="27" t="n"/>
      <c r="H371" s="28">
        <f>IFERROR(IF(A371="","",MAX(0,F371-G371)),"")</f>
        <v/>
      </c>
      <c r="I371" s="27" t="n"/>
      <c r="J371" s="27" t="n"/>
      <c r="K371" s="28">
        <f>IFERROR(IF(A371="","",I371+J371),"")</f>
        <v/>
      </c>
      <c r="L371" s="29">
        <f>IFERROR(IF(A371="","",K371/H371),"")</f>
        <v/>
      </c>
      <c r="M371" s="29">
        <f>IFERROR(IF(A371="","",VLOOKUP(B371,'Assumptions'!$A$16:$B$22,2,0)),"")</f>
        <v/>
      </c>
      <c r="N371" s="27" t="n"/>
      <c r="O371" s="27" t="n"/>
      <c r="P371" s="27" t="n"/>
      <c r="Q371" s="28">
        <f>IFERROR(IF(A371="","",MIN(H371,MAX(0,K371,ROUND(H371*M371,0)+N371+O371))),"")</f>
        <v/>
      </c>
      <c r="R371" s="28">
        <f>IFERROR(IF(A371="","",MIN(H371,MAX(0,IF(P371="",Q371,P371)))),"")</f>
        <v/>
      </c>
      <c r="S371" s="28">
        <f>IFERROR(IF(A371="","",MAX(0,R371-K371)),"")</f>
        <v/>
      </c>
      <c r="T371" s="29">
        <f>IFERROR(IF(A371="","",R371/H371),"")</f>
        <v/>
      </c>
      <c r="U371" s="29">
        <f>IFERROR(IF(A371="","",'Assumptions'!$B$5),"")</f>
        <v/>
      </c>
      <c r="V371" s="29">
        <f>IFERROR(IF(A371="","",T371-U371),"")</f>
        <v/>
      </c>
      <c r="W371" s="50" t="n"/>
      <c r="X371" s="50" t="n"/>
      <c r="Y371" s="51">
        <f>IFERROR(IF(A371="","",IF(X371&lt;&gt;"",X371,IF(W371&lt;&gt;"",W371,'Assumptions'!$B$8))),"")</f>
        <v/>
      </c>
      <c r="Z371" s="51">
        <f>IFERROR(IF(A371="","",R371*Y371),"")</f>
        <v/>
      </c>
      <c r="AA371" s="51">
        <f>IFERROR(IF(A371="","",Z371/H371),"")</f>
        <v/>
      </c>
      <c r="AB371" s="32" t="n"/>
      <c r="AC371" s="52" t="n"/>
      <c r="AD371" s="29">
        <f>IFERROR(IF(OR(A371="",AB371=""),"",AB371/H371),"")</f>
        <v/>
      </c>
      <c r="AE371" s="51">
        <f>IFERROR(IF(OR(A371="",AB371="",AC371=""),"",AB371*AC371),"")</f>
        <v/>
      </c>
      <c r="AF371" s="28">
        <f>IFERROR(IF(OR(A371="",AB371=""),"",AB371-R371),"")</f>
        <v/>
      </c>
      <c r="AG371" s="29">
        <f>IFERROR(IF(OR(A371="",AB371=""),"",IF(AD371-T371&lt;0,T371-AD371,AD371-T371)),"")</f>
        <v/>
      </c>
      <c r="AH371" s="51">
        <f>IFERROR(IF(OR(A371="",AE371=""),"",AE371-Z371),"")</f>
        <v/>
      </c>
      <c r="AI371" s="25">
        <f>IFERROR(IF(A371="","",IF(G371&gt;F371,"Check out-of-order rooms",IF(K371&gt;H371,"On the books exceeds sellable rooms",IF(R371&gt;H371,"Forecast exceeds sellable rooms",IF(AND(A371&lt;TODAY(),AB371=""),"Actual results missing","OK"))))),"")</f>
        <v/>
      </c>
    </row>
  </sheetData>
  <conditionalFormatting sqref="T2:T371">
    <cfRule type="expression" priority="1" dxfId="2" stopIfTrue="1">
      <formula>AND($A2&lt;&gt;"",$T2&gt;='Assumptions'!$B$6)</formula>
    </cfRule>
    <cfRule type="expression" priority="2" dxfId="1" stopIfTrue="1">
      <formula>AND($A2&lt;&gt;"",$T2&lt;'Assumptions'!$B$7)</formula>
    </cfRule>
  </conditionalFormatting>
  <conditionalFormatting sqref="V2:V371">
    <cfRule type="expression" priority="3" dxfId="1" stopIfTrue="1">
      <formula>AND($A2&lt;&gt;"",$V2&lt;0)</formula>
    </cfRule>
  </conditionalFormatting>
  <conditionalFormatting sqref="S2:S371">
    <cfRule type="expression" priority="4" dxfId="2" stopIfTrue="1">
      <formula>AND($A2&lt;&gt;"",$S2&gt;'Assumptions'!$B$9)</formula>
    </cfRule>
  </conditionalFormatting>
  <conditionalFormatting sqref="AI2:AI371">
    <cfRule type="expression" priority="5" dxfId="0" stopIfTrue="1">
      <formula>$AI2="OK"</formula>
    </cfRule>
    <cfRule type="expression" priority="6" dxfId="1" stopIfTrue="1">
      <formula>AND($A2&lt;&gt;"",$AI2&lt;&gt;"OK")</formula>
    </cfRule>
  </conditionalFormatting>
  <conditionalFormatting sqref="AG2:AG371">
    <cfRule type="expression" priority="7" dxfId="1" stopIfTrue="1">
      <formula>AND($A2&lt;&gt;"",$AG2&gt;'Assumptions'!$B$11)</formula>
    </cfRule>
  </conditionalFormatting>
  <conditionalFormatting sqref="G2:G371">
    <cfRule type="expression" priority="8" dxfId="2" stopIfTrue="1">
      <formula>AND($A2&lt;&gt;"",$G2&gt;'Assumptions'!$B$10)</formula>
    </cfRule>
  </conditionalFormatting>
  <dataValidations count="6">
    <dataValidation sqref="A2:A371" showDropDown="0" showInputMessage="0" showErrorMessage="0" allowBlank="0" type="date" operator="between">
      <formula1>DATE(2026,1,1)</formula1>
      <formula2>DATE(2030,12,31)</formula2>
    </dataValidation>
    <dataValidation sqref="F2:F371" showDropDown="0" showInputMessage="0" showErrorMessage="0" allowBlank="0" type="whole" operator="between">
      <formula1>1</formula1>
      <formula2>5000</formula2>
    </dataValidation>
    <dataValidation sqref="G2:G371" showDropDown="0" showInputMessage="0" showErrorMessage="0" allowBlank="0" type="custom">
      <formula1>OR(G2="",AND(G2&gt;=0,G2&lt;=F2))</formula1>
    </dataValidation>
    <dataValidation sqref="I2:J371 P2:P371 AB2:AB371" showDropDown="0" showInputMessage="0" showErrorMessage="0" allowBlank="0" type="whole" operator="between">
      <formula1>0</formula1>
      <formula2>5000</formula2>
    </dataValidation>
    <dataValidation sqref="N2:O371" showDropDown="0" showInputMessage="0" showErrorMessage="0" allowBlank="0" type="whole" operator="between">
      <formula1>-500</formula1>
      <formula2>500</formula2>
    </dataValidation>
    <dataValidation sqref="W2:X371 AC2:AC371" showDropDown="0" showInputMessage="0" showErrorMessage="0" allowBlank="0" type="decimal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zoomScale="70" zoomScaleNormal="70" workbookViewId="0">
      <selection activeCell="A1" sqref="A1"/>
    </sheetView>
  </sheetViews>
  <sheetFormatPr baseColWidth="8" defaultRowHeight="15"/>
  <cols>
    <col width="38" customWidth="1" min="1" max="1"/>
    <col width="24" customWidth="1" min="2" max="2"/>
    <col width="52" customWidth="1" min="3" max="3"/>
    <col hidden="1" width="13" customWidth="1" min="5" max="5"/>
    <col hidden="1" width="13" customWidth="1" min="6" max="6"/>
  </cols>
  <sheetData>
    <row r="1" ht="32" customHeight="1">
      <c r="A1" s="1" t="inlineStr">
        <is>
          <t>Hotel Forecast Assumptions</t>
        </is>
      </c>
      <c r="B1" s="45" t="n"/>
      <c r="C1" s="46" t="n"/>
    </row>
    <row r="2">
      <c r="A2" s="34" t="inlineStr">
        <is>
          <t>Setting</t>
        </is>
      </c>
      <c r="B2" s="34" t="inlineStr">
        <is>
          <t>Value</t>
        </is>
      </c>
      <c r="C2" s="34" t="inlineStr">
        <is>
          <t>Operational Use</t>
        </is>
      </c>
    </row>
    <row r="3">
      <c r="A3" s="12" t="inlineStr">
        <is>
          <t>Property Name</t>
        </is>
      </c>
      <c r="B3" s="35" t="inlineStr">
        <is>
          <t>Harbor Point Hotel</t>
        </is>
      </c>
      <c r="C3" s="36" t="inlineStr">
        <is>
          <t>Displayed on the Dashboard</t>
        </is>
      </c>
    </row>
    <row r="4">
      <c r="A4" s="12" t="inlineStr">
        <is>
          <t>Default Total Rooms</t>
        </is>
      </c>
      <c r="B4" s="35" t="n">
        <v>150</v>
      </c>
      <c r="C4" s="36" t="inlineStr">
        <is>
          <t>Standard physical room inventory</t>
        </is>
      </c>
    </row>
    <row r="5">
      <c r="A5" s="12" t="inlineStr">
        <is>
          <t>Default Target Occupancy</t>
        </is>
      </c>
      <c r="B5" s="37" t="n">
        <v>0.82</v>
      </c>
      <c r="C5" s="36" t="inlineStr">
        <is>
          <t>Daily occupancy performance target</t>
        </is>
      </c>
    </row>
    <row r="6">
      <c r="A6" s="12" t="inlineStr">
        <is>
          <t>High-Occupancy Threshold</t>
        </is>
      </c>
      <c r="B6" s="37" t="n">
        <v>0.9</v>
      </c>
      <c r="C6" s="36" t="inlineStr">
        <is>
          <t>Flags dates needing sellout planning</t>
        </is>
      </c>
    </row>
    <row r="7">
      <c r="A7" s="12" t="inlineStr">
        <is>
          <t>Low-Occupancy Threshold</t>
        </is>
      </c>
      <c r="B7" s="37" t="n">
        <v>0.6</v>
      </c>
      <c r="C7" s="36" t="inlineStr">
        <is>
          <t>Flags dates needing demand review</t>
        </is>
      </c>
    </row>
    <row r="8">
      <c r="A8" s="12" t="inlineStr">
        <is>
          <t>Default Forecast ADR</t>
        </is>
      </c>
      <c r="B8" s="53" t="n">
        <v>165</v>
      </c>
      <c r="C8" s="36" t="inlineStr">
        <is>
          <t>Used when no daily ADR is entered</t>
        </is>
      </c>
    </row>
    <row r="9">
      <c r="A9" s="12" t="inlineStr">
        <is>
          <t>Pickup Attention Threshold</t>
        </is>
      </c>
      <c r="B9" s="35" t="n">
        <v>20</v>
      </c>
      <c r="C9" s="36" t="inlineStr">
        <is>
          <t>Flags dates with significant pickup still needed</t>
        </is>
      </c>
    </row>
    <row r="10">
      <c r="A10" s="12" t="inlineStr">
        <is>
          <t>Out-of-Order Attention Threshold</t>
        </is>
      </c>
      <c r="B10" s="35" t="n">
        <v>5</v>
      </c>
      <c r="C10" s="36" t="inlineStr">
        <is>
          <t>Flags material room inventory constraints</t>
        </is>
      </c>
    </row>
    <row r="11">
      <c r="A11" s="12" t="inlineStr">
        <is>
          <t>Forecast Error Threshold</t>
        </is>
      </c>
      <c r="B11" s="37" t="n">
        <v>0.05</v>
      </c>
      <c r="C11" s="36" t="inlineStr">
        <is>
          <t>Flags large actual-versus-forecast occupancy error</t>
        </is>
      </c>
    </row>
    <row r="13">
      <c r="A13" s="39" t="inlineStr">
        <is>
          <t>Editable Day-of-Week Demand Baselines</t>
        </is>
      </c>
    </row>
    <row r="14">
      <c r="A14" s="40" t="inlineStr">
        <is>
          <t>Adjust these percentages to reflect the property's typical final occupancy by day of week.</t>
        </is>
      </c>
    </row>
    <row r="15">
      <c r="A15" s="14" t="inlineStr">
        <is>
          <t>Day of Week</t>
        </is>
      </c>
      <c r="B15" s="14" t="inlineStr">
        <is>
          <t>Baseline Occupancy</t>
        </is>
      </c>
    </row>
    <row r="16">
      <c r="A16" s="6" t="inlineStr">
        <is>
          <t>Monday</t>
        </is>
      </c>
      <c r="B16" s="41" t="n">
        <v>0.74</v>
      </c>
      <c r="E16" t="n">
        <v>2</v>
      </c>
      <c r="F16" t="inlineStr">
        <is>
          <t>Monday</t>
        </is>
      </c>
    </row>
    <row r="17">
      <c r="A17" s="6" t="inlineStr">
        <is>
          <t>Tuesday</t>
        </is>
      </c>
      <c r="B17" s="41" t="n">
        <v>0.79</v>
      </c>
      <c r="E17" t="n">
        <v>3</v>
      </c>
      <c r="F17" t="inlineStr">
        <is>
          <t>Tuesday</t>
        </is>
      </c>
    </row>
    <row r="18">
      <c r="A18" s="6" t="inlineStr">
        <is>
          <t>Wednesday</t>
        </is>
      </c>
      <c r="B18" s="41" t="n">
        <v>0.82</v>
      </c>
      <c r="E18" t="n">
        <v>4</v>
      </c>
      <c r="F18" t="inlineStr">
        <is>
          <t>Wednesday</t>
        </is>
      </c>
    </row>
    <row r="19">
      <c r="A19" s="6" t="inlineStr">
        <is>
          <t>Thursday</t>
        </is>
      </c>
      <c r="B19" s="41" t="n">
        <v>0.84</v>
      </c>
      <c r="E19" t="n">
        <v>5</v>
      </c>
      <c r="F19" t="inlineStr">
        <is>
          <t>Thursday</t>
        </is>
      </c>
    </row>
    <row r="20">
      <c r="A20" s="6" t="inlineStr">
        <is>
          <t>Friday</t>
        </is>
      </c>
      <c r="B20" s="41" t="n">
        <v>0.78</v>
      </c>
      <c r="E20" t="n">
        <v>6</v>
      </c>
      <c r="F20" t="inlineStr">
        <is>
          <t>Friday</t>
        </is>
      </c>
    </row>
    <row r="21">
      <c r="A21" s="6" t="inlineStr">
        <is>
          <t>Saturday</t>
        </is>
      </c>
      <c r="B21" s="41" t="n">
        <v>0.88</v>
      </c>
      <c r="E21" t="n">
        <v>0</v>
      </c>
      <c r="F21" t="inlineStr">
        <is>
          <t>Saturday</t>
        </is>
      </c>
    </row>
    <row r="22">
      <c r="A22" s="6" t="inlineStr">
        <is>
          <t>Sunday</t>
        </is>
      </c>
      <c r="B22" s="41" t="n">
        <v>0.62</v>
      </c>
      <c r="E22" t="n">
        <v>1</v>
      </c>
      <c r="F22" t="inlineStr">
        <is>
          <t>Sunday</t>
        </is>
      </c>
    </row>
    <row r="25">
      <c r="A25" s="39" t="inlineStr">
        <is>
          <t>Assumption Checks</t>
        </is>
      </c>
    </row>
    <row r="26">
      <c r="A26" s="12" t="inlineStr">
        <is>
          <t>Occupancy threshold order</t>
        </is>
      </c>
      <c r="B26" s="42">
        <f>IFERROR(IF(B6&gt;B7,"OK","High-occupancy threshold must be greater than low-occupancy threshold."),"Review thresholds.")</f>
        <v/>
      </c>
    </row>
    <row r="27">
      <c r="A27" s="12" t="inlineStr">
        <is>
          <t>Target occupancy range</t>
        </is>
      </c>
      <c r="B27" s="42">
        <f>IFERROR(IF(AND(B5&gt;=0,B5&lt;=1),"OK","Default target occupancy must be between 0% and 100%."),"Review target occupancy.")</f>
        <v/>
      </c>
    </row>
    <row r="28">
      <c r="A28" s="12" t="inlineStr">
        <is>
          <t>Total rooms</t>
        </is>
      </c>
      <c r="B28" s="42">
        <f>IFERROR(IF(B4&gt;0,"OK","Default total rooms must be greater than zero."),"Review total rooms.")</f>
        <v/>
      </c>
    </row>
    <row r="29">
      <c r="A29" s="12" t="inlineStr">
        <is>
          <t>Forecast error range</t>
        </is>
      </c>
      <c r="B29" s="42">
        <f>IFERROR(IF(AND(B11&gt;=0,B11&lt;=1),"OK","Forecast error threshold must be between 0% and 100%."),"Review forecast error threshold.")</f>
        <v/>
      </c>
    </row>
  </sheetData>
  <mergeCells count="1">
    <mergeCell ref="A1:C1"/>
  </mergeCells>
  <conditionalFormatting sqref="B26:B29">
    <cfRule type="expression" priority="1" dxfId="0" stopIfTrue="1">
      <formula>B26="OK"</formula>
    </cfRule>
    <cfRule type="expression" priority="2" dxfId="1" stopIfTrue="1">
      <formula>B26&lt;&gt;"OK"</formula>
    </cfRule>
  </conditionalFormatting>
  <dataValidations count="4">
    <dataValidation sqref="B4" showDropDown="0" showInputMessage="0" showErrorMessage="0" allowBlank="0" type="whole" operator="between">
      <formula1>1</formula1>
      <formula2>5000</formula2>
    </dataValidation>
    <dataValidation sqref="B5:B7 B11 B16:B22" showDropDown="0" showInputMessage="0" showErrorMessage="0" allowBlank="0" type="decimal" operator="between">
      <formula1>0</formula1>
      <formula2>1</formula2>
    </dataValidation>
    <dataValidation sqref="B8" showDropDown="0" showInputMessage="0" showErrorMessage="0" allowBlank="0" type="decimal" operator="between">
      <formula1>0</formula1>
      <formula2>10000</formula2>
    </dataValidation>
    <dataValidation sqref="B9:B10" showDropDown="0" showInputMessage="0" showErrorMessage="0" allowBlank="0" type="whole" operator="between">
      <formula1>0</formula1>
      <formula2>5000</formula2>
    </dataValidation>
  </dataValidation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zoomScale="70" zoomScaleNormal="70" workbookViewId="0">
      <selection activeCell="A1" sqref="A1"/>
    </sheetView>
  </sheetViews>
  <sheetFormatPr baseColWidth="8" defaultRowHeight="15"/>
  <cols>
    <col width="115" customWidth="1" min="1" max="1"/>
  </cols>
  <sheetData>
    <row r="1" ht="32" customHeight="1">
      <c r="A1" s="1" t="inlineStr">
        <is>
          <t>Hotel Occupancy Forecast Instructions</t>
        </is>
      </c>
      <c r="B1" s="45" t="n"/>
      <c r="C1" s="45" t="n"/>
      <c r="D1" s="45" t="n"/>
      <c r="E1" s="45" t="n"/>
      <c r="F1" s="46" t="n"/>
    </row>
    <row r="3">
      <c r="A3" s="7" t="inlineStr">
        <is>
          <t>Getting Started</t>
        </is>
      </c>
    </row>
    <row r="4" ht="30" customHeight="1">
      <c r="A4" s="43" t="inlineStr">
        <is>
          <t>1. Review the property settings and operating thresholds on the Assumptions worksheet.</t>
        </is>
      </c>
    </row>
    <row r="5" ht="30" customHeight="1">
      <c r="A5" s="44" t="inlineStr">
        <is>
          <t>2. Enter or paste one row per forecast date on the Daily Forecast worksheet.</t>
        </is>
      </c>
    </row>
    <row r="6" ht="30" customHeight="1">
      <c r="A6" s="43" t="inlineStr">
        <is>
          <t>3. Update rooms on the books, out-of-order rooms, expected pickup, and ADR as new information becomes available.</t>
        </is>
      </c>
    </row>
    <row r="7" ht="30" customHeight="1">
      <c r="A7" s="44" t="inlineStr">
        <is>
          <t>4. Use the management override only when the team has a documented reason to replace the model result.</t>
        </is>
      </c>
    </row>
    <row r="8" ht="30" customHeight="1">
      <c r="A8" s="43" t="inlineStr">
        <is>
          <t>5. Select a date range on the Dashboard to review the operating outlook.</t>
        </is>
      </c>
    </row>
    <row r="10">
      <c r="A10" s="7" t="inlineStr">
        <is>
          <t>Input Guidance</t>
        </is>
      </c>
    </row>
    <row r="11" ht="30" customHeight="1">
      <c r="A11" s="44" t="inlineStr">
        <is>
          <t>Transient Rooms on the Books includes currently reserved non-group rooms.</t>
        </is>
      </c>
    </row>
    <row r="12" ht="30" customHeight="1">
      <c r="A12" s="43" t="inlineStr">
        <is>
          <t>Group Rooms on the Books includes reserved group rooms expected to occupy.</t>
        </is>
      </c>
    </row>
    <row r="13" ht="30" customHeight="1">
      <c r="A13" s="44" t="inlineStr">
        <is>
          <t>Expected Pickup Rooms is the net number of additional rooms expected before arrival and may be negative when wash or cancellations are expected.</t>
        </is>
      </c>
    </row>
    <row r="14" ht="30" customHeight="1">
      <c r="A14" s="43" t="inlineStr">
        <is>
          <t>Event Demand Adjustment is an additional room-demand adjustment for known local events or unusual demand conditions.</t>
        </is>
      </c>
    </row>
    <row r="15" ht="30" customHeight="1">
      <c r="A15" s="44" t="inlineStr">
        <is>
          <t>Out-of-Order Rooms reduces sellable inventory.</t>
        </is>
      </c>
    </row>
    <row r="16" ht="30" customHeight="1">
      <c r="A16" s="43" t="inlineStr">
        <is>
          <t>Management Occupied Rooms Override replaces the model forecast but remains capped at sellable rooms.</t>
        </is>
      </c>
    </row>
    <row r="17" ht="30" customHeight="1">
      <c r="A17" s="44" t="inlineStr">
        <is>
          <t>On-the-Books ADR should represent the expected average daily room rate for currently booked rooms.</t>
        </is>
      </c>
    </row>
    <row r="18" ht="30" customHeight="1">
      <c r="A18" s="43" t="inlineStr">
        <is>
          <t>Actual Occupied Rooms and Actual ADR should be entered after the business date to measure forecast accuracy.</t>
        </is>
      </c>
    </row>
    <row r="20">
      <c r="A20" s="7" t="inlineStr">
        <is>
          <t>Recommended Operating Routine</t>
        </is>
      </c>
    </row>
    <row r="21" ht="30" customHeight="1">
      <c r="A21" s="44" t="inlineStr">
        <is>
          <t>Update the next 14 days daily.</t>
        </is>
      </c>
    </row>
    <row r="22" ht="30" customHeight="1">
      <c r="A22" s="43" t="inlineStr">
        <is>
          <t>Review the next 30 to 90 days at least weekly.</t>
        </is>
      </c>
    </row>
    <row r="23" ht="30" customHeight="1">
      <c r="A23" s="44" t="inlineStr">
        <is>
          <t>Confirm group room counts with the sales or events team.</t>
        </is>
      </c>
    </row>
    <row r="24" ht="30" customHeight="1">
      <c r="A24" s="43" t="inlineStr">
        <is>
          <t>Review out-of-order inventory with housekeeping and engineering.</t>
        </is>
      </c>
    </row>
    <row r="25" ht="30" customHeight="1">
      <c r="A25" s="44" t="inlineStr">
        <is>
          <t>Investigate dates below the low-occupancy threshold.</t>
        </is>
      </c>
    </row>
    <row r="26" ht="30" customHeight="1">
      <c r="A26" s="43" t="inlineStr">
        <is>
          <t>Prepare staffing and room readiness plans for dates above the high-occupancy threshold.</t>
        </is>
      </c>
    </row>
    <row r="27" ht="30" customHeight="1">
      <c r="A27" s="44" t="inlineStr">
        <is>
          <t>Enter actual results so the team can monitor forecast accuracy.</t>
        </is>
      </c>
    </row>
    <row r="29">
      <c r="A29" s="7" t="inlineStr">
        <is>
          <t>Important Notes</t>
        </is>
      </c>
    </row>
    <row r="30" ht="30" customHeight="1">
      <c r="A30" s="43" t="inlineStr">
        <is>
          <t>This workbook is a planning tool and does not connect to a PMS, channel manager, payroll system, or accounting system.</t>
        </is>
      </c>
    </row>
    <row r="31" ht="30" customHeight="1">
      <c r="A31" s="44" t="inlineStr">
        <is>
          <t>Source data may be entered manually or pasted from an existing operational report.</t>
        </is>
      </c>
    </row>
    <row r="32" ht="30" customHeight="1">
      <c r="A32" s="43" t="inlineStr">
        <is>
          <t>The workbook does not provide legal, tax, accounting, or compliance guidance.</t>
        </is>
      </c>
    </row>
    <row r="33" ht="30" customHeight="1">
      <c r="A33" s="44" t="inlineStr">
        <is>
          <t>Users should validate forecast assumptions against the property's current operating conditions.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2026-09-06T09:15:36Z</dcterms:created>
  <dcterms:modified xmlns:dcterms="http://purl.org/dc/terms/" xmlns:xsi="http://www.w3.org/2001/XMLSchema-instance" xsi:type="dcterms:W3CDTF">2026-09-06T09:15:39+00:00Z</dcterms:modified>
</cp:coreProperties>
</file>