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No-Show Log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'Dashboard'!$A$1:$R$30</definedName>
    <definedName name="_xlnm._FilterDatabase" localSheetId="1" hidden="1">'No-Show Log'!$A$4:$AM$504</definedName>
    <definedName name="_xlnm.Print_Area" localSheetId="1">'No-Show Log'!$A$1:$AM$40</definedName>
    <definedName name="_xlnm.Print_Area" localSheetId="2">'Assumptions'!$A$1:$H$15</definedName>
    <definedName name="_xlnm.Print_Area" localSheetId="3">'Instructions'!$A$1:$H$34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m"/>
    <numFmt numFmtId="165" formatCode="m/d/yyyy"/>
    <numFmt numFmtId="166" formatCode="$#,##0.00"/>
    <numFmt numFmtId="167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7324D"/>
      <sz val="11"/>
    </font>
    <font>
      <name val="Calibri"/>
      <color rgb="004B5563"/>
      <sz val="9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17324D"/>
      <sz val="15"/>
    </font>
    <font>
      <name val="Calibri"/>
      <b val="1"/>
      <color rgb="00FFFFFF"/>
      <sz val="11"/>
    </font>
  </fonts>
  <fills count="13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FFFFF"/>
      </patternFill>
    </fill>
    <fill>
      <patternFill patternType="solid">
        <fgColor rgb="00F2F7F8"/>
      </patternFill>
    </fill>
    <fill>
      <patternFill patternType="solid">
        <fgColor rgb="00FCE5CD"/>
      </patternFill>
    </fill>
    <fill>
      <patternFill patternType="solid">
        <fgColor rgb="00F4CCCC"/>
      </patternFill>
    </fill>
    <fill>
      <patternFill patternType="solid">
        <fgColor rgb="00D9EAD3"/>
      </patternFill>
    </fill>
    <fill>
      <patternFill patternType="solid">
        <fgColor rgb="00D9D9D9"/>
      </patternFill>
    </fill>
    <fill>
      <patternFill patternType="solid">
        <fgColor rgb="00DDEBF7"/>
      </patternFill>
    </fill>
    <fill>
      <patternFill patternType="solid">
        <fgColor rgb="00E7E9E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164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0" fontId="0" fillId="5" borderId="1" pivotButton="0" quotePrefix="0" xfId="0"/>
    <xf numFmtId="0" fontId="4" fillId="3" borderId="1" applyAlignment="1" pivotButton="0" quotePrefix="0" xfId="0">
      <alignment horizontal="center" vertical="center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left" vertical="center" wrapText="1"/>
    </xf>
    <xf numFmtId="164" fontId="0" fillId="6" borderId="1" pivotButton="0" quotePrefix="0" xfId="0"/>
    <xf numFmtId="165" fontId="0" fillId="6" borderId="1" pivotButton="0" quotePrefix="0" xfId="0"/>
    <xf numFmtId="166" fontId="0" fillId="6" borderId="1" pivotButton="0" quotePrefix="0" xfId="0"/>
    <xf numFmtId="0" fontId="0" fillId="6" borderId="1" pivotButton="0" quotePrefix="0" xfId="0"/>
    <xf numFmtId="1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0" fontId="7" fillId="2" borderId="0" applyAlignment="1" pivotButton="0" quotePrefix="0" xfId="0">
      <alignment horizontal="left" vertical="center"/>
    </xf>
    <xf numFmtId="0" fontId="7" fillId="2" borderId="0" pivotButton="0" quotePrefix="0" xfId="0"/>
    <xf numFmtId="0" fontId="0" fillId="6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right" vertical="center"/>
    </xf>
    <xf numFmtId="166" fontId="0" fillId="6" borderId="1" applyAlignment="1" pivotButton="0" quotePrefix="0" xfId="0">
      <alignment horizontal="right" vertical="center"/>
    </xf>
    <xf numFmtId="167" fontId="0" fillId="6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right" vertical="center"/>
    </xf>
    <xf numFmtId="167" fontId="0" fillId="5" borderId="1" applyAlignment="1" pivotButton="0" quotePrefix="0" xfId="0">
      <alignment horizontal="right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4" borderId="1" pivotButton="0" quotePrefix="0" xfId="0"/>
    <xf numFmtId="167" fontId="0" fillId="4" borderId="1" pivotButton="0" quotePrefix="0" xfId="0"/>
    <xf numFmtId="0" fontId="5" fillId="11" borderId="1" pivotButton="0" quotePrefix="0" xfId="0"/>
    <xf numFmtId="0" fontId="5" fillId="12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5" fillId="11" borderId="1" applyAlignment="1" applyProtection="1" pivotButton="0" quotePrefix="0" xfId="0">
      <alignment horizontal="left" vertical="center"/>
      <protection locked="0" hidden="0"/>
    </xf>
    <xf numFmtId="165" fontId="5" fillId="11" borderId="1" applyAlignment="1" applyProtection="1" pivotButton="0" quotePrefix="0" xfId="0">
      <alignment horizontal="left" vertical="center"/>
      <protection locked="0" hidden="0"/>
    </xf>
    <xf numFmtId="1" fontId="5" fillId="11" borderId="1" applyAlignment="1" applyProtection="1" pivotButton="0" quotePrefix="0" xfId="0">
      <alignment horizontal="left" vertical="center"/>
      <protection locked="0" hidden="0"/>
    </xf>
    <xf numFmtId="166" fontId="5" fillId="11" borderId="1" applyAlignment="1" applyProtection="1" pivotButton="0" quotePrefix="0" xfId="0">
      <alignment horizontal="left" vertical="center"/>
      <protection locked="0" hidden="0"/>
    </xf>
    <xf numFmtId="167" fontId="5" fillId="11" borderId="1" applyAlignment="1" applyProtection="1" pivotButton="0" quotePrefix="0" xfId="0">
      <alignment horizontal="left" vertical="center"/>
      <protection locked="0" hidden="0"/>
    </xf>
    <xf numFmtId="0" fontId="5" fillId="11" borderId="1" applyAlignment="1" applyProtection="1" pivotButton="0" quotePrefix="0" xfId="0">
      <alignment horizontal="left" vertical="center" wrapText="1"/>
      <protection locked="0" hidden="0"/>
    </xf>
    <xf numFmtId="1" fontId="5" fillId="12" borderId="1" applyAlignment="1" pivotButton="0" quotePrefix="0" xfId="0">
      <alignment horizontal="left" vertical="center"/>
    </xf>
    <xf numFmtId="166" fontId="5" fillId="12" borderId="1" applyAlignment="1" pivotButton="0" quotePrefix="0" xfId="0">
      <alignment horizontal="left" vertical="center"/>
    </xf>
    <xf numFmtId="167" fontId="5" fillId="12" borderId="1" applyAlignment="1" pivotButton="0" quotePrefix="0" xfId="0">
      <alignment horizontal="left" vertical="center"/>
    </xf>
    <xf numFmtId="165" fontId="5" fillId="12" borderId="1" applyAlignment="1" pivotButton="0" quotePrefix="0" xfId="0">
      <alignment horizontal="left" vertical="center"/>
    </xf>
    <xf numFmtId="0" fontId="5" fillId="12" borderId="1" applyAlignment="1" pivotButton="0" quotePrefix="0" xfId="0">
      <alignment horizontal="left" vertical="center"/>
    </xf>
    <xf numFmtId="0" fontId="5" fillId="12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7" fontId="0" fillId="4" borderId="1" applyAlignment="1" applyProtection="1" pivotButton="0" quotePrefix="0" xfId="0">
      <alignment horizontal="left" vertical="center" wrapText="1"/>
      <protection locked="0" hidden="0"/>
    </xf>
    <xf numFmtId="0" fontId="0" fillId="4" borderId="1" applyProtection="1" pivotButton="0" quotePrefix="0" xfId="0">
      <protection locked="0" hidden="0"/>
    </xf>
    <xf numFmtId="166" fontId="0" fillId="4" borderId="1" applyAlignment="1" applyProtection="1" pivotButton="0" quotePrefix="0" xfId="0">
      <alignment horizontal="left" vertical="center" wrapText="1"/>
      <protection locked="0" hidden="0"/>
    </xf>
    <xf numFmtId="1" fontId="0" fillId="4" borderId="1" applyAlignment="1" applyProtection="1" pivotButton="0" quotePrefix="0" xfId="0">
      <alignment horizontal="left" vertical="center" wrapText="1"/>
      <protection locked="0" hidden="0"/>
    </xf>
    <xf numFmtId="0" fontId="7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0" fillId="5" borderId="1" pivotButton="0" quotePrefix="0" xfId="0"/>
    <xf numFmtId="164" fontId="0" fillId="6" borderId="1" pivotButton="0" quotePrefix="0" xfId="0"/>
  </cellXfs>
  <cellStyles count="1">
    <cellStyle name="Normal" xfId="0" builtinId="0" hidden="0"/>
  </cellStyles>
  <dxfs count="4"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No-Show Financial Impact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'Dashboard'!V2</f>
            </strRef>
          </tx>
          <spPr>
            <a:solidFill xmlns:a="http://schemas.openxmlformats.org/drawingml/2006/main">
              <a:srgbClr val="C89B3C"/>
            </a:solidFill>
            <a:ln xmlns:a="http://schemas.openxmlformats.org/drawingml/2006/main">
              <a:solidFill>
                <a:srgbClr val="C89B3C"/>
              </a:solidFill>
              <a:prstDash val="solid"/>
            </a:ln>
          </spPr>
          <cat>
            <numRef>
              <f>'Dashboard'!$T$3:$T$14</f>
            </numRef>
          </cat>
          <val>
            <numRef>
              <f>'Dashboard'!$V$3:$V$14</f>
            </numRef>
          </val>
        </ser>
        <ser>
          <idx val="1"/>
          <order val="1"/>
          <tx>
            <strRef>
              <f>'Dashboard'!W2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solidFill>
                <a:srgbClr val="147D64"/>
              </a:solidFill>
              <a:prstDash val="solid"/>
            </a:ln>
          </spPr>
          <cat>
            <numRef>
              <f>'Dashboard'!$T$3:$T$14</f>
            </numRef>
          </cat>
          <val>
            <numRef>
              <f>'Dashboard'!$W$3:$W$14</f>
            </numRef>
          </val>
        </ser>
        <ser>
          <idx val="2"/>
          <order val="2"/>
          <tx>
            <strRef>
              <f>'Dashboard'!X2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solidFill>
                <a:srgbClr val="C73939"/>
              </a:solidFill>
              <a:prstDash val="solid"/>
            </a:ln>
          </spPr>
          <cat>
            <numRef>
              <f>'Dashboard'!$T$3:$T$14</f>
            </numRef>
          </cat>
          <val>
            <numRef>
              <f>'Dashboard'!$X$3:$X$14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No-Show Cost by Booking Source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'Dashboard'!E15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solidFill>
                <a:srgbClr val="C73939"/>
              </a:solidFill>
              <a:prstDash val="solid"/>
            </a:ln>
          </spPr>
          <cat>
            <numRef>
              <f>'Dashboard'!$A$16:$A$23</f>
            </numRef>
          </cat>
          <val>
            <numRef>
              <f>'Dashboard'!$E$16:$E$23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Booking Source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2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NoShowLog" displayName="NoShowLog" ref="A4:AM504" headerRowCount="1">
  <autoFilter ref="A4:AM504"/>
  <tableColumns count="39">
    <tableColumn id="1" name="Reservation ID"/>
    <tableColumn id="2" name="Arrival Date"/>
    <tableColumn id="3" name="Departure Date"/>
    <tableColumn id="4" name="Booking Source"/>
    <tableColumn id="5" name="Room Type"/>
    <tableColumn id="6" name="Booked Room Nights"/>
    <tableColumn id="7" name="Resold Room Nights"/>
    <tableColumn id="8" name="Booked Room Revenue"/>
    <tableColumn id="9" name="Estimated Ancillary Revenue"/>
    <tableColumn id="10" name="Policy Charge Rate"/>
    <tableColumn id="11" name="Service Charge Rate"/>
    <tableColumn id="12" name="Tax Rate"/>
    <tableColumn id="13" name="Amount Collected Before Tax"/>
    <tableColumn id="14" name="Tax Collected"/>
    <tableColumn id="15" name="Resale Room Revenue"/>
    <tableColumn id="16" name="Direct Collection Cost"/>
    <tableColumn id="17" name="Staff Handling Minutes"/>
    <tableColumn id="18" name="Follow-Up Owner"/>
    <tableColumn id="19" name="Collection Status"/>
    <tableColumn id="20" name="Last Follow-Up Date"/>
    <tableColumn id="21" name="Notes"/>
    <tableColumn id="22" name="Nights Not Resold"/>
    <tableColumn id="23" name="Gross Expected Revenue"/>
    <tableColumn id="24" name="Expected Base No-Show Charge"/>
    <tableColumn id="25" name="Expected Service Charge"/>
    <tableColumn id="26" name="Expected Tax"/>
    <tableColumn id="27" name="Expected Total Collection"/>
    <tableColumn id="28" name="Avoided Room Variable Cost"/>
    <tableColumn id="29" name="Avoided Ancillary Cost"/>
    <tableColumn id="30" name="Total Avoided Costs"/>
    <tableColumn id="31" name="Payment Processing Cost"/>
    <tableColumn id="32" name="Staff Handling Cost"/>
    <tableColumn id="33" name="Collection and Handling Cost"/>
    <tableColumn id="34" name="Total Revenue Recovered"/>
    <tableColumn id="35" name="Recovery Rate"/>
    <tableColumn id="36" name="Net No-Show Cost"/>
    <tableColumn id="37" name="Follow-Up Due Date"/>
    <tableColumn id="38" name="Follow-Up Status"/>
    <tableColumn id="39" name="Review Flag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29" customWidth="1" min="4" max="4"/>
    <col width="18" customWidth="1" min="5" max="5"/>
    <col width="19" customWidth="1" min="6" max="6"/>
    <col width="3" customWidth="1" min="7" max="7"/>
    <col width="2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hidden="1" width="18" customWidth="1" min="20" max="20"/>
    <col hidden="1" width="18" customWidth="1" min="21" max="21"/>
    <col hidden="1" width="18" customWidth="1" min="22" max="22"/>
    <col hidden="1" width="18" customWidth="1" min="23" max="23"/>
    <col hidden="1" width="18" customWidth="1" min="24" max="24"/>
    <col hidden="1" width="18" customWidth="1" min="25" max="25"/>
  </cols>
  <sheetData>
    <row r="1" ht="28" customHeight="1">
      <c r="A1" s="1" t="inlineStr">
        <is>
          <t>Hotel No-Show Cost Dashboard</t>
        </is>
      </c>
    </row>
    <row r="2">
      <c r="A2" s="2" t="inlineStr">
        <is>
          <t>Track lost revenue, recovered charges, room resales, avoided costs, and collection follow-up.</t>
        </is>
      </c>
      <c r="T2" s="3" t="inlineStr">
        <is>
          <t>Month</t>
        </is>
      </c>
      <c r="U2" s="3" t="inlineStr">
        <is>
          <t>Month Start</t>
        </is>
      </c>
      <c r="V2" s="3" t="inlineStr">
        <is>
          <t>Gross Expected Revenue</t>
        </is>
      </c>
      <c r="W2" s="3" t="inlineStr">
        <is>
          <t>Total Revenue Recovered</t>
        </is>
      </c>
      <c r="X2" s="3" t="inlineStr">
        <is>
          <t>Net No-Show Cost</t>
        </is>
      </c>
      <c r="Y2" s="3" t="inlineStr">
        <is>
          <t>No-Show Reservations</t>
        </is>
      </c>
    </row>
    <row r="3">
      <c r="T3" s="59" t="n">
        <v>46023</v>
      </c>
      <c r="U3" s="5" t="n">
        <v>46023</v>
      </c>
      <c r="V3" s="6">
        <f>IFERROR(SUMIFS('No-Show Log'!$W$5:$W$504,'No-Show Log'!$B$5:$B$504,"&gt;="&amp;MAX($B$4,$U3),'No-Show Log'!$B$5:$B$504,"&lt;"&amp;MIN($D$4+1,DATE(2026,2,1))),0)</f>
        <v/>
      </c>
      <c r="W3" s="6">
        <f>IFERROR(SUMIFS('No-Show Log'!$AH$5:$AH$504,'No-Show Log'!$B$5:$B$504,"&gt;="&amp;MAX($B$4,$U3),'No-Show Log'!$B$5:$B$504,"&lt;"&amp;MIN($D$4+1,DATE(2026,2,1))),0)</f>
        <v/>
      </c>
      <c r="X3" s="6">
        <f>IFERROR(SUMIFS('No-Show Log'!$AJ$5:$AJ$504,'No-Show Log'!$B$5:$B$504,"&gt;="&amp;MAX($B$4,$U3),'No-Show Log'!$B$5:$B$504,"&lt;"&amp;MIN($D$4+1,DATE(2026,2,1))),0)</f>
        <v/>
      </c>
      <c r="Y3" s="7">
        <f>IFERROR(COUNTIFS('No-Show Log'!$B$5:$B$504,"&gt;="&amp;MAX($B$4,$U3),'No-Show Log'!$B$5:$B$504,"&lt;"&amp;MIN($D$4+1,DATE(2026,2,1)),'No-Show Log'!$A$5:$A$504,"&lt;&gt;"),0)</f>
        <v/>
      </c>
    </row>
    <row r="4">
      <c r="A4" s="8" t="inlineStr">
        <is>
          <t>Report Start Date</t>
        </is>
      </c>
      <c r="B4" s="9" t="n">
        <v>46023</v>
      </c>
      <c r="C4" s="8" t="inlineStr">
        <is>
          <t>Report End Date</t>
        </is>
      </c>
      <c r="D4" s="9" t="n">
        <v>46387</v>
      </c>
      <c r="F4" s="10" t="inlineStr">
        <is>
          <t>Change the report dates below to update dashboard metrics and charts.</t>
        </is>
      </c>
      <c r="T4" s="60" t="n">
        <v>46054</v>
      </c>
      <c r="U4" s="12" t="n">
        <v>46054</v>
      </c>
      <c r="V4" s="13">
        <f>IFERROR(SUMIFS('No-Show Log'!$W$5:$W$504,'No-Show Log'!$B$5:$B$504,"&gt;="&amp;MAX($B$4,$U4),'No-Show Log'!$B$5:$B$504,"&lt;"&amp;MIN($D$4+1,DATE(2026,3,1))),0)</f>
        <v/>
      </c>
      <c r="W4" s="13">
        <f>IFERROR(SUMIFS('No-Show Log'!$AH$5:$AH$504,'No-Show Log'!$B$5:$B$504,"&gt;="&amp;MAX($B$4,$U4),'No-Show Log'!$B$5:$B$504,"&lt;"&amp;MIN($D$4+1,DATE(2026,3,1))),0)</f>
        <v/>
      </c>
      <c r="X4" s="13">
        <f>IFERROR(SUMIFS('No-Show Log'!$AJ$5:$AJ$504,'No-Show Log'!$B$5:$B$504,"&gt;="&amp;MAX($B$4,$U4),'No-Show Log'!$B$5:$B$504,"&lt;"&amp;MIN($D$4+1,DATE(2026,3,1))),0)</f>
        <v/>
      </c>
      <c r="Y4" s="14">
        <f>IFERROR(COUNTIFS('No-Show Log'!$B$5:$B$504,"&gt;="&amp;MAX($B$4,$U4),'No-Show Log'!$B$5:$B$504,"&lt;"&amp;MIN($D$4+1,DATE(2026,3,1)),'No-Show Log'!$A$5:$A$504,"&lt;&gt;"),0)</f>
        <v/>
      </c>
    </row>
    <row r="5">
      <c r="T5" s="59" t="n">
        <v>46082</v>
      </c>
      <c r="U5" s="5" t="n">
        <v>46082</v>
      </c>
      <c r="V5" s="6">
        <f>IFERROR(SUMIFS('No-Show Log'!$W$5:$W$504,'No-Show Log'!$B$5:$B$504,"&gt;="&amp;MAX($B$4,$U5),'No-Show Log'!$B$5:$B$504,"&lt;"&amp;MIN($D$4+1,DATE(2026,4,1))),0)</f>
        <v/>
      </c>
      <c r="W5" s="6">
        <f>IFERROR(SUMIFS('No-Show Log'!$AH$5:$AH$504,'No-Show Log'!$B$5:$B$504,"&gt;="&amp;MAX($B$4,$U5),'No-Show Log'!$B$5:$B$504,"&lt;"&amp;MIN($D$4+1,DATE(2026,4,1))),0)</f>
        <v/>
      </c>
      <c r="X5" s="6">
        <f>IFERROR(SUMIFS('No-Show Log'!$AJ$5:$AJ$504,'No-Show Log'!$B$5:$B$504,"&gt;="&amp;MAX($B$4,$U5),'No-Show Log'!$B$5:$B$504,"&lt;"&amp;MIN($D$4+1,DATE(2026,4,1))),0)</f>
        <v/>
      </c>
      <c r="Y5" s="7">
        <f>IFERROR(COUNTIFS('No-Show Log'!$B$5:$B$504,"&gt;="&amp;MAX($B$4,$U5),'No-Show Log'!$B$5:$B$504,"&lt;"&amp;MIN($D$4+1,DATE(2026,4,1)),'No-Show Log'!$A$5:$A$504,"&lt;&gt;"),0)</f>
        <v/>
      </c>
    </row>
    <row r="6">
      <c r="T6" s="60" t="n">
        <v>46113</v>
      </c>
      <c r="U6" s="12" t="n">
        <v>46113</v>
      </c>
      <c r="V6" s="13">
        <f>IFERROR(SUMIFS('No-Show Log'!$W$5:$W$504,'No-Show Log'!$B$5:$B$504,"&gt;="&amp;MAX($B$4,$U6),'No-Show Log'!$B$5:$B$504,"&lt;"&amp;MIN($D$4+1,DATE(2026,5,1))),0)</f>
        <v/>
      </c>
      <c r="W6" s="13">
        <f>IFERROR(SUMIFS('No-Show Log'!$AH$5:$AH$504,'No-Show Log'!$B$5:$B$504,"&gt;="&amp;MAX($B$4,$U6),'No-Show Log'!$B$5:$B$504,"&lt;"&amp;MIN($D$4+1,DATE(2026,5,1))),0)</f>
        <v/>
      </c>
      <c r="X6" s="13">
        <f>IFERROR(SUMIFS('No-Show Log'!$AJ$5:$AJ$504,'No-Show Log'!$B$5:$B$504,"&gt;="&amp;MAX($B$4,$U6),'No-Show Log'!$B$5:$B$504,"&lt;"&amp;MIN($D$4+1,DATE(2026,5,1))),0)</f>
        <v/>
      </c>
      <c r="Y6" s="14">
        <f>IFERROR(COUNTIFS('No-Show Log'!$B$5:$B$504,"&gt;="&amp;MAX($B$4,$U6),'No-Show Log'!$B$5:$B$504,"&lt;"&amp;MIN($D$4+1,DATE(2026,5,1)),'No-Show Log'!$A$5:$A$504,"&lt;&gt;"),0)</f>
        <v/>
      </c>
    </row>
    <row r="7">
      <c r="A7" s="3" t="inlineStr">
        <is>
          <t>No-Show Reservations</t>
        </is>
      </c>
      <c r="B7" s="15">
        <f>IFERROR(COUNTIFS('No-Show Log'!$B$5:$B$504,"&gt;="&amp;$B$4,'No-Show Log'!$B$5:$B$504,"&lt;="&amp;$D$4,'No-Show Log'!$A$5:$A$504,"&lt;&gt;"),0)</f>
        <v/>
      </c>
      <c r="D7" s="3" t="inlineStr">
        <is>
          <t>Collection and Handling Costs</t>
        </is>
      </c>
      <c r="E7" s="16">
        <f>IFERROR(SUMIFS('No-Show Log'!$AG$5:$AG$504,'No-Show Log'!$B$5:$B$504,"&gt;="&amp;$B$4,'No-Show Log'!$B$5:$B$504,"&lt;="&amp;$D$4),0)</f>
        <v/>
      </c>
      <c r="T7" s="59" t="n">
        <v>46143</v>
      </c>
      <c r="U7" s="5" t="n">
        <v>46143</v>
      </c>
      <c r="V7" s="6">
        <f>IFERROR(SUMIFS('No-Show Log'!$W$5:$W$504,'No-Show Log'!$B$5:$B$504,"&gt;="&amp;MAX($B$4,$U7),'No-Show Log'!$B$5:$B$504,"&lt;"&amp;MIN($D$4+1,DATE(2026,6,1))),0)</f>
        <v/>
      </c>
      <c r="W7" s="6">
        <f>IFERROR(SUMIFS('No-Show Log'!$AH$5:$AH$504,'No-Show Log'!$B$5:$B$504,"&gt;="&amp;MAX($B$4,$U7),'No-Show Log'!$B$5:$B$504,"&lt;"&amp;MIN($D$4+1,DATE(2026,6,1))),0)</f>
        <v/>
      </c>
      <c r="X7" s="6">
        <f>IFERROR(SUMIFS('No-Show Log'!$AJ$5:$AJ$504,'No-Show Log'!$B$5:$B$504,"&gt;="&amp;MAX($B$4,$U7),'No-Show Log'!$B$5:$B$504,"&lt;"&amp;MIN($D$4+1,DATE(2026,6,1))),0)</f>
        <v/>
      </c>
      <c r="Y7" s="7">
        <f>IFERROR(COUNTIFS('No-Show Log'!$B$5:$B$504,"&gt;="&amp;MAX($B$4,$U7),'No-Show Log'!$B$5:$B$504,"&lt;"&amp;MIN($D$4+1,DATE(2026,6,1)),'No-Show Log'!$A$5:$A$504,"&lt;&gt;"),0)</f>
        <v/>
      </c>
    </row>
    <row r="8">
      <c r="A8" s="3" t="inlineStr">
        <is>
          <t>Room Nights Not Occupied</t>
        </is>
      </c>
      <c r="B8" s="15">
        <f>IFERROR(SUMIFS('No-Show Log'!$V$5:$V$504,'No-Show Log'!$B$5:$B$504,"&gt;="&amp;$B$4,'No-Show Log'!$B$5:$B$504,"&lt;="&amp;$D$4),0)</f>
        <v/>
      </c>
      <c r="D8" s="3" t="inlineStr">
        <is>
          <t>Net No-Show Cost</t>
        </is>
      </c>
      <c r="E8" s="16">
        <f>IFERROR(SUMIFS('No-Show Log'!$AJ$5:$AJ$504,'No-Show Log'!$B$5:$B$504,"&gt;="&amp;$B$4,'No-Show Log'!$B$5:$B$504,"&lt;="&amp;$D$4),0)</f>
        <v/>
      </c>
      <c r="T8" s="60" t="n">
        <v>46174</v>
      </c>
      <c r="U8" s="12" t="n">
        <v>46174</v>
      </c>
      <c r="V8" s="13">
        <f>IFERROR(SUMIFS('No-Show Log'!$W$5:$W$504,'No-Show Log'!$B$5:$B$504,"&gt;="&amp;MAX($B$4,$U8),'No-Show Log'!$B$5:$B$504,"&lt;"&amp;MIN($D$4+1,DATE(2026,7,1))),0)</f>
        <v/>
      </c>
      <c r="W8" s="13">
        <f>IFERROR(SUMIFS('No-Show Log'!$AH$5:$AH$504,'No-Show Log'!$B$5:$B$504,"&gt;="&amp;MAX($B$4,$U8),'No-Show Log'!$B$5:$B$504,"&lt;"&amp;MIN($D$4+1,DATE(2026,7,1))),0)</f>
        <v/>
      </c>
      <c r="X8" s="13">
        <f>IFERROR(SUMIFS('No-Show Log'!$AJ$5:$AJ$504,'No-Show Log'!$B$5:$B$504,"&gt;="&amp;MAX($B$4,$U8),'No-Show Log'!$B$5:$B$504,"&lt;"&amp;MIN($D$4+1,DATE(2026,7,1))),0)</f>
        <v/>
      </c>
      <c r="Y8" s="14">
        <f>IFERROR(COUNTIFS('No-Show Log'!$B$5:$B$504,"&gt;="&amp;MAX($B$4,$U8),'No-Show Log'!$B$5:$B$504,"&lt;"&amp;MIN($D$4+1,DATE(2026,7,1)),'No-Show Log'!$A$5:$A$504,"&lt;&gt;"),0)</f>
        <v/>
      </c>
    </row>
    <row r="9">
      <c r="A9" s="3" t="inlineStr">
        <is>
          <t>Gross Expected Revenue</t>
        </is>
      </c>
      <c r="B9" s="16">
        <f>IFERROR(SUMIFS('No-Show Log'!$W$5:$W$504,'No-Show Log'!$B$5:$B$504,"&gt;="&amp;$B$4,'No-Show Log'!$B$5:$B$504,"&lt;="&amp;$D$4),0)</f>
        <v/>
      </c>
      <c r="D9" s="3" t="inlineStr">
        <is>
          <t>Recovery Rate</t>
        </is>
      </c>
      <c r="E9" s="17">
        <f>IFERROR(SUMIFS('No-Show Log'!$AH$5:$AH$504,'No-Show Log'!$B$5:$B$504,"&gt;="&amp;$B$4,'No-Show Log'!$B$5:$B$504,"&lt;="&amp;$D$4)/SUMIFS('No-Show Log'!$W$5:$W$504,'No-Show Log'!$B$5:$B$504,"&gt;="&amp;$B$4,'No-Show Log'!$B$5:$B$504,"&lt;="&amp;$D$4),0)</f>
        <v/>
      </c>
      <c r="T9" s="59" t="n">
        <v>46204</v>
      </c>
      <c r="U9" s="5" t="n">
        <v>46204</v>
      </c>
      <c r="V9" s="6">
        <f>IFERROR(SUMIFS('No-Show Log'!$W$5:$W$504,'No-Show Log'!$B$5:$B$504,"&gt;="&amp;MAX($B$4,$U9),'No-Show Log'!$B$5:$B$504,"&lt;"&amp;MIN($D$4+1,DATE(2026,8,1))),0)</f>
        <v/>
      </c>
      <c r="W9" s="6">
        <f>IFERROR(SUMIFS('No-Show Log'!$AH$5:$AH$504,'No-Show Log'!$B$5:$B$504,"&gt;="&amp;MAX($B$4,$U9),'No-Show Log'!$B$5:$B$504,"&lt;"&amp;MIN($D$4+1,DATE(2026,8,1))),0)</f>
        <v/>
      </c>
      <c r="X9" s="6">
        <f>IFERROR(SUMIFS('No-Show Log'!$AJ$5:$AJ$504,'No-Show Log'!$B$5:$B$504,"&gt;="&amp;MAX($B$4,$U9),'No-Show Log'!$B$5:$B$504,"&lt;"&amp;MIN($D$4+1,DATE(2026,8,1))),0)</f>
        <v/>
      </c>
      <c r="Y9" s="7">
        <f>IFERROR(COUNTIFS('No-Show Log'!$B$5:$B$504,"&gt;="&amp;MAX($B$4,$U9),'No-Show Log'!$B$5:$B$504,"&lt;"&amp;MIN($D$4+1,DATE(2026,8,1)),'No-Show Log'!$A$5:$A$504,"&lt;&gt;"),0)</f>
        <v/>
      </c>
    </row>
    <row r="10">
      <c r="A10" s="3" t="inlineStr">
        <is>
          <t>Total Revenue Recovered</t>
        </is>
      </c>
      <c r="B10" s="16">
        <f>IFERROR(SUMIFS('No-Show Log'!$AH$5:$AH$504,'No-Show Log'!$B$5:$B$504,"&gt;="&amp;$B$4,'No-Show Log'!$B$5:$B$504,"&lt;="&amp;$D$4),0)</f>
        <v/>
      </c>
      <c r="D10" s="3" t="inlineStr">
        <is>
          <t>Average Net Cost per No-Show</t>
        </is>
      </c>
      <c r="E10" s="16">
        <f>IFERROR(SUMIFS('No-Show Log'!$AJ$5:$AJ$504,'No-Show Log'!$B$5:$B$504,"&gt;="&amp;$B$4,'No-Show Log'!$B$5:$B$504,"&lt;="&amp;$D$4)/COUNTIFS('No-Show Log'!$B$5:$B$504,"&gt;="&amp;$B$4,'No-Show Log'!$B$5:$B$504,"&lt;="&amp;$D$4,'No-Show Log'!$A$5:$A$504,"&lt;&gt;"),0)</f>
        <v/>
      </c>
      <c r="T10" s="60" t="n">
        <v>46235</v>
      </c>
      <c r="U10" s="12" t="n">
        <v>46235</v>
      </c>
      <c r="V10" s="13">
        <f>IFERROR(SUMIFS('No-Show Log'!$W$5:$W$504,'No-Show Log'!$B$5:$B$504,"&gt;="&amp;MAX($B$4,$U10),'No-Show Log'!$B$5:$B$504,"&lt;"&amp;MIN($D$4+1,DATE(2026,9,1))),0)</f>
        <v/>
      </c>
      <c r="W10" s="13">
        <f>IFERROR(SUMIFS('No-Show Log'!$AH$5:$AH$504,'No-Show Log'!$B$5:$B$504,"&gt;="&amp;MAX($B$4,$U10),'No-Show Log'!$B$5:$B$504,"&lt;"&amp;MIN($D$4+1,DATE(2026,9,1))),0)</f>
        <v/>
      </c>
      <c r="X10" s="13">
        <f>IFERROR(SUMIFS('No-Show Log'!$AJ$5:$AJ$504,'No-Show Log'!$B$5:$B$504,"&gt;="&amp;MAX($B$4,$U10),'No-Show Log'!$B$5:$B$504,"&lt;"&amp;MIN($D$4+1,DATE(2026,9,1))),0)</f>
        <v/>
      </c>
      <c r="Y10" s="14">
        <f>IFERROR(COUNTIFS('No-Show Log'!$B$5:$B$504,"&gt;="&amp;MAX($B$4,$U10),'No-Show Log'!$B$5:$B$504,"&lt;"&amp;MIN($D$4+1,DATE(2026,9,1)),'No-Show Log'!$A$5:$A$504,"&lt;&gt;"),0)</f>
        <v/>
      </c>
    </row>
    <row r="11">
      <c r="A11" s="3" t="inlineStr">
        <is>
          <t>Avoided Variable Costs</t>
        </is>
      </c>
      <c r="B11" s="16">
        <f>IFERROR(SUMIFS('No-Show Log'!$AD$5:$AD$504,'No-Show Log'!$B$5:$B$504,"&gt;="&amp;$B$4,'No-Show Log'!$B$5:$B$504,"&lt;="&amp;$D$4),0)</f>
        <v/>
      </c>
      <c r="D11" s="3" t="inlineStr">
        <is>
          <t>Follow-Up Items Due</t>
        </is>
      </c>
      <c r="E11" s="15">
        <f>IFERROR(COUNTIFS('No-Show Log'!$B$5:$B$504,"&gt;="&amp;$B$4,'No-Show Log'!$B$5:$B$504,"&lt;="&amp;$D$4,'No-Show Log'!$AL$5:$AL$504,"Due")+COUNTIFS('No-Show Log'!$B$5:$B$504,"&gt;="&amp;$B$4,'No-Show Log'!$B$5:$B$504,"&lt;="&amp;$D$4,'No-Show Log'!$AL$5:$AL$504,"Overdue"),0)</f>
        <v/>
      </c>
      <c r="T11" s="59" t="n">
        <v>46266</v>
      </c>
      <c r="U11" s="5" t="n">
        <v>46266</v>
      </c>
      <c r="V11" s="6">
        <f>IFERROR(SUMIFS('No-Show Log'!$W$5:$W$504,'No-Show Log'!$B$5:$B$504,"&gt;="&amp;MAX($B$4,$U11),'No-Show Log'!$B$5:$B$504,"&lt;"&amp;MIN($D$4+1,DATE(2026,10,1))),0)</f>
        <v/>
      </c>
      <c r="W11" s="6">
        <f>IFERROR(SUMIFS('No-Show Log'!$AH$5:$AH$504,'No-Show Log'!$B$5:$B$504,"&gt;="&amp;MAX($B$4,$U11),'No-Show Log'!$B$5:$B$504,"&lt;"&amp;MIN($D$4+1,DATE(2026,10,1))),0)</f>
        <v/>
      </c>
      <c r="X11" s="6">
        <f>IFERROR(SUMIFS('No-Show Log'!$AJ$5:$AJ$504,'No-Show Log'!$B$5:$B$504,"&gt;="&amp;MAX($B$4,$U11),'No-Show Log'!$B$5:$B$504,"&lt;"&amp;MIN($D$4+1,DATE(2026,10,1))),0)</f>
        <v/>
      </c>
      <c r="Y11" s="7">
        <f>IFERROR(COUNTIFS('No-Show Log'!$B$5:$B$504,"&gt;="&amp;MAX($B$4,$U11),'No-Show Log'!$B$5:$B$504,"&lt;"&amp;MIN($D$4+1,DATE(2026,10,1)),'No-Show Log'!$A$5:$A$504,"&lt;&gt;"),0)</f>
        <v/>
      </c>
    </row>
    <row r="12">
      <c r="T12" s="60" t="n">
        <v>46296</v>
      </c>
      <c r="U12" s="12" t="n">
        <v>46296</v>
      </c>
      <c r="V12" s="13">
        <f>IFERROR(SUMIFS('No-Show Log'!$W$5:$W$504,'No-Show Log'!$B$5:$B$504,"&gt;="&amp;MAX($B$4,$U12),'No-Show Log'!$B$5:$B$504,"&lt;"&amp;MIN($D$4+1,DATE(2026,11,1))),0)</f>
        <v/>
      </c>
      <c r="W12" s="13">
        <f>IFERROR(SUMIFS('No-Show Log'!$AH$5:$AH$504,'No-Show Log'!$B$5:$B$504,"&gt;="&amp;MAX($B$4,$U12),'No-Show Log'!$B$5:$B$504,"&lt;"&amp;MIN($D$4+1,DATE(2026,11,1))),0)</f>
        <v/>
      </c>
      <c r="X12" s="13">
        <f>IFERROR(SUMIFS('No-Show Log'!$AJ$5:$AJ$504,'No-Show Log'!$B$5:$B$504,"&gt;="&amp;MAX($B$4,$U12),'No-Show Log'!$B$5:$B$504,"&lt;"&amp;MIN($D$4+1,DATE(2026,11,1))),0)</f>
        <v/>
      </c>
      <c r="Y12" s="14">
        <f>IFERROR(COUNTIFS('No-Show Log'!$B$5:$B$504,"&gt;="&amp;MAX($B$4,$U12),'No-Show Log'!$B$5:$B$504,"&lt;"&amp;MIN($D$4+1,DATE(2026,11,1)),'No-Show Log'!$A$5:$A$504,"&lt;&gt;"),0)</f>
        <v/>
      </c>
    </row>
    <row r="13">
      <c r="T13" s="59" t="n">
        <v>46327</v>
      </c>
      <c r="U13" s="5" t="n">
        <v>46327</v>
      </c>
      <c r="V13" s="6">
        <f>IFERROR(SUMIFS('No-Show Log'!$W$5:$W$504,'No-Show Log'!$B$5:$B$504,"&gt;="&amp;MAX($B$4,$U13),'No-Show Log'!$B$5:$B$504,"&lt;"&amp;MIN($D$4+1,DATE(2026,12,1))),0)</f>
        <v/>
      </c>
      <c r="W13" s="6">
        <f>IFERROR(SUMIFS('No-Show Log'!$AH$5:$AH$504,'No-Show Log'!$B$5:$B$504,"&gt;="&amp;MAX($B$4,$U13),'No-Show Log'!$B$5:$B$504,"&lt;"&amp;MIN($D$4+1,DATE(2026,12,1))),0)</f>
        <v/>
      </c>
      <c r="X13" s="6">
        <f>IFERROR(SUMIFS('No-Show Log'!$AJ$5:$AJ$504,'No-Show Log'!$B$5:$B$504,"&gt;="&amp;MAX($B$4,$U13),'No-Show Log'!$B$5:$B$504,"&lt;"&amp;MIN($D$4+1,DATE(2026,12,1))),0)</f>
        <v/>
      </c>
      <c r="Y13" s="7">
        <f>IFERROR(COUNTIFS('No-Show Log'!$B$5:$B$504,"&gt;="&amp;MAX($B$4,$U13),'No-Show Log'!$B$5:$B$504,"&lt;"&amp;MIN($D$4+1,DATE(2026,12,1)),'No-Show Log'!$A$5:$A$504,"&lt;&gt;"),0)</f>
        <v/>
      </c>
    </row>
    <row r="14">
      <c r="A14" s="18" t="inlineStr">
        <is>
          <t>Booking Source Summary</t>
        </is>
      </c>
      <c r="H14" s="19" t="inlineStr">
        <is>
          <t>Collection Follow-Up Summary</t>
        </is>
      </c>
      <c r="T14" s="60" t="n">
        <v>46357</v>
      </c>
      <c r="U14" s="12" t="n">
        <v>46357</v>
      </c>
      <c r="V14" s="13">
        <f>IFERROR(SUMIFS('No-Show Log'!$W$5:$W$504,'No-Show Log'!$B$5:$B$504,"&gt;="&amp;MAX($B$4,$U14),'No-Show Log'!$B$5:$B$504,"&lt;"&amp;MIN($D$4+1,DATE(2027,1,1))),0)</f>
        <v/>
      </c>
      <c r="W14" s="13">
        <f>IFERROR(SUMIFS('No-Show Log'!$AH$5:$AH$504,'No-Show Log'!$B$5:$B$504,"&gt;="&amp;MAX($B$4,$U14),'No-Show Log'!$B$5:$B$504,"&lt;"&amp;MIN($D$4+1,DATE(2027,1,1))),0)</f>
        <v/>
      </c>
      <c r="X14" s="13">
        <f>IFERROR(SUMIFS('No-Show Log'!$AJ$5:$AJ$504,'No-Show Log'!$B$5:$B$504,"&gt;="&amp;MAX($B$4,$U14),'No-Show Log'!$B$5:$B$504,"&lt;"&amp;MIN($D$4+1,DATE(2027,1,1))),0)</f>
        <v/>
      </c>
      <c r="Y14" s="14">
        <f>IFERROR(COUNTIFS('No-Show Log'!$B$5:$B$504,"&gt;="&amp;MAX($B$4,$U14),'No-Show Log'!$B$5:$B$504,"&lt;"&amp;MIN($D$4+1,DATE(2027,1,1)),'No-Show Log'!$A$5:$A$504,"&lt;&gt;"),0)</f>
        <v/>
      </c>
    </row>
    <row r="15">
      <c r="A15" s="3" t="inlineStr">
        <is>
          <t>Booking Source</t>
        </is>
      </c>
      <c r="B15" s="3" t="inlineStr">
        <is>
          <t>No-Show Reservations</t>
        </is>
      </c>
      <c r="C15" s="3" t="inlineStr">
        <is>
          <t>Gross Expected Revenue</t>
        </is>
      </c>
      <c r="D15" s="3" t="inlineStr">
        <is>
          <t>Revenue Recovered</t>
        </is>
      </c>
      <c r="E15" s="3" t="inlineStr">
        <is>
          <t>Net No-Show Cost</t>
        </is>
      </c>
      <c r="F15" s="3" t="inlineStr">
        <is>
          <t>Recovery Rate</t>
        </is>
      </c>
      <c r="H15" s="8" t="inlineStr">
        <is>
          <t>Status</t>
        </is>
      </c>
      <c r="I15" s="8" t="inlineStr">
        <is>
          <t>Count</t>
        </is>
      </c>
      <c r="V15">
        <f>""</f>
        <v/>
      </c>
      <c r="W15">
        <f>""</f>
        <v/>
      </c>
      <c r="X15">
        <f>""</f>
        <v/>
      </c>
      <c r="Y15">
        <f>""</f>
        <v/>
      </c>
    </row>
    <row r="16">
      <c r="A16" s="20" t="inlineStr">
        <is>
          <t>Direct Website</t>
        </is>
      </c>
      <c r="B16" s="21">
        <f>IFERROR(COUNTIFS('No-Show Log'!$D$5:$D$504,$A16,'No-Show Log'!$B$5:$B$504,"&gt;="&amp;$B$4,'No-Show Log'!$B$5:$B$504,"&lt;="&amp;$D$4),0)</f>
        <v/>
      </c>
      <c r="C16" s="22">
        <f>IFERROR(SUMIFS('No-Show Log'!$W$5:$W$504,'No-Show Log'!$D$5:$D$504,$A16,'No-Show Log'!$B$5:$B$504,"&gt;="&amp;$B$4,'No-Show Log'!$B$5:$B$504,"&lt;="&amp;$D$4),0)</f>
        <v/>
      </c>
      <c r="D16" s="22">
        <f>IFERROR(SUMIFS('No-Show Log'!$AH$5:$AH$504,'No-Show Log'!$D$5:$D$504,$A16,'No-Show Log'!$B$5:$B$504,"&gt;="&amp;$B$4,'No-Show Log'!$B$5:$B$504,"&lt;="&amp;$D$4),0)</f>
        <v/>
      </c>
      <c r="E16" s="22">
        <f>IFERROR(SUMIFS('No-Show Log'!$AJ$5:$AJ$504,'No-Show Log'!$D$5:$D$504,$A16,'No-Show Log'!$B$5:$B$504,"&gt;="&amp;$B$4,'No-Show Log'!$B$5:$B$504,"&lt;="&amp;$D$4),0)</f>
        <v/>
      </c>
      <c r="F16" s="23">
        <f>IFERROR(D16/C16,0)</f>
        <v/>
      </c>
      <c r="H16" s="24" t="inlineStr">
        <is>
          <t>Open</t>
        </is>
      </c>
      <c r="I16" s="24">
        <f>IFERROR(COUNTIFS('No-Show Log'!$B$5:$B$504,"&gt;="&amp;$B$4,'No-Show Log'!$B$5:$B$504,"&lt;="&amp;$D$4,'No-Show Log'!$AL$5:$AL$504,H16),0)</f>
        <v/>
      </c>
      <c r="V16">
        <f>""</f>
        <v/>
      </c>
      <c r="W16">
        <f>""</f>
        <v/>
      </c>
      <c r="X16">
        <f>""</f>
        <v/>
      </c>
      <c r="Y16">
        <f>""</f>
        <v/>
      </c>
    </row>
    <row r="17">
      <c r="A17" s="25" t="inlineStr">
        <is>
          <t>Phone</t>
        </is>
      </c>
      <c r="B17" s="26">
        <f>IFERROR(COUNTIFS('No-Show Log'!$D$5:$D$504,$A17,'No-Show Log'!$B$5:$B$504,"&gt;="&amp;$B$4,'No-Show Log'!$B$5:$B$504,"&lt;="&amp;$D$4),0)</f>
        <v/>
      </c>
      <c r="C17" s="27">
        <f>IFERROR(SUMIFS('No-Show Log'!$W$5:$W$504,'No-Show Log'!$D$5:$D$504,$A17,'No-Show Log'!$B$5:$B$504,"&gt;="&amp;$B$4,'No-Show Log'!$B$5:$B$504,"&lt;="&amp;$D$4),0)</f>
        <v/>
      </c>
      <c r="D17" s="27">
        <f>IFERROR(SUMIFS('No-Show Log'!$AH$5:$AH$504,'No-Show Log'!$D$5:$D$504,$A17,'No-Show Log'!$B$5:$B$504,"&gt;="&amp;$B$4,'No-Show Log'!$B$5:$B$504,"&lt;="&amp;$D$4),0)</f>
        <v/>
      </c>
      <c r="E17" s="27">
        <f>IFERROR(SUMIFS('No-Show Log'!$AJ$5:$AJ$504,'No-Show Log'!$D$5:$D$504,$A17,'No-Show Log'!$B$5:$B$504,"&gt;="&amp;$B$4,'No-Show Log'!$B$5:$B$504,"&lt;="&amp;$D$4),0)</f>
        <v/>
      </c>
      <c r="F17" s="28">
        <f>IFERROR(D17/C17,0)</f>
        <v/>
      </c>
      <c r="H17" s="29" t="inlineStr">
        <is>
          <t>Due</t>
        </is>
      </c>
      <c r="I17" s="29">
        <f>IFERROR(COUNTIFS('No-Show Log'!$B$5:$B$504,"&gt;="&amp;$B$4,'No-Show Log'!$B$5:$B$504,"&lt;="&amp;$D$4,'No-Show Log'!$AL$5:$AL$504,H17),0)</f>
        <v/>
      </c>
      <c r="V17">
        <f>""</f>
        <v/>
      </c>
      <c r="W17">
        <f>""</f>
        <v/>
      </c>
      <c r="X17">
        <f>""</f>
        <v/>
      </c>
      <c r="Y17">
        <f>""</f>
        <v/>
      </c>
    </row>
    <row r="18">
      <c r="A18" s="20" t="inlineStr">
        <is>
          <t>Walk-In</t>
        </is>
      </c>
      <c r="B18" s="21">
        <f>IFERROR(COUNTIFS('No-Show Log'!$D$5:$D$504,$A18,'No-Show Log'!$B$5:$B$504,"&gt;="&amp;$B$4,'No-Show Log'!$B$5:$B$504,"&lt;="&amp;$D$4),0)</f>
        <v/>
      </c>
      <c r="C18" s="22">
        <f>IFERROR(SUMIFS('No-Show Log'!$W$5:$W$504,'No-Show Log'!$D$5:$D$504,$A18,'No-Show Log'!$B$5:$B$504,"&gt;="&amp;$B$4,'No-Show Log'!$B$5:$B$504,"&lt;="&amp;$D$4),0)</f>
        <v/>
      </c>
      <c r="D18" s="22">
        <f>IFERROR(SUMIFS('No-Show Log'!$AH$5:$AH$504,'No-Show Log'!$D$5:$D$504,$A18,'No-Show Log'!$B$5:$B$504,"&gt;="&amp;$B$4,'No-Show Log'!$B$5:$B$504,"&lt;="&amp;$D$4),0)</f>
        <v/>
      </c>
      <c r="E18" s="22">
        <f>IFERROR(SUMIFS('No-Show Log'!$AJ$5:$AJ$504,'No-Show Log'!$D$5:$D$504,$A18,'No-Show Log'!$B$5:$B$504,"&gt;="&amp;$B$4,'No-Show Log'!$B$5:$B$504,"&lt;="&amp;$D$4),0)</f>
        <v/>
      </c>
      <c r="F18" s="23">
        <f>IFERROR(D18/C18,0)</f>
        <v/>
      </c>
      <c r="H18" s="30" t="inlineStr">
        <is>
          <t>Overdue</t>
        </is>
      </c>
      <c r="I18" s="30">
        <f>IFERROR(COUNTIFS('No-Show Log'!$B$5:$B$504,"&gt;="&amp;$B$4,'No-Show Log'!$B$5:$B$504,"&lt;="&amp;$D$4,'No-Show Log'!$AL$5:$AL$504,H18),0)</f>
        <v/>
      </c>
      <c r="V18">
        <f>""</f>
        <v/>
      </c>
      <c r="W18">
        <f>""</f>
        <v/>
      </c>
      <c r="X18">
        <f>""</f>
        <v/>
      </c>
      <c r="Y18">
        <f>""</f>
        <v/>
      </c>
    </row>
    <row r="19">
      <c r="A19" s="25" t="inlineStr">
        <is>
          <t>Online Travel Agency</t>
        </is>
      </c>
      <c r="B19" s="26">
        <f>IFERROR(COUNTIFS('No-Show Log'!$D$5:$D$504,$A19,'No-Show Log'!$B$5:$B$504,"&gt;="&amp;$B$4,'No-Show Log'!$B$5:$B$504,"&lt;="&amp;$D$4),0)</f>
        <v/>
      </c>
      <c r="C19" s="27">
        <f>IFERROR(SUMIFS('No-Show Log'!$W$5:$W$504,'No-Show Log'!$D$5:$D$504,$A19,'No-Show Log'!$B$5:$B$504,"&gt;="&amp;$B$4,'No-Show Log'!$B$5:$B$504,"&lt;="&amp;$D$4),0)</f>
        <v/>
      </c>
      <c r="D19" s="27">
        <f>IFERROR(SUMIFS('No-Show Log'!$AH$5:$AH$504,'No-Show Log'!$D$5:$D$504,$A19,'No-Show Log'!$B$5:$B$504,"&gt;="&amp;$B$4,'No-Show Log'!$B$5:$B$504,"&lt;="&amp;$D$4),0)</f>
        <v/>
      </c>
      <c r="E19" s="27">
        <f>IFERROR(SUMIFS('No-Show Log'!$AJ$5:$AJ$504,'No-Show Log'!$D$5:$D$504,$A19,'No-Show Log'!$B$5:$B$504,"&gt;="&amp;$B$4,'No-Show Log'!$B$5:$B$504,"&lt;="&amp;$D$4),0)</f>
        <v/>
      </c>
      <c r="F19" s="28">
        <f>IFERROR(D19/C19,0)</f>
        <v/>
      </c>
      <c r="H19" s="31" t="inlineStr">
        <is>
          <t>Closed</t>
        </is>
      </c>
      <c r="I19" s="31">
        <f>IFERROR(COUNTIFS('No-Show Log'!$B$5:$B$504,"&gt;="&amp;$B$4,'No-Show Log'!$B$5:$B$504,"&lt;="&amp;$D$4,'No-Show Log'!$AL$5:$AL$504,H19),0)</f>
        <v/>
      </c>
      <c r="V19">
        <f>""</f>
        <v/>
      </c>
      <c r="W19">
        <f>""</f>
        <v/>
      </c>
      <c r="X19">
        <f>""</f>
        <v/>
      </c>
      <c r="Y19">
        <f>""</f>
        <v/>
      </c>
    </row>
    <row r="20">
      <c r="A20" s="20" t="inlineStr">
        <is>
          <t>Group Block</t>
        </is>
      </c>
      <c r="B20" s="21">
        <f>IFERROR(COUNTIFS('No-Show Log'!$D$5:$D$504,$A20,'No-Show Log'!$B$5:$B$504,"&gt;="&amp;$B$4,'No-Show Log'!$B$5:$B$504,"&lt;="&amp;$D$4),0)</f>
        <v/>
      </c>
      <c r="C20" s="22">
        <f>IFERROR(SUMIFS('No-Show Log'!$W$5:$W$504,'No-Show Log'!$D$5:$D$504,$A20,'No-Show Log'!$B$5:$B$504,"&gt;="&amp;$B$4,'No-Show Log'!$B$5:$B$504,"&lt;="&amp;$D$4),0)</f>
        <v/>
      </c>
      <c r="D20" s="22">
        <f>IFERROR(SUMIFS('No-Show Log'!$AH$5:$AH$504,'No-Show Log'!$D$5:$D$504,$A20,'No-Show Log'!$B$5:$B$504,"&gt;="&amp;$B$4,'No-Show Log'!$B$5:$B$504,"&lt;="&amp;$D$4),0)</f>
        <v/>
      </c>
      <c r="E20" s="22">
        <f>IFERROR(SUMIFS('No-Show Log'!$AJ$5:$AJ$504,'No-Show Log'!$D$5:$D$504,$A20,'No-Show Log'!$B$5:$B$504,"&gt;="&amp;$B$4,'No-Show Log'!$B$5:$B$504,"&lt;="&amp;$D$4),0)</f>
        <v/>
      </c>
      <c r="F20" s="23">
        <f>IFERROR(D20/C20,0)</f>
        <v/>
      </c>
      <c r="H20" s="32" t="inlineStr">
        <is>
          <t>Waived</t>
        </is>
      </c>
      <c r="I20" s="32">
        <f>IFERROR(COUNTIFS('No-Show Log'!$B$5:$B$504,"&gt;="&amp;$B$4,'No-Show Log'!$B$5:$B$504,"&lt;="&amp;$D$4,'No-Show Log'!$S$5:$S$504,H20),0)</f>
        <v/>
      </c>
      <c r="V20">
        <f>""</f>
        <v/>
      </c>
      <c r="W20">
        <f>""</f>
        <v/>
      </c>
      <c r="X20">
        <f>""</f>
        <v/>
      </c>
      <c r="Y20">
        <f>""</f>
        <v/>
      </c>
    </row>
    <row r="21">
      <c r="A21" s="25" t="inlineStr">
        <is>
          <t>Corporate</t>
        </is>
      </c>
      <c r="B21" s="26">
        <f>IFERROR(COUNTIFS('No-Show Log'!$D$5:$D$504,$A21,'No-Show Log'!$B$5:$B$504,"&gt;="&amp;$B$4,'No-Show Log'!$B$5:$B$504,"&lt;="&amp;$D$4),0)</f>
        <v/>
      </c>
      <c r="C21" s="27">
        <f>IFERROR(SUMIFS('No-Show Log'!$W$5:$W$504,'No-Show Log'!$D$5:$D$504,$A21,'No-Show Log'!$B$5:$B$504,"&gt;="&amp;$B$4,'No-Show Log'!$B$5:$B$504,"&lt;="&amp;$D$4),0)</f>
        <v/>
      </c>
      <c r="D21" s="27">
        <f>IFERROR(SUMIFS('No-Show Log'!$AH$5:$AH$504,'No-Show Log'!$D$5:$D$504,$A21,'No-Show Log'!$B$5:$B$504,"&gt;="&amp;$B$4,'No-Show Log'!$B$5:$B$504,"&lt;="&amp;$D$4),0)</f>
        <v/>
      </c>
      <c r="E21" s="27">
        <f>IFERROR(SUMIFS('No-Show Log'!$AJ$5:$AJ$504,'No-Show Log'!$D$5:$D$504,$A21,'No-Show Log'!$B$5:$B$504,"&gt;="&amp;$B$4,'No-Show Log'!$B$5:$B$504,"&lt;="&amp;$D$4),0)</f>
        <v/>
      </c>
      <c r="F21" s="28">
        <f>IFERROR(D21/C21,0)</f>
        <v/>
      </c>
      <c r="H21" s="32" t="inlineStr">
        <is>
          <t>Uncollectible</t>
        </is>
      </c>
      <c r="I21" s="32">
        <f>IFERROR(COUNTIFS('No-Show Log'!$B$5:$B$504,"&gt;="&amp;$B$4,'No-Show Log'!$B$5:$B$504,"&lt;="&amp;$D$4,'No-Show Log'!$S$5:$S$504,H21),0)</f>
        <v/>
      </c>
      <c r="V21">
        <f>""</f>
        <v/>
      </c>
      <c r="W21">
        <f>""</f>
        <v/>
      </c>
      <c r="X21">
        <f>""</f>
        <v/>
      </c>
      <c r="Y21">
        <f>""</f>
        <v/>
      </c>
    </row>
    <row r="22">
      <c r="A22" s="20" t="inlineStr">
        <is>
          <t>Travel Agent</t>
        </is>
      </c>
      <c r="B22" s="21">
        <f>IFERROR(COUNTIFS('No-Show Log'!$D$5:$D$504,$A22,'No-Show Log'!$B$5:$B$504,"&gt;="&amp;$B$4,'No-Show Log'!$B$5:$B$504,"&lt;="&amp;$D$4),0)</f>
        <v/>
      </c>
      <c r="C22" s="22">
        <f>IFERROR(SUMIFS('No-Show Log'!$W$5:$W$504,'No-Show Log'!$D$5:$D$504,$A22,'No-Show Log'!$B$5:$B$504,"&gt;="&amp;$B$4,'No-Show Log'!$B$5:$B$504,"&lt;="&amp;$D$4),0)</f>
        <v/>
      </c>
      <c r="D22" s="22">
        <f>IFERROR(SUMIFS('No-Show Log'!$AH$5:$AH$504,'No-Show Log'!$D$5:$D$504,$A22,'No-Show Log'!$B$5:$B$504,"&gt;="&amp;$B$4,'No-Show Log'!$B$5:$B$504,"&lt;="&amp;$D$4),0)</f>
        <v/>
      </c>
      <c r="E22" s="22">
        <f>IFERROR(SUMIFS('No-Show Log'!$AJ$5:$AJ$504,'No-Show Log'!$D$5:$D$504,$A22,'No-Show Log'!$B$5:$B$504,"&gt;="&amp;$B$4,'No-Show Log'!$B$5:$B$504,"&lt;="&amp;$D$4),0)</f>
        <v/>
      </c>
      <c r="F22" s="23">
        <f>IFERROR(D22/C22,0)</f>
        <v/>
      </c>
      <c r="V22">
        <f>""</f>
        <v/>
      </c>
      <c r="W22">
        <f>""</f>
        <v/>
      </c>
      <c r="X22">
        <f>""</f>
        <v/>
      </c>
      <c r="Y22">
        <f>""</f>
        <v/>
      </c>
    </row>
    <row r="23">
      <c r="A23" s="25" t="inlineStr">
        <is>
          <t>Other</t>
        </is>
      </c>
      <c r="B23" s="26">
        <f>IFERROR(COUNTIFS('No-Show Log'!$D$5:$D$504,$A23,'No-Show Log'!$B$5:$B$504,"&gt;="&amp;$B$4,'No-Show Log'!$B$5:$B$504,"&lt;="&amp;$D$4),0)</f>
        <v/>
      </c>
      <c r="C23" s="27">
        <f>IFERROR(SUMIFS('No-Show Log'!$W$5:$W$504,'No-Show Log'!$D$5:$D$504,$A23,'No-Show Log'!$B$5:$B$504,"&gt;="&amp;$B$4,'No-Show Log'!$B$5:$B$504,"&lt;="&amp;$D$4),0)</f>
        <v/>
      </c>
      <c r="D23" s="27">
        <f>IFERROR(SUMIFS('No-Show Log'!$AH$5:$AH$504,'No-Show Log'!$D$5:$D$504,$A23,'No-Show Log'!$B$5:$B$504,"&gt;="&amp;$B$4,'No-Show Log'!$B$5:$B$504,"&lt;="&amp;$D$4),0)</f>
        <v/>
      </c>
      <c r="E23" s="27">
        <f>IFERROR(SUMIFS('No-Show Log'!$AJ$5:$AJ$504,'No-Show Log'!$D$5:$D$504,$A23,'No-Show Log'!$B$5:$B$504,"&gt;="&amp;$B$4,'No-Show Log'!$B$5:$B$504,"&lt;="&amp;$D$4),0)</f>
        <v/>
      </c>
      <c r="F23" s="28">
        <f>IFERROR(D23/C23,0)</f>
        <v/>
      </c>
      <c r="V23">
        <f>""</f>
        <v/>
      </c>
      <c r="W23">
        <f>""</f>
        <v/>
      </c>
      <c r="X23">
        <f>""</f>
        <v/>
      </c>
      <c r="Y23">
        <f>""</f>
        <v/>
      </c>
    </row>
    <row r="24"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H24" s="33" t="inlineStr">
        <is>
          <t>Target Recovery Rate</t>
        </is>
      </c>
      <c r="I24" s="34">
        <f>IFERROR(VLOOKUP(H24,'Assumptions'!$A$4:$B$13,2,0),0)</f>
        <v/>
      </c>
      <c r="V24">
        <f>""</f>
        <v/>
      </c>
      <c r="W24">
        <f>""</f>
        <v/>
      </c>
      <c r="X24">
        <f>""</f>
        <v/>
      </c>
      <c r="Y24">
        <f>""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I25">
        <f>""</f>
        <v/>
      </c>
      <c r="V25">
        <f>""</f>
        <v/>
      </c>
      <c r="W25">
        <f>""</f>
        <v/>
      </c>
      <c r="X25">
        <f>""</f>
        <v/>
      </c>
      <c r="Y25">
        <f>""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I26">
        <f>""</f>
        <v/>
      </c>
      <c r="V26">
        <f>""</f>
        <v/>
      </c>
      <c r="W26">
        <f>""</f>
        <v/>
      </c>
      <c r="X26">
        <f>""</f>
        <v/>
      </c>
      <c r="Y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I27">
        <f>""</f>
        <v/>
      </c>
      <c r="V27">
        <f>""</f>
        <v/>
      </c>
      <c r="W27">
        <f>""</f>
        <v/>
      </c>
      <c r="X27">
        <f>""</f>
        <v/>
      </c>
      <c r="Y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I28">
        <f>""</f>
        <v/>
      </c>
      <c r="V28">
        <f>""</f>
        <v/>
      </c>
      <c r="W28">
        <f>""</f>
        <v/>
      </c>
      <c r="X28">
        <f>""</f>
        <v/>
      </c>
      <c r="Y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I29">
        <f>""</f>
        <v/>
      </c>
      <c r="V29">
        <f>""</f>
        <v/>
      </c>
      <c r="W29">
        <f>""</f>
        <v/>
      </c>
      <c r="X29">
        <f>""</f>
        <v/>
      </c>
      <c r="Y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I30">
        <f>""</f>
        <v/>
      </c>
      <c r="V30">
        <f>""</f>
        <v/>
      </c>
      <c r="W30">
        <f>""</f>
        <v/>
      </c>
      <c r="X30">
        <f>""</f>
        <v/>
      </c>
      <c r="Y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I31">
        <f>""</f>
        <v/>
      </c>
      <c r="V31">
        <f>""</f>
        <v/>
      </c>
      <c r="W31">
        <f>""</f>
        <v/>
      </c>
      <c r="X31">
        <f>""</f>
        <v/>
      </c>
      <c r="Y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I32">
        <f>""</f>
        <v/>
      </c>
      <c r="V32">
        <f>""</f>
        <v/>
      </c>
      <c r="W32">
        <f>""</f>
        <v/>
      </c>
      <c r="X32">
        <f>""</f>
        <v/>
      </c>
      <c r="Y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I33">
        <f>""</f>
        <v/>
      </c>
      <c r="V33">
        <f>""</f>
        <v/>
      </c>
      <c r="W33">
        <f>""</f>
        <v/>
      </c>
      <c r="X33">
        <f>""</f>
        <v/>
      </c>
      <c r="Y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I34">
        <f>""</f>
        <v/>
      </c>
      <c r="V34">
        <f>""</f>
        <v/>
      </c>
      <c r="W34">
        <f>""</f>
        <v/>
      </c>
      <c r="X34">
        <f>""</f>
        <v/>
      </c>
      <c r="Y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I35">
        <f>""</f>
        <v/>
      </c>
      <c r="V35">
        <f>""</f>
        <v/>
      </c>
      <c r="W35">
        <f>""</f>
        <v/>
      </c>
      <c r="X35">
        <f>""</f>
        <v/>
      </c>
      <c r="Y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I36">
        <f>""</f>
        <v/>
      </c>
      <c r="V36">
        <f>""</f>
        <v/>
      </c>
      <c r="W36">
        <f>""</f>
        <v/>
      </c>
      <c r="X36">
        <f>""</f>
        <v/>
      </c>
      <c r="Y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I37">
        <f>""</f>
        <v/>
      </c>
      <c r="V37">
        <f>""</f>
        <v/>
      </c>
      <c r="W37">
        <f>""</f>
        <v/>
      </c>
      <c r="X37">
        <f>""</f>
        <v/>
      </c>
      <c r="Y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I38">
        <f>""</f>
        <v/>
      </c>
      <c r="V38">
        <f>""</f>
        <v/>
      </c>
      <c r="W38">
        <f>""</f>
        <v/>
      </c>
      <c r="X38">
        <f>""</f>
        <v/>
      </c>
      <c r="Y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I39">
        <f>""</f>
        <v/>
      </c>
      <c r="V39">
        <f>""</f>
        <v/>
      </c>
      <c r="W39">
        <f>""</f>
        <v/>
      </c>
      <c r="X39">
        <f>""</f>
        <v/>
      </c>
      <c r="Y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I40">
        <f>""</f>
        <v/>
      </c>
      <c r="V40">
        <f>""</f>
        <v/>
      </c>
      <c r="W40">
        <f>""</f>
        <v/>
      </c>
      <c r="X40">
        <f>""</f>
        <v/>
      </c>
      <c r="Y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I41">
        <f>""</f>
        <v/>
      </c>
      <c r="V41">
        <f>""</f>
        <v/>
      </c>
      <c r="W41">
        <f>""</f>
        <v/>
      </c>
      <c r="X41">
        <f>""</f>
        <v/>
      </c>
      <c r="Y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I42">
        <f>""</f>
        <v/>
      </c>
      <c r="V42">
        <f>""</f>
        <v/>
      </c>
      <c r="W42">
        <f>""</f>
        <v/>
      </c>
      <c r="X42">
        <f>""</f>
        <v/>
      </c>
      <c r="Y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I43">
        <f>""</f>
        <v/>
      </c>
      <c r="V43">
        <f>""</f>
        <v/>
      </c>
      <c r="W43">
        <f>""</f>
        <v/>
      </c>
      <c r="X43">
        <f>""</f>
        <v/>
      </c>
      <c r="Y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I44">
        <f>""</f>
        <v/>
      </c>
      <c r="V44">
        <f>""</f>
        <v/>
      </c>
      <c r="W44">
        <f>""</f>
        <v/>
      </c>
      <c r="X44">
        <f>""</f>
        <v/>
      </c>
      <c r="Y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I45">
        <f>""</f>
        <v/>
      </c>
      <c r="V45">
        <f>""</f>
        <v/>
      </c>
      <c r="W45">
        <f>""</f>
        <v/>
      </c>
      <c r="X45">
        <f>""</f>
        <v/>
      </c>
      <c r="Y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I46">
        <f>""</f>
        <v/>
      </c>
      <c r="V46">
        <f>""</f>
        <v/>
      </c>
      <c r="W46">
        <f>""</f>
        <v/>
      </c>
      <c r="X46">
        <f>""</f>
        <v/>
      </c>
      <c r="Y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I47">
        <f>""</f>
        <v/>
      </c>
      <c r="V47">
        <f>""</f>
        <v/>
      </c>
      <c r="W47">
        <f>""</f>
        <v/>
      </c>
      <c r="X47">
        <f>""</f>
        <v/>
      </c>
      <c r="Y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I48">
        <f>""</f>
        <v/>
      </c>
      <c r="V48">
        <f>""</f>
        <v/>
      </c>
      <c r="W48">
        <f>""</f>
        <v/>
      </c>
      <c r="X48">
        <f>""</f>
        <v/>
      </c>
      <c r="Y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I49">
        <f>""</f>
        <v/>
      </c>
      <c r="V49">
        <f>""</f>
        <v/>
      </c>
      <c r="W49">
        <f>""</f>
        <v/>
      </c>
      <c r="X49">
        <f>""</f>
        <v/>
      </c>
      <c r="Y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I50">
        <f>""</f>
        <v/>
      </c>
      <c r="V50">
        <f>""</f>
        <v/>
      </c>
      <c r="W50">
        <f>""</f>
        <v/>
      </c>
      <c r="X50">
        <f>""</f>
        <v/>
      </c>
      <c r="Y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I51">
        <f>""</f>
        <v/>
      </c>
      <c r="V51">
        <f>""</f>
        <v/>
      </c>
      <c r="W51">
        <f>""</f>
        <v/>
      </c>
      <c r="X51">
        <f>""</f>
        <v/>
      </c>
      <c r="Y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I52">
        <f>""</f>
        <v/>
      </c>
      <c r="V52">
        <f>""</f>
        <v/>
      </c>
      <c r="W52">
        <f>""</f>
        <v/>
      </c>
      <c r="X52">
        <f>""</f>
        <v/>
      </c>
      <c r="Y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I53">
        <f>""</f>
        <v/>
      </c>
      <c r="V53">
        <f>""</f>
        <v/>
      </c>
      <c r="W53">
        <f>""</f>
        <v/>
      </c>
      <c r="X53">
        <f>""</f>
        <v/>
      </c>
      <c r="Y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I54">
        <f>""</f>
        <v/>
      </c>
      <c r="V54">
        <f>""</f>
        <v/>
      </c>
      <c r="W54">
        <f>""</f>
        <v/>
      </c>
      <c r="X54">
        <f>""</f>
        <v/>
      </c>
      <c r="Y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I55">
        <f>""</f>
        <v/>
      </c>
      <c r="V55">
        <f>""</f>
        <v/>
      </c>
      <c r="W55">
        <f>""</f>
        <v/>
      </c>
      <c r="X55">
        <f>""</f>
        <v/>
      </c>
      <c r="Y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I56">
        <f>""</f>
        <v/>
      </c>
      <c r="V56">
        <f>""</f>
        <v/>
      </c>
      <c r="W56">
        <f>""</f>
        <v/>
      </c>
      <c r="X56">
        <f>""</f>
        <v/>
      </c>
      <c r="Y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I57">
        <f>""</f>
        <v/>
      </c>
      <c r="V57">
        <f>""</f>
        <v/>
      </c>
      <c r="W57">
        <f>""</f>
        <v/>
      </c>
      <c r="X57">
        <f>""</f>
        <v/>
      </c>
      <c r="Y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I58">
        <f>""</f>
        <v/>
      </c>
      <c r="V58">
        <f>""</f>
        <v/>
      </c>
      <c r="W58">
        <f>""</f>
        <v/>
      </c>
      <c r="X58">
        <f>""</f>
        <v/>
      </c>
      <c r="Y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I59">
        <f>""</f>
        <v/>
      </c>
      <c r="V59">
        <f>""</f>
        <v/>
      </c>
      <c r="W59">
        <f>""</f>
        <v/>
      </c>
      <c r="X59">
        <f>""</f>
        <v/>
      </c>
      <c r="Y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I60">
        <f>""</f>
        <v/>
      </c>
      <c r="V60">
        <f>""</f>
        <v/>
      </c>
      <c r="W60">
        <f>""</f>
        <v/>
      </c>
      <c r="X60">
        <f>""</f>
        <v/>
      </c>
      <c r="Y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I61">
        <f>""</f>
        <v/>
      </c>
      <c r="V61">
        <f>""</f>
        <v/>
      </c>
      <c r="W61">
        <f>""</f>
        <v/>
      </c>
      <c r="X61">
        <f>""</f>
        <v/>
      </c>
      <c r="Y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I62">
        <f>""</f>
        <v/>
      </c>
      <c r="V62">
        <f>""</f>
        <v/>
      </c>
      <c r="W62">
        <f>""</f>
        <v/>
      </c>
      <c r="X62">
        <f>""</f>
        <v/>
      </c>
      <c r="Y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I63">
        <f>""</f>
        <v/>
      </c>
      <c r="V63">
        <f>""</f>
        <v/>
      </c>
      <c r="W63">
        <f>""</f>
        <v/>
      </c>
      <c r="X63">
        <f>""</f>
        <v/>
      </c>
      <c r="Y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I64">
        <f>""</f>
        <v/>
      </c>
      <c r="V64">
        <f>""</f>
        <v/>
      </c>
      <c r="W64">
        <f>""</f>
        <v/>
      </c>
      <c r="X64">
        <f>""</f>
        <v/>
      </c>
      <c r="Y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I65">
        <f>""</f>
        <v/>
      </c>
      <c r="V65">
        <f>""</f>
        <v/>
      </c>
      <c r="W65">
        <f>""</f>
        <v/>
      </c>
      <c r="X65">
        <f>""</f>
        <v/>
      </c>
      <c r="Y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I66">
        <f>""</f>
        <v/>
      </c>
      <c r="V66">
        <f>""</f>
        <v/>
      </c>
      <c r="W66">
        <f>""</f>
        <v/>
      </c>
      <c r="X66">
        <f>""</f>
        <v/>
      </c>
      <c r="Y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I67">
        <f>""</f>
        <v/>
      </c>
      <c r="V67">
        <f>""</f>
        <v/>
      </c>
      <c r="W67">
        <f>""</f>
        <v/>
      </c>
      <c r="X67">
        <f>""</f>
        <v/>
      </c>
      <c r="Y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I68">
        <f>""</f>
        <v/>
      </c>
      <c r="V68">
        <f>""</f>
        <v/>
      </c>
      <c r="W68">
        <f>""</f>
        <v/>
      </c>
      <c r="X68">
        <f>""</f>
        <v/>
      </c>
      <c r="Y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I69">
        <f>""</f>
        <v/>
      </c>
      <c r="V69">
        <f>""</f>
        <v/>
      </c>
      <c r="W69">
        <f>""</f>
        <v/>
      </c>
      <c r="X69">
        <f>""</f>
        <v/>
      </c>
      <c r="Y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I70">
        <f>""</f>
        <v/>
      </c>
      <c r="V70">
        <f>""</f>
        <v/>
      </c>
      <c r="W70">
        <f>""</f>
        <v/>
      </c>
      <c r="X70">
        <f>""</f>
        <v/>
      </c>
      <c r="Y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I71">
        <f>""</f>
        <v/>
      </c>
      <c r="V71">
        <f>""</f>
        <v/>
      </c>
      <c r="W71">
        <f>""</f>
        <v/>
      </c>
      <c r="X71">
        <f>""</f>
        <v/>
      </c>
      <c r="Y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I72">
        <f>""</f>
        <v/>
      </c>
      <c r="V72">
        <f>""</f>
        <v/>
      </c>
      <c r="W72">
        <f>""</f>
        <v/>
      </c>
      <c r="X72">
        <f>""</f>
        <v/>
      </c>
      <c r="Y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I73">
        <f>""</f>
        <v/>
      </c>
      <c r="V73">
        <f>""</f>
        <v/>
      </c>
      <c r="W73">
        <f>""</f>
        <v/>
      </c>
      <c r="X73">
        <f>""</f>
        <v/>
      </c>
      <c r="Y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I74">
        <f>""</f>
        <v/>
      </c>
      <c r="V74">
        <f>""</f>
        <v/>
      </c>
      <c r="W74">
        <f>""</f>
        <v/>
      </c>
      <c r="X74">
        <f>""</f>
        <v/>
      </c>
      <c r="Y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I75">
        <f>""</f>
        <v/>
      </c>
      <c r="V75">
        <f>""</f>
        <v/>
      </c>
      <c r="W75">
        <f>""</f>
        <v/>
      </c>
      <c r="X75">
        <f>""</f>
        <v/>
      </c>
      <c r="Y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I76">
        <f>""</f>
        <v/>
      </c>
      <c r="V76">
        <f>""</f>
        <v/>
      </c>
      <c r="W76">
        <f>""</f>
        <v/>
      </c>
      <c r="X76">
        <f>""</f>
        <v/>
      </c>
      <c r="Y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I77">
        <f>""</f>
        <v/>
      </c>
      <c r="V77">
        <f>""</f>
        <v/>
      </c>
      <c r="W77">
        <f>""</f>
        <v/>
      </c>
      <c r="X77">
        <f>""</f>
        <v/>
      </c>
      <c r="Y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I78">
        <f>""</f>
        <v/>
      </c>
      <c r="V78">
        <f>""</f>
        <v/>
      </c>
      <c r="W78">
        <f>""</f>
        <v/>
      </c>
      <c r="X78">
        <f>""</f>
        <v/>
      </c>
      <c r="Y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I79">
        <f>""</f>
        <v/>
      </c>
      <c r="V79">
        <f>""</f>
        <v/>
      </c>
      <c r="W79">
        <f>""</f>
        <v/>
      </c>
      <c r="X79">
        <f>""</f>
        <v/>
      </c>
      <c r="Y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I80">
        <f>""</f>
        <v/>
      </c>
      <c r="V80">
        <f>""</f>
        <v/>
      </c>
      <c r="W80">
        <f>""</f>
        <v/>
      </c>
      <c r="X80">
        <f>""</f>
        <v/>
      </c>
      <c r="Y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I81">
        <f>""</f>
        <v/>
      </c>
      <c r="V81">
        <f>""</f>
        <v/>
      </c>
      <c r="W81">
        <f>""</f>
        <v/>
      </c>
      <c r="X81">
        <f>""</f>
        <v/>
      </c>
      <c r="Y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I82">
        <f>""</f>
        <v/>
      </c>
      <c r="V82">
        <f>""</f>
        <v/>
      </c>
      <c r="W82">
        <f>""</f>
        <v/>
      </c>
      <c r="X82">
        <f>""</f>
        <v/>
      </c>
      <c r="Y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I83">
        <f>""</f>
        <v/>
      </c>
      <c r="V83">
        <f>""</f>
        <v/>
      </c>
      <c r="W83">
        <f>""</f>
        <v/>
      </c>
      <c r="X83">
        <f>""</f>
        <v/>
      </c>
      <c r="Y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I84">
        <f>""</f>
        <v/>
      </c>
      <c r="V84">
        <f>""</f>
        <v/>
      </c>
      <c r="W84">
        <f>""</f>
        <v/>
      </c>
      <c r="X84">
        <f>""</f>
        <v/>
      </c>
      <c r="Y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I85">
        <f>""</f>
        <v/>
      </c>
      <c r="V85">
        <f>""</f>
        <v/>
      </c>
      <c r="W85">
        <f>""</f>
        <v/>
      </c>
      <c r="X85">
        <f>""</f>
        <v/>
      </c>
      <c r="Y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I86">
        <f>""</f>
        <v/>
      </c>
      <c r="V86">
        <f>""</f>
        <v/>
      </c>
      <c r="W86">
        <f>""</f>
        <v/>
      </c>
      <c r="X86">
        <f>""</f>
        <v/>
      </c>
      <c r="Y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I87">
        <f>""</f>
        <v/>
      </c>
      <c r="V87">
        <f>""</f>
        <v/>
      </c>
      <c r="W87">
        <f>""</f>
        <v/>
      </c>
      <c r="X87">
        <f>""</f>
        <v/>
      </c>
      <c r="Y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I88">
        <f>""</f>
        <v/>
      </c>
      <c r="V88">
        <f>""</f>
        <v/>
      </c>
      <c r="W88">
        <f>""</f>
        <v/>
      </c>
      <c r="X88">
        <f>""</f>
        <v/>
      </c>
      <c r="Y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I89">
        <f>""</f>
        <v/>
      </c>
      <c r="V89">
        <f>""</f>
        <v/>
      </c>
      <c r="W89">
        <f>""</f>
        <v/>
      </c>
      <c r="X89">
        <f>""</f>
        <v/>
      </c>
      <c r="Y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I90">
        <f>""</f>
        <v/>
      </c>
      <c r="V90">
        <f>""</f>
        <v/>
      </c>
      <c r="W90">
        <f>""</f>
        <v/>
      </c>
      <c r="X90">
        <f>""</f>
        <v/>
      </c>
      <c r="Y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I91">
        <f>""</f>
        <v/>
      </c>
      <c r="V91">
        <f>""</f>
        <v/>
      </c>
      <c r="W91">
        <f>""</f>
        <v/>
      </c>
      <c r="X91">
        <f>""</f>
        <v/>
      </c>
      <c r="Y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I92">
        <f>""</f>
        <v/>
      </c>
      <c r="V92">
        <f>""</f>
        <v/>
      </c>
      <c r="W92">
        <f>""</f>
        <v/>
      </c>
      <c r="X92">
        <f>""</f>
        <v/>
      </c>
      <c r="Y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I93">
        <f>""</f>
        <v/>
      </c>
      <c r="V93">
        <f>""</f>
        <v/>
      </c>
      <c r="W93">
        <f>""</f>
        <v/>
      </c>
      <c r="X93">
        <f>""</f>
        <v/>
      </c>
      <c r="Y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I94">
        <f>""</f>
        <v/>
      </c>
      <c r="V94">
        <f>""</f>
        <v/>
      </c>
      <c r="W94">
        <f>""</f>
        <v/>
      </c>
      <c r="X94">
        <f>""</f>
        <v/>
      </c>
      <c r="Y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I95">
        <f>""</f>
        <v/>
      </c>
      <c r="V95">
        <f>""</f>
        <v/>
      </c>
      <c r="W95">
        <f>""</f>
        <v/>
      </c>
      <c r="X95">
        <f>""</f>
        <v/>
      </c>
      <c r="Y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I96">
        <f>""</f>
        <v/>
      </c>
      <c r="V96">
        <f>""</f>
        <v/>
      </c>
      <c r="W96">
        <f>""</f>
        <v/>
      </c>
      <c r="X96">
        <f>""</f>
        <v/>
      </c>
      <c r="Y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I97">
        <f>""</f>
        <v/>
      </c>
      <c r="V97">
        <f>""</f>
        <v/>
      </c>
      <c r="W97">
        <f>""</f>
        <v/>
      </c>
      <c r="X97">
        <f>""</f>
        <v/>
      </c>
      <c r="Y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I98">
        <f>""</f>
        <v/>
      </c>
      <c r="V98">
        <f>""</f>
        <v/>
      </c>
      <c r="W98">
        <f>""</f>
        <v/>
      </c>
      <c r="X98">
        <f>""</f>
        <v/>
      </c>
      <c r="Y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I99">
        <f>""</f>
        <v/>
      </c>
      <c r="V99">
        <f>""</f>
        <v/>
      </c>
      <c r="W99">
        <f>""</f>
        <v/>
      </c>
      <c r="X99">
        <f>""</f>
        <v/>
      </c>
      <c r="Y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I100">
        <f>""</f>
        <v/>
      </c>
      <c r="V100">
        <f>""</f>
        <v/>
      </c>
      <c r="W100">
        <f>""</f>
        <v/>
      </c>
      <c r="X100">
        <f>""</f>
        <v/>
      </c>
      <c r="Y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I101">
        <f>""</f>
        <v/>
      </c>
      <c r="V101">
        <f>""</f>
        <v/>
      </c>
      <c r="W101">
        <f>""</f>
        <v/>
      </c>
      <c r="X101">
        <f>""</f>
        <v/>
      </c>
      <c r="Y101">
        <f>""</f>
        <v/>
      </c>
    </row>
  </sheetData>
  <mergeCells count="1">
    <mergeCell ref="A1:H1"/>
  </mergeCells>
  <conditionalFormatting sqref="B4:D4">
    <cfRule type="expression" priority="1" dxfId="0" stopIfTrue="1">
      <formula>$D$4&lt;$B$4</formula>
    </cfRule>
  </conditionalFormatting>
  <dataValidations count="1">
    <dataValidation sqref="B4 D4" showDropDown="0" showInputMessage="1" showErrorMessage="1" allowBlank="0" errorTitle="Invalid date" error="Enter a date from 1/1/2020 through 12/31/2035." promptTitle="Reporting period" prompt="These dates control all dashboard totals and charts." type="date" errorStyle="stop" operator="between">
      <formula1>DATE(2020,1,1)</formula1>
      <formula2>DATE(2035,12,31)</formula2>
    </dataValidation>
  </dataValidations>
  <pageMargins left="0.75" right="0.75" top="1" bottom="1" header="0.5" footer="0.5"/>
  <pageSetup orientation="landscape" fitToHeight="0" fitToWidth="1"/>
  <headerFooter>
    <oddHeader/>
    <oddFooter>&amp;CHotel No-Show Cost Calculator&amp;RPage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M50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23" customWidth="1" min="4" max="4"/>
    <col width="22" customWidth="1" min="5" max="5"/>
    <col width="13" customWidth="1" min="6" max="6"/>
    <col width="13" customWidth="1" min="7" max="7"/>
    <col width="17" customWidth="1" min="8" max="8"/>
    <col width="18" customWidth="1" min="9" max="9"/>
    <col width="15" customWidth="1" min="10" max="10"/>
    <col width="15" customWidth="1" min="11" max="11"/>
    <col width="12" customWidth="1" min="12" max="12"/>
    <col width="20" customWidth="1" min="13" max="13"/>
    <col width="14" customWidth="1" min="14" max="14"/>
    <col width="18" customWidth="1" min="15" max="15"/>
    <col width="18" customWidth="1" min="16" max="16"/>
    <col width="15" customWidth="1" min="17" max="17"/>
    <col width="21" customWidth="1" min="18" max="18"/>
    <col width="21" customWidth="1" min="19" max="19"/>
    <col width="16" customWidth="1" min="20" max="20"/>
    <col width="38" customWidth="1" min="21" max="21"/>
    <col width="15" customWidth="1" min="22" max="22"/>
    <col width="19" customWidth="1" min="23" max="23"/>
    <col width="20" customWidth="1" min="24" max="24"/>
    <col width="18" customWidth="1" min="25" max="25"/>
    <col width="14" customWidth="1" min="26" max="26"/>
    <col width="19" customWidth="1" min="27" max="27"/>
    <col width="19" customWidth="1" min="28" max="28"/>
    <col width="18" customWidth="1" min="29" max="29"/>
    <col width="17" customWidth="1" min="30" max="30"/>
    <col width="18" customWidth="1" min="31" max="31"/>
    <col width="17" customWidth="1" min="32" max="32"/>
    <col width="21" customWidth="1" min="33" max="33"/>
    <col width="20" customWidth="1" min="34" max="34"/>
    <col width="13" customWidth="1" min="35" max="35"/>
    <col width="18" customWidth="1" min="36" max="36"/>
    <col width="16" customWidth="1" min="37" max="37"/>
    <col width="16" customWidth="1" min="38" max="38"/>
    <col width="31" customWidth="1" min="39" max="39"/>
  </cols>
  <sheetData>
    <row r="1" ht="28" customHeight="1">
      <c r="A1" s="1" t="inlineStr">
        <is>
          <t>Hotel No-Show Operating Log</t>
        </is>
      </c>
    </row>
    <row r="2" ht="34" customHeight="1">
      <c r="A2" s="10" t="inlineStr">
        <is>
          <t>Enter one row per no-show reservation. Blue cells are user inputs; gray cells contain calculations. Amounts should be entered before tax unless the column specifically requests tax. Review property policy and local requirements before charging or taxing a no-show fee.</t>
        </is>
      </c>
    </row>
    <row r="3">
      <c r="A3" s="35" t="inlineStr">
        <is>
          <t>Input cells</t>
        </is>
      </c>
      <c r="B3" s="36" t="inlineStr">
        <is>
          <t>Calculated cells</t>
        </is>
      </c>
    </row>
    <row r="4" ht="48" customHeight="1">
      <c r="A4" s="37" t="inlineStr">
        <is>
          <t>Reservation ID</t>
        </is>
      </c>
      <c r="B4" s="37" t="inlineStr">
        <is>
          <t>Arrival Date</t>
        </is>
      </c>
      <c r="C4" s="37" t="inlineStr">
        <is>
          <t>Departure Date</t>
        </is>
      </c>
      <c r="D4" s="37" t="inlineStr">
        <is>
          <t>Booking Source</t>
        </is>
      </c>
      <c r="E4" s="37" t="inlineStr">
        <is>
          <t>Room Type</t>
        </is>
      </c>
      <c r="F4" s="37" t="inlineStr">
        <is>
          <t>Booked Room Nights</t>
        </is>
      </c>
      <c r="G4" s="37" t="inlineStr">
        <is>
          <t>Resold Room Nights</t>
        </is>
      </c>
      <c r="H4" s="37" t="inlineStr">
        <is>
          <t>Booked Room Revenue</t>
        </is>
      </c>
      <c r="I4" s="37" t="inlineStr">
        <is>
          <t>Estimated Ancillary Revenue</t>
        </is>
      </c>
      <c r="J4" s="37" t="inlineStr">
        <is>
          <t>Policy Charge Rate</t>
        </is>
      </c>
      <c r="K4" s="37" t="inlineStr">
        <is>
          <t>Service Charge Rate</t>
        </is>
      </c>
      <c r="L4" s="37" t="inlineStr">
        <is>
          <t>Tax Rate</t>
        </is>
      </c>
      <c r="M4" s="37" t="inlineStr">
        <is>
          <t>Amount Collected Before Tax</t>
        </is>
      </c>
      <c r="N4" s="37" t="inlineStr">
        <is>
          <t>Tax Collected</t>
        </is>
      </c>
      <c r="O4" s="37" t="inlineStr">
        <is>
          <t>Resale Room Revenue</t>
        </is>
      </c>
      <c r="P4" s="37" t="inlineStr">
        <is>
          <t>Direct Collection Cost</t>
        </is>
      </c>
      <c r="Q4" s="37" t="inlineStr">
        <is>
          <t>Staff Handling Minutes</t>
        </is>
      </c>
      <c r="R4" s="37" t="inlineStr">
        <is>
          <t>Follow-Up Owner</t>
        </is>
      </c>
      <c r="S4" s="37" t="inlineStr">
        <is>
          <t>Collection Status</t>
        </is>
      </c>
      <c r="T4" s="37" t="inlineStr">
        <is>
          <t>Last Follow-Up Date</t>
        </is>
      </c>
      <c r="U4" s="37" t="inlineStr">
        <is>
          <t>Notes</t>
        </is>
      </c>
      <c r="V4" s="37" t="inlineStr">
        <is>
          <t>Nights Not Resold</t>
        </is>
      </c>
      <c r="W4" s="37" t="inlineStr">
        <is>
          <t>Gross Expected Revenue</t>
        </is>
      </c>
      <c r="X4" s="37" t="inlineStr">
        <is>
          <t>Expected Base No-Show Charge</t>
        </is>
      </c>
      <c r="Y4" s="37" t="inlineStr">
        <is>
          <t>Expected Service Charge</t>
        </is>
      </c>
      <c r="Z4" s="37" t="inlineStr">
        <is>
          <t>Expected Tax</t>
        </is>
      </c>
      <c r="AA4" s="37" t="inlineStr">
        <is>
          <t>Expected Total Collection</t>
        </is>
      </c>
      <c r="AB4" s="37" t="inlineStr">
        <is>
          <t>Avoided Room Variable Cost</t>
        </is>
      </c>
      <c r="AC4" s="37" t="inlineStr">
        <is>
          <t>Avoided Ancillary Cost</t>
        </is>
      </c>
      <c r="AD4" s="37" t="inlineStr">
        <is>
          <t>Total Avoided Costs</t>
        </is>
      </c>
      <c r="AE4" s="37" t="inlineStr">
        <is>
          <t>Payment Processing Cost</t>
        </is>
      </c>
      <c r="AF4" s="37" t="inlineStr">
        <is>
          <t>Staff Handling Cost</t>
        </is>
      </c>
      <c r="AG4" s="37" t="inlineStr">
        <is>
          <t>Collection and Handling Cost</t>
        </is>
      </c>
      <c r="AH4" s="37" t="inlineStr">
        <is>
          <t>Total Revenue Recovered</t>
        </is>
      </c>
      <c r="AI4" s="37" t="inlineStr">
        <is>
          <t>Recovery Rate</t>
        </is>
      </c>
      <c r="AJ4" s="37" t="inlineStr">
        <is>
          <t>Net No-Show Cost</t>
        </is>
      </c>
      <c r="AK4" s="37" t="inlineStr">
        <is>
          <t>Follow-Up Due Date</t>
        </is>
      </c>
      <c r="AL4" s="37" t="inlineStr">
        <is>
          <t>Follow-Up Status</t>
        </is>
      </c>
      <c r="AM4" s="37" t="inlineStr">
        <is>
          <t>Review Flag</t>
        </is>
      </c>
    </row>
    <row r="5">
      <c r="A5" s="38" t="inlineStr">
        <is>
          <t>NS-260101</t>
        </is>
      </c>
      <c r="B5" s="39" t="n">
        <v>46031</v>
      </c>
      <c r="C5" s="39" t="n">
        <v>46033</v>
      </c>
      <c r="D5" s="38" t="inlineStr">
        <is>
          <t>Direct Website</t>
        </is>
      </c>
      <c r="E5" s="38" t="inlineStr">
        <is>
          <t>King</t>
        </is>
      </c>
      <c r="F5" s="40" t="n">
        <v>2</v>
      </c>
      <c r="G5" s="40" t="n">
        <v>1</v>
      </c>
      <c r="H5" s="41" t="n">
        <v>438</v>
      </c>
      <c r="I5" s="41" t="n">
        <v>70</v>
      </c>
      <c r="J5" s="42" t="n">
        <v>1</v>
      </c>
      <c r="K5" s="42" t="n">
        <v>0</v>
      </c>
      <c r="L5" s="42" t="n">
        <v>0.0825</v>
      </c>
      <c r="M5" s="41" t="n">
        <v>438</v>
      </c>
      <c r="N5" s="41" t="n">
        <v>36.14</v>
      </c>
      <c r="O5" s="41" t="n">
        <v>239</v>
      </c>
      <c r="P5" s="41" t="n">
        <v>4.5</v>
      </c>
      <c r="Q5" s="40" t="n">
        <v>18</v>
      </c>
      <c r="R5" s="38" t="inlineStr">
        <is>
          <t>Accounting</t>
        </is>
      </c>
      <c r="S5" s="38" t="inlineStr">
        <is>
          <t>Collected</t>
        </is>
      </c>
      <c r="T5" s="39" t="n">
        <v>46034</v>
      </c>
      <c r="U5" s="43" t="inlineStr">
        <is>
          <t>One night resold; no-show charge collected</t>
        </is>
      </c>
      <c r="V5" s="44">
        <f>IFERROR(IF($A5="","",MAX($F5-$G5,0)),"")</f>
        <v/>
      </c>
      <c r="W5" s="45">
        <f>IFERROR(IF($A5="","",$H5+$I5),"")</f>
        <v/>
      </c>
      <c r="X5" s="45">
        <f>IFERROR(IF($A5="","",$H5*IF($J5="",'Assumptions'!$B$4,$J5)),"")</f>
        <v/>
      </c>
      <c r="Y5" s="45">
        <f>IFERROR(IF($A5="","",$X5*IF($K5="",'Assumptions'!$B$12,$K5)),"")</f>
        <v/>
      </c>
      <c r="Z5" s="45">
        <f>IFERROR(IF($A5="","",($X5+$Y5)*IF($L5="",'Assumptions'!$B$13,$L5)),"")</f>
        <v/>
      </c>
      <c r="AA5" s="45">
        <f>IFERROR(IF($A5="","",$X5+$Y5+$Z5),"")</f>
        <v/>
      </c>
      <c r="AB5" s="45">
        <f>IFERROR(IF($A5="","",$V5*'Assumptions'!$B$5),"")</f>
        <v/>
      </c>
      <c r="AC5" s="45">
        <f>IFERROR(IF($A5="","",$I5*'Assumptions'!$B$6),"")</f>
        <v/>
      </c>
      <c r="AD5" s="45">
        <f>IFERROR(IF($A5="","",$AB5+$AC5),"")</f>
        <v/>
      </c>
      <c r="AE5" s="45">
        <f>IFERROR(IF($A5="","",($M5+$N5)*'Assumptions'!$B$7),"")</f>
        <v/>
      </c>
      <c r="AF5" s="45">
        <f>IFERROR(IF($A5="","",($Q5/60)*'Assumptions'!$B$8),"")</f>
        <v/>
      </c>
      <c r="AG5" s="45">
        <f>IFERROR(IF($A5="","",$P5+$AE5+$AF5),"")</f>
        <v/>
      </c>
      <c r="AH5" s="45">
        <f>IFERROR(IF($A5="","",$M5+$O5),"")</f>
        <v/>
      </c>
      <c r="AI5" s="46">
        <f>IFERROR(IF($A5="","",IFERROR($AH5/$W5,0)),"")</f>
        <v/>
      </c>
      <c r="AJ5" s="45">
        <f>IFERROR(IF($A5="","",$W5-$AH5-$AD5+$AG5),"")</f>
        <v/>
      </c>
      <c r="AK5" s="47">
        <f>IFERROR(IF($A5="","",IF(OR($S5="Collected",$S5="Waived",$S5="Uncollectible",$S5="No Charge Due"),"",IF($T5="",$B5+'Assumptions'!$B$9,$T5+'Assumptions'!$B$9))),"")</f>
        <v/>
      </c>
      <c r="AL5" s="48">
        <f>IFERROR(IF($A5="","",IF(OR($S5="Collected",$S5="Waived",$S5="Uncollectible",$S5="No Charge Due"),"Closed",IF($AK5&lt;TODAY(),"Overdue",IF($AK5=TODAY(),"Due","Open")))),"")</f>
        <v/>
      </c>
      <c r="AM5" s="49">
        <f>IFERROR(IF($A5="","",IF(COUNTIF($A$5:$A$504,$A5)&gt;1,"Duplicate reservation ID",IF($C5&lt;=$B5,"Check stay dates",IF($G5&gt;$F5,"Resold nights exceed booked nights",IF($M5+$N5&gt;$AA5+0.01,"Collection exceeds expected amount",IF(AND($S5="Collected",$M5=0),"Collected status has no amount",IF($AJ5&gt;='Assumptions'!$B$10,"High-cost review","OK"))))))),"")</f>
        <v/>
      </c>
    </row>
    <row r="6">
      <c r="A6" s="38" t="inlineStr">
        <is>
          <t>NS-260102</t>
        </is>
      </c>
      <c r="B6" s="39" t="n">
        <v>46045</v>
      </c>
      <c r="C6" s="39" t="n">
        <v>46046</v>
      </c>
      <c r="D6" s="38" t="inlineStr">
        <is>
          <t>Online Travel Agency</t>
        </is>
      </c>
      <c r="E6" s="38" t="inlineStr">
        <is>
          <t>Two Queens</t>
        </is>
      </c>
      <c r="F6" s="40" t="n">
        <v>1</v>
      </c>
      <c r="G6" s="40" t="n">
        <v>0</v>
      </c>
      <c r="H6" s="41" t="n">
        <v>189</v>
      </c>
      <c r="I6" s="41" t="n">
        <v>32</v>
      </c>
      <c r="J6" s="42" t="n">
        <v>1</v>
      </c>
      <c r="K6" s="42" t="n">
        <v>0</v>
      </c>
      <c r="L6" s="42" t="n">
        <v>0</v>
      </c>
      <c r="M6" s="41" t="n">
        <v>0</v>
      </c>
      <c r="N6" s="41" t="n">
        <v>0</v>
      </c>
      <c r="O6" s="41" t="n">
        <v>0</v>
      </c>
      <c r="P6" s="41" t="n">
        <v>0</v>
      </c>
      <c r="Q6" s="40" t="n">
        <v>22</v>
      </c>
      <c r="R6" s="38" t="inlineStr">
        <is>
          <t>Reservations</t>
        </is>
      </c>
      <c r="S6" s="38" t="inlineStr">
        <is>
          <t>Pending</t>
        </is>
      </c>
      <c r="T6" s="39" t="n">
        <v>46254</v>
      </c>
      <c r="U6" s="43" t="inlineStr">
        <is>
          <t>Virtual payment review pending</t>
        </is>
      </c>
      <c r="V6" s="44">
        <f>IFERROR(IF($A6="","",MAX($F6-$G6,0)),"")</f>
        <v/>
      </c>
      <c r="W6" s="45">
        <f>IFERROR(IF($A6="","",$H6+$I6),"")</f>
        <v/>
      </c>
      <c r="X6" s="45">
        <f>IFERROR(IF($A6="","",$H6*IF($J6="",'Assumptions'!$B$4,$J6)),"")</f>
        <v/>
      </c>
      <c r="Y6" s="45">
        <f>IFERROR(IF($A6="","",$X6*IF($K6="",'Assumptions'!$B$12,$K6)),"")</f>
        <v/>
      </c>
      <c r="Z6" s="45">
        <f>IFERROR(IF($A6="","",($X6+$Y6)*IF($L6="",'Assumptions'!$B$13,$L6)),"")</f>
        <v/>
      </c>
      <c r="AA6" s="45">
        <f>IFERROR(IF($A6="","",$X6+$Y6+$Z6),"")</f>
        <v/>
      </c>
      <c r="AB6" s="45">
        <f>IFERROR(IF($A6="","",$V6*'Assumptions'!$B$5),"")</f>
        <v/>
      </c>
      <c r="AC6" s="45">
        <f>IFERROR(IF($A6="","",$I6*'Assumptions'!$B$6),"")</f>
        <v/>
      </c>
      <c r="AD6" s="45">
        <f>IFERROR(IF($A6="","",$AB6+$AC6),"")</f>
        <v/>
      </c>
      <c r="AE6" s="45">
        <f>IFERROR(IF($A6="","",($M6+$N6)*'Assumptions'!$B$7),"")</f>
        <v/>
      </c>
      <c r="AF6" s="45">
        <f>IFERROR(IF($A6="","",($Q6/60)*'Assumptions'!$B$8),"")</f>
        <v/>
      </c>
      <c r="AG6" s="45">
        <f>IFERROR(IF($A6="","",$P6+$AE6+$AF6),"")</f>
        <v/>
      </c>
      <c r="AH6" s="45">
        <f>IFERROR(IF($A6="","",$M6+$O6),"")</f>
        <v/>
      </c>
      <c r="AI6" s="46">
        <f>IFERROR(IF($A6="","",IFERROR($AH6/$W6,0)),"")</f>
        <v/>
      </c>
      <c r="AJ6" s="45">
        <f>IFERROR(IF($A6="","",$W6-$AH6-$AD6+$AG6),"")</f>
        <v/>
      </c>
      <c r="AK6" s="47">
        <f>IFERROR(IF($A6="","",IF(OR($S6="Collected",$S6="Waived",$S6="Uncollectible",$S6="No Charge Due"),"",IF($T6="",$B6+'Assumptions'!$B$9,$T6+'Assumptions'!$B$9))),"")</f>
        <v/>
      </c>
      <c r="AL6" s="48">
        <f>IFERROR(IF($A6="","",IF(OR($S6="Collected",$S6="Waived",$S6="Uncollectible",$S6="No Charge Due"),"Closed",IF($AK6&lt;TODAY(),"Overdue",IF($AK6=TODAY(),"Due","Open")))),"")</f>
        <v/>
      </c>
      <c r="AM6" s="49">
        <f>IFERROR(IF($A6="","",IF(COUNTIF($A$5:$A$504,$A6)&gt;1,"Duplicate reservation ID",IF($C6&lt;=$B6,"Check stay dates",IF($G6&gt;$F6,"Resold nights exceed booked nights",IF($M6+$N6&gt;$AA6+0.01,"Collection exceeds expected amount",IF(AND($S6="Collected",$M6=0),"Collected status has no amount",IF($AJ6&gt;='Assumptions'!$B$10,"High-cost review","OK"))))))),"")</f>
        <v/>
      </c>
    </row>
    <row r="7">
      <c r="A7" s="38" t="inlineStr">
        <is>
          <t>NS-260103</t>
        </is>
      </c>
      <c r="B7" s="39" t="n">
        <v>46067</v>
      </c>
      <c r="C7" s="39" t="n">
        <v>46069</v>
      </c>
      <c r="D7" s="38" t="inlineStr">
        <is>
          <t>Phone</t>
        </is>
      </c>
      <c r="E7" s="38" t="inlineStr">
        <is>
          <t>King</t>
        </is>
      </c>
      <c r="F7" s="40" t="n">
        <v>2</v>
      </c>
      <c r="G7" s="40" t="n">
        <v>0</v>
      </c>
      <c r="H7" s="41" t="n">
        <v>598</v>
      </c>
      <c r="I7" s="41" t="n">
        <v>110</v>
      </c>
      <c r="J7" s="42" t="n">
        <v>0.5</v>
      </c>
      <c r="K7" s="42" t="n">
        <v>0</v>
      </c>
      <c r="L7" s="42" t="n">
        <v>0</v>
      </c>
      <c r="M7" s="41" t="n">
        <v>0</v>
      </c>
      <c r="N7" s="41" t="n">
        <v>0</v>
      </c>
      <c r="O7" s="41" t="n">
        <v>0</v>
      </c>
      <c r="P7" s="41" t="n">
        <v>0</v>
      </c>
      <c r="Q7" s="40" t="n">
        <v>12</v>
      </c>
      <c r="R7" s="38" t="inlineStr">
        <is>
          <t>General Manager</t>
        </is>
      </c>
      <c r="S7" s="38" t="inlineStr">
        <is>
          <t>Waived</t>
        </is>
      </c>
      <c r="T7" s="39" t="n">
        <v>46068</v>
      </c>
      <c r="U7" s="43" t="inlineStr">
        <is>
          <t>Charge waived after documented travel disruption</t>
        </is>
      </c>
      <c r="V7" s="44">
        <f>IFERROR(IF($A7="","",MAX($F7-$G7,0)),"")</f>
        <v/>
      </c>
      <c r="W7" s="45">
        <f>IFERROR(IF($A7="","",$H7+$I7),"")</f>
        <v/>
      </c>
      <c r="X7" s="45">
        <f>IFERROR(IF($A7="","",$H7*IF($J7="",'Assumptions'!$B$4,$J7)),"")</f>
        <v/>
      </c>
      <c r="Y7" s="45">
        <f>IFERROR(IF($A7="","",$X7*IF($K7="",'Assumptions'!$B$12,$K7)),"")</f>
        <v/>
      </c>
      <c r="Z7" s="45">
        <f>IFERROR(IF($A7="","",($X7+$Y7)*IF($L7="",'Assumptions'!$B$13,$L7)),"")</f>
        <v/>
      </c>
      <c r="AA7" s="45">
        <f>IFERROR(IF($A7="","",$X7+$Y7+$Z7),"")</f>
        <v/>
      </c>
      <c r="AB7" s="45">
        <f>IFERROR(IF($A7="","",$V7*'Assumptions'!$B$5),"")</f>
        <v/>
      </c>
      <c r="AC7" s="45">
        <f>IFERROR(IF($A7="","",$I7*'Assumptions'!$B$6),"")</f>
        <v/>
      </c>
      <c r="AD7" s="45">
        <f>IFERROR(IF($A7="","",$AB7+$AC7),"")</f>
        <v/>
      </c>
      <c r="AE7" s="45">
        <f>IFERROR(IF($A7="","",($M7+$N7)*'Assumptions'!$B$7),"")</f>
        <v/>
      </c>
      <c r="AF7" s="45">
        <f>IFERROR(IF($A7="","",($Q7/60)*'Assumptions'!$B$8),"")</f>
        <v/>
      </c>
      <c r="AG7" s="45">
        <f>IFERROR(IF($A7="","",$P7+$AE7+$AF7),"")</f>
        <v/>
      </c>
      <c r="AH7" s="45">
        <f>IFERROR(IF($A7="","",$M7+$O7),"")</f>
        <v/>
      </c>
      <c r="AI7" s="46">
        <f>IFERROR(IF($A7="","",IFERROR($AH7/$W7,0)),"")</f>
        <v/>
      </c>
      <c r="AJ7" s="45">
        <f>IFERROR(IF($A7="","",$W7-$AH7-$AD7+$AG7),"")</f>
        <v/>
      </c>
      <c r="AK7" s="47">
        <f>IFERROR(IF($A7="","",IF(OR($S7="Collected",$S7="Waived",$S7="Uncollectible",$S7="No Charge Due"),"",IF($T7="",$B7+'Assumptions'!$B$9,$T7+'Assumptions'!$B$9))),"")</f>
        <v/>
      </c>
      <c r="AL7" s="48">
        <f>IFERROR(IF($A7="","",IF(OR($S7="Collected",$S7="Waived",$S7="Uncollectible",$S7="No Charge Due"),"Closed",IF($AK7&lt;TODAY(),"Overdue",IF($AK7=TODAY(),"Due","Open")))),"")</f>
        <v/>
      </c>
      <c r="AM7" s="49">
        <f>IFERROR(IF($A7="","",IF(COUNTIF($A$5:$A$504,$A7)&gt;1,"Duplicate reservation ID",IF($C7&lt;=$B7,"Check stay dates",IF($G7&gt;$F7,"Resold nights exceed booked nights",IF($M7+$N7&gt;$AA7+0.01,"Collection exceeds expected amount",IF(AND($S7="Collected",$M7=0),"Collected status has no amount",IF($AJ7&gt;='Assumptions'!$B$10,"High-cost review","OK"))))))),"")</f>
        <v/>
      </c>
    </row>
    <row r="8">
      <c r="A8" s="38" t="inlineStr">
        <is>
          <t>NS-260104</t>
        </is>
      </c>
      <c r="B8" s="39" t="n">
        <v>46087</v>
      </c>
      <c r="C8" s="39" t="n">
        <v>46090</v>
      </c>
      <c r="D8" s="38" t="inlineStr">
        <is>
          <t>Group Block</t>
        </is>
      </c>
      <c r="E8" s="38" t="inlineStr">
        <is>
          <t>Two Queens</t>
        </is>
      </c>
      <c r="F8" s="40" t="n">
        <v>3</v>
      </c>
      <c r="G8" s="40" t="n">
        <v>2</v>
      </c>
      <c r="H8" s="41" t="n">
        <v>507</v>
      </c>
      <c r="I8" s="41" t="n">
        <v>135</v>
      </c>
      <c r="J8" s="42" t="n">
        <v>0.34</v>
      </c>
      <c r="K8" s="42" t="n">
        <v>0.05</v>
      </c>
      <c r="L8" s="42" t="n">
        <v>0</v>
      </c>
      <c r="M8" s="41" t="n">
        <v>177.15</v>
      </c>
      <c r="N8" s="41" t="n">
        <v>0</v>
      </c>
      <c r="O8" s="41" t="n">
        <v>350</v>
      </c>
      <c r="P8" s="41" t="n">
        <v>6</v>
      </c>
      <c r="Q8" s="40" t="n">
        <v>35</v>
      </c>
      <c r="R8" s="38" t="inlineStr">
        <is>
          <t>Accounting</t>
        </is>
      </c>
      <c r="S8" s="38" t="inlineStr">
        <is>
          <t>Partially Collected</t>
        </is>
      </c>
      <c r="T8" s="39" t="n">
        <v>46259</v>
      </c>
      <c r="U8" s="43" t="inlineStr">
        <is>
          <t>Group contact paid one-night charge</t>
        </is>
      </c>
      <c r="V8" s="44">
        <f>IFERROR(IF($A8="","",MAX($F8-$G8,0)),"")</f>
        <v/>
      </c>
      <c r="W8" s="45">
        <f>IFERROR(IF($A8="","",$H8+$I8),"")</f>
        <v/>
      </c>
      <c r="X8" s="45">
        <f>IFERROR(IF($A8="","",$H8*IF($J8="",'Assumptions'!$B$4,$J8)),"")</f>
        <v/>
      </c>
      <c r="Y8" s="45">
        <f>IFERROR(IF($A8="","",$X8*IF($K8="",'Assumptions'!$B$12,$K8)),"")</f>
        <v/>
      </c>
      <c r="Z8" s="45">
        <f>IFERROR(IF($A8="","",($X8+$Y8)*IF($L8="",'Assumptions'!$B$13,$L8)),"")</f>
        <v/>
      </c>
      <c r="AA8" s="45">
        <f>IFERROR(IF($A8="","",$X8+$Y8+$Z8),"")</f>
        <v/>
      </c>
      <c r="AB8" s="45">
        <f>IFERROR(IF($A8="","",$V8*'Assumptions'!$B$5),"")</f>
        <v/>
      </c>
      <c r="AC8" s="45">
        <f>IFERROR(IF($A8="","",$I8*'Assumptions'!$B$6),"")</f>
        <v/>
      </c>
      <c r="AD8" s="45">
        <f>IFERROR(IF($A8="","",$AB8+$AC8),"")</f>
        <v/>
      </c>
      <c r="AE8" s="45">
        <f>IFERROR(IF($A8="","",($M8+$N8)*'Assumptions'!$B$7),"")</f>
        <v/>
      </c>
      <c r="AF8" s="45">
        <f>IFERROR(IF($A8="","",($Q8/60)*'Assumptions'!$B$8),"")</f>
        <v/>
      </c>
      <c r="AG8" s="45">
        <f>IFERROR(IF($A8="","",$P8+$AE8+$AF8),"")</f>
        <v/>
      </c>
      <c r="AH8" s="45">
        <f>IFERROR(IF($A8="","",$M8+$O8),"")</f>
        <v/>
      </c>
      <c r="AI8" s="46">
        <f>IFERROR(IF($A8="","",IFERROR($AH8/$W8,0)),"")</f>
        <v/>
      </c>
      <c r="AJ8" s="45">
        <f>IFERROR(IF($A8="","",$W8-$AH8-$AD8+$AG8),"")</f>
        <v/>
      </c>
      <c r="AK8" s="47">
        <f>IFERROR(IF($A8="","",IF(OR($S8="Collected",$S8="Waived",$S8="Uncollectible",$S8="No Charge Due"),"",IF($T8="",$B8+'Assumptions'!$B$9,$T8+'Assumptions'!$B$9))),"")</f>
        <v/>
      </c>
      <c r="AL8" s="48">
        <f>IFERROR(IF($A8="","",IF(OR($S8="Collected",$S8="Waived",$S8="Uncollectible",$S8="No Charge Due"),"Closed",IF($AK8&lt;TODAY(),"Overdue",IF($AK8=TODAY(),"Due","Open")))),"")</f>
        <v/>
      </c>
      <c r="AM8" s="49">
        <f>IFERROR(IF($A8="","",IF(COUNTIF($A$5:$A$504,$A8)&gt;1,"Duplicate reservation ID",IF($C8&lt;=$B8,"Check stay dates",IF($G8&gt;$F8,"Resold nights exceed booked nights",IF($M8+$N8&gt;$AA8+0.01,"Collection exceeds expected amount",IF(AND($S8="Collected",$M8=0),"Collected status has no amount",IF($AJ8&gt;='Assumptions'!$B$10,"High-cost review","OK"))))))),"")</f>
        <v/>
      </c>
    </row>
    <row r="9">
      <c r="A9" s="38" t="inlineStr">
        <is>
          <t>NS-260105</t>
        </is>
      </c>
      <c r="B9" s="39" t="n">
        <v>46130</v>
      </c>
      <c r="C9" s="39" t="n">
        <v>46131</v>
      </c>
      <c r="D9" s="38" t="inlineStr">
        <is>
          <t>Corporate</t>
        </is>
      </c>
      <c r="E9" s="38" t="inlineStr">
        <is>
          <t>King</t>
        </is>
      </c>
      <c r="F9" s="40" t="n">
        <v>1</v>
      </c>
      <c r="G9" s="40" t="n">
        <v>1</v>
      </c>
      <c r="H9" s="41" t="n">
        <v>229</v>
      </c>
      <c r="I9" s="41" t="n">
        <v>45</v>
      </c>
      <c r="J9" s="42" t="n">
        <v>1</v>
      </c>
      <c r="K9" s="42" t="n">
        <v>0</v>
      </c>
      <c r="L9" s="42" t="n">
        <v>0</v>
      </c>
      <c r="M9" s="41" t="n">
        <v>0</v>
      </c>
      <c r="N9" s="41" t="n">
        <v>0</v>
      </c>
      <c r="O9" s="41" t="n">
        <v>245</v>
      </c>
      <c r="P9" s="41" t="n">
        <v>0</v>
      </c>
      <c r="Q9" s="40" t="n">
        <v>8</v>
      </c>
      <c r="R9" s="38" t="inlineStr">
        <is>
          <t>No Follow-Up</t>
        </is>
      </c>
      <c r="S9" s="38" t="inlineStr">
        <is>
          <t>No Charge Due</t>
        </is>
      </c>
      <c r="T9" s="39" t="n">
        <v>46130</v>
      </c>
      <c r="U9" s="43" t="inlineStr">
        <is>
          <t>Room fully resold; no charge pursued</t>
        </is>
      </c>
      <c r="V9" s="44">
        <f>IFERROR(IF($A9="","",MAX($F9-$G9,0)),"")</f>
        <v/>
      </c>
      <c r="W9" s="45">
        <f>IFERROR(IF($A9="","",$H9+$I9),"")</f>
        <v/>
      </c>
      <c r="X9" s="45">
        <f>IFERROR(IF($A9="","",$H9*IF($J9="",'Assumptions'!$B$4,$J9)),"")</f>
        <v/>
      </c>
      <c r="Y9" s="45">
        <f>IFERROR(IF($A9="","",$X9*IF($K9="",'Assumptions'!$B$12,$K9)),"")</f>
        <v/>
      </c>
      <c r="Z9" s="45">
        <f>IFERROR(IF($A9="","",($X9+$Y9)*IF($L9="",'Assumptions'!$B$13,$L9)),"")</f>
        <v/>
      </c>
      <c r="AA9" s="45">
        <f>IFERROR(IF($A9="","",$X9+$Y9+$Z9),"")</f>
        <v/>
      </c>
      <c r="AB9" s="45">
        <f>IFERROR(IF($A9="","",$V9*'Assumptions'!$B$5),"")</f>
        <v/>
      </c>
      <c r="AC9" s="45">
        <f>IFERROR(IF($A9="","",$I9*'Assumptions'!$B$6),"")</f>
        <v/>
      </c>
      <c r="AD9" s="45">
        <f>IFERROR(IF($A9="","",$AB9+$AC9),"")</f>
        <v/>
      </c>
      <c r="AE9" s="45">
        <f>IFERROR(IF($A9="","",($M9+$N9)*'Assumptions'!$B$7),"")</f>
        <v/>
      </c>
      <c r="AF9" s="45">
        <f>IFERROR(IF($A9="","",($Q9/60)*'Assumptions'!$B$8),"")</f>
        <v/>
      </c>
      <c r="AG9" s="45">
        <f>IFERROR(IF($A9="","",$P9+$AE9+$AF9),"")</f>
        <v/>
      </c>
      <c r="AH9" s="45">
        <f>IFERROR(IF($A9="","",$M9+$O9),"")</f>
        <v/>
      </c>
      <c r="AI9" s="46">
        <f>IFERROR(IF($A9="","",IFERROR($AH9/$W9,0)),"")</f>
        <v/>
      </c>
      <c r="AJ9" s="45">
        <f>IFERROR(IF($A9="","",$W9-$AH9-$AD9+$AG9),"")</f>
        <v/>
      </c>
      <c r="AK9" s="47">
        <f>IFERROR(IF($A9="","",IF(OR($S9="Collected",$S9="Waived",$S9="Uncollectible",$S9="No Charge Due"),"",IF($T9="",$B9+'Assumptions'!$B$9,$T9+'Assumptions'!$B$9))),"")</f>
        <v/>
      </c>
      <c r="AL9" s="48">
        <f>IFERROR(IF($A9="","",IF(OR($S9="Collected",$S9="Waived",$S9="Uncollectible",$S9="No Charge Due"),"Closed",IF($AK9&lt;TODAY(),"Overdue",IF($AK9=TODAY(),"Due","Open")))),"")</f>
        <v/>
      </c>
      <c r="AM9" s="49">
        <f>IFERROR(IF($A9="","",IF(COUNTIF($A$5:$A$504,$A9)&gt;1,"Duplicate reservation ID",IF($C9&lt;=$B9,"Check stay dates",IF($G9&gt;$F9,"Resold nights exceed booked nights",IF($M9+$N9&gt;$AA9+0.01,"Collection exceeds expected amount",IF(AND($S9="Collected",$M9=0),"Collected status has no amount",IF($AJ9&gt;='Assumptions'!$B$10,"High-cost review","OK"))))))),"")</f>
        <v/>
      </c>
    </row>
    <row r="10">
      <c r="A10" s="38" t="inlineStr">
        <is>
          <t>NS-260106</t>
        </is>
      </c>
      <c r="B10" s="39" t="n">
        <v>46164</v>
      </c>
      <c r="C10" s="39" t="n">
        <v>46167</v>
      </c>
      <c r="D10" s="38" t="inlineStr">
        <is>
          <t>Online Travel Agency</t>
        </is>
      </c>
      <c r="E10" s="38" t="inlineStr">
        <is>
          <t>Suite</t>
        </is>
      </c>
      <c r="F10" s="40" t="n">
        <v>3</v>
      </c>
      <c r="G10" s="40" t="n">
        <v>0</v>
      </c>
      <c r="H10" s="41" t="n">
        <v>1047</v>
      </c>
      <c r="I10" s="41" t="n">
        <v>210</v>
      </c>
      <c r="J10" s="42" t="n">
        <v>1</v>
      </c>
      <c r="K10" s="42" t="n">
        <v>0.08</v>
      </c>
      <c r="L10" s="42" t="n">
        <v>0.075</v>
      </c>
      <c r="M10" s="41" t="n">
        <v>350</v>
      </c>
      <c r="N10" s="41" t="n">
        <v>28.35</v>
      </c>
      <c r="O10" s="41" t="n">
        <v>0</v>
      </c>
      <c r="P10" s="41" t="n">
        <v>25</v>
      </c>
      <c r="Q10" s="40" t="n">
        <v>70</v>
      </c>
      <c r="R10" s="38" t="inlineStr">
        <is>
          <t>Accounting</t>
        </is>
      </c>
      <c r="S10" s="38" t="inlineStr">
        <is>
          <t>Disputed</t>
        </is>
      </c>
      <c r="T10" s="39" t="n">
        <v>46270</v>
      </c>
      <c r="U10" s="43" t="inlineStr">
        <is>
          <t>No-show charge disputed; documentation under review</t>
        </is>
      </c>
      <c r="V10" s="44">
        <f>IFERROR(IF($A10="","",MAX($F10-$G10,0)),"")</f>
        <v/>
      </c>
      <c r="W10" s="45">
        <f>IFERROR(IF($A10="","",$H10+$I10),"")</f>
        <v/>
      </c>
      <c r="X10" s="45">
        <f>IFERROR(IF($A10="","",$H10*IF($J10="",'Assumptions'!$B$4,$J10)),"")</f>
        <v/>
      </c>
      <c r="Y10" s="45">
        <f>IFERROR(IF($A10="","",$X10*IF($K10="",'Assumptions'!$B$12,$K10)),"")</f>
        <v/>
      </c>
      <c r="Z10" s="45">
        <f>IFERROR(IF($A10="","",($X10+$Y10)*IF($L10="",'Assumptions'!$B$13,$L10)),"")</f>
        <v/>
      </c>
      <c r="AA10" s="45">
        <f>IFERROR(IF($A10="","",$X10+$Y10+$Z10),"")</f>
        <v/>
      </c>
      <c r="AB10" s="45">
        <f>IFERROR(IF($A10="","",$V10*'Assumptions'!$B$5),"")</f>
        <v/>
      </c>
      <c r="AC10" s="45">
        <f>IFERROR(IF($A10="","",$I10*'Assumptions'!$B$6),"")</f>
        <v/>
      </c>
      <c r="AD10" s="45">
        <f>IFERROR(IF($A10="","",$AB10+$AC10),"")</f>
        <v/>
      </c>
      <c r="AE10" s="45">
        <f>IFERROR(IF($A10="","",($M10+$N10)*'Assumptions'!$B$7),"")</f>
        <v/>
      </c>
      <c r="AF10" s="45">
        <f>IFERROR(IF($A10="","",($Q10/60)*'Assumptions'!$B$8),"")</f>
        <v/>
      </c>
      <c r="AG10" s="45">
        <f>IFERROR(IF($A10="","",$P10+$AE10+$AF10),"")</f>
        <v/>
      </c>
      <c r="AH10" s="45">
        <f>IFERROR(IF($A10="","",$M10+$O10),"")</f>
        <v/>
      </c>
      <c r="AI10" s="46">
        <f>IFERROR(IF($A10="","",IFERROR($AH10/$W10,0)),"")</f>
        <v/>
      </c>
      <c r="AJ10" s="45">
        <f>IFERROR(IF($A10="","",$W10-$AH10-$AD10+$AG10),"")</f>
        <v/>
      </c>
      <c r="AK10" s="47">
        <f>IFERROR(IF($A10="","",IF(OR($S10="Collected",$S10="Waived",$S10="Uncollectible",$S10="No Charge Due"),"",IF($T10="",$B10+'Assumptions'!$B$9,$T10+'Assumptions'!$B$9))),"")</f>
        <v/>
      </c>
      <c r="AL10" s="48">
        <f>IFERROR(IF($A10="","",IF(OR($S10="Collected",$S10="Waived",$S10="Uncollectible",$S10="No Charge Due"),"Closed",IF($AK10&lt;TODAY(),"Overdue",IF($AK10=TODAY(),"Due","Open")))),"")</f>
        <v/>
      </c>
      <c r="AM10" s="49">
        <f>IFERROR(IF($A10="","",IF(COUNTIF($A$5:$A$504,$A10)&gt;1,"Duplicate reservation ID",IF($C10&lt;=$B10,"Check stay dates",IF($G10&gt;$F10,"Resold nights exceed booked nights",IF($M10+$N10&gt;$AA10+0.01,"Collection exceeds expected amount",IF(AND($S10="Collected",$M10=0),"Collected status has no amount",IF($AJ10&gt;='Assumptions'!$B$10,"High-cost review","OK"))))))),"")</f>
        <v/>
      </c>
    </row>
    <row r="11">
      <c r="A11" s="38" t="inlineStr">
        <is>
          <t>NS-260107</t>
        </is>
      </c>
      <c r="B11" s="39" t="n">
        <v>46185</v>
      </c>
      <c r="C11" s="39" t="n">
        <v>46187</v>
      </c>
      <c r="D11" s="38" t="inlineStr">
        <is>
          <t>Direct Website</t>
        </is>
      </c>
      <c r="E11" s="38" t="inlineStr">
        <is>
          <t>Accessible King</t>
        </is>
      </c>
      <c r="F11" s="40" t="n">
        <v>2</v>
      </c>
      <c r="G11" s="40" t="n">
        <v>0</v>
      </c>
      <c r="H11" s="41" t="n">
        <v>518</v>
      </c>
      <c r="I11" s="41" t="n">
        <v>80</v>
      </c>
      <c r="J11" s="42" t="n">
        <v>1</v>
      </c>
      <c r="K11" s="42" t="n">
        <v>0</v>
      </c>
      <c r="L11" s="42" t="n">
        <v>0</v>
      </c>
      <c r="M11" s="41" t="n">
        <v>518</v>
      </c>
      <c r="N11" s="41" t="n">
        <v>0</v>
      </c>
      <c r="O11" s="41" t="n">
        <v>0</v>
      </c>
      <c r="P11" s="41" t="n">
        <v>0</v>
      </c>
      <c r="Q11" s="40" t="n">
        <v>20</v>
      </c>
      <c r="R11" s="38" t="inlineStr">
        <is>
          <t>Front Office</t>
        </is>
      </c>
      <c r="S11" s="38" t="inlineStr">
        <is>
          <t>Collected</t>
        </is>
      </c>
      <c r="T11" s="39" t="n">
        <v>46186</v>
      </c>
      <c r="U11" s="43" t="inlineStr">
        <is>
          <t>Full policy charge collected</t>
        </is>
      </c>
      <c r="V11" s="44">
        <f>IFERROR(IF($A11="","",MAX($F11-$G11,0)),"")</f>
        <v/>
      </c>
      <c r="W11" s="45">
        <f>IFERROR(IF($A11="","",$H11+$I11),"")</f>
        <v/>
      </c>
      <c r="X11" s="45">
        <f>IFERROR(IF($A11="","",$H11*IF($J11="",'Assumptions'!$B$4,$J11)),"")</f>
        <v/>
      </c>
      <c r="Y11" s="45">
        <f>IFERROR(IF($A11="","",$X11*IF($K11="",'Assumptions'!$B$12,$K11)),"")</f>
        <v/>
      </c>
      <c r="Z11" s="45">
        <f>IFERROR(IF($A11="","",($X11+$Y11)*IF($L11="",'Assumptions'!$B$13,$L11)),"")</f>
        <v/>
      </c>
      <c r="AA11" s="45">
        <f>IFERROR(IF($A11="","",$X11+$Y11+$Z11),"")</f>
        <v/>
      </c>
      <c r="AB11" s="45">
        <f>IFERROR(IF($A11="","",$V11*'Assumptions'!$B$5),"")</f>
        <v/>
      </c>
      <c r="AC11" s="45">
        <f>IFERROR(IF($A11="","",$I11*'Assumptions'!$B$6),"")</f>
        <v/>
      </c>
      <c r="AD11" s="45">
        <f>IFERROR(IF($A11="","",$AB11+$AC11),"")</f>
        <v/>
      </c>
      <c r="AE11" s="45">
        <f>IFERROR(IF($A11="","",($M11+$N11)*'Assumptions'!$B$7),"")</f>
        <v/>
      </c>
      <c r="AF11" s="45">
        <f>IFERROR(IF($A11="","",($Q11/60)*'Assumptions'!$B$8),"")</f>
        <v/>
      </c>
      <c r="AG11" s="45">
        <f>IFERROR(IF($A11="","",$P11+$AE11+$AF11),"")</f>
        <v/>
      </c>
      <c r="AH11" s="45">
        <f>IFERROR(IF($A11="","",$M11+$O11),"")</f>
        <v/>
      </c>
      <c r="AI11" s="46">
        <f>IFERROR(IF($A11="","",IFERROR($AH11/$W11,0)),"")</f>
        <v/>
      </c>
      <c r="AJ11" s="45">
        <f>IFERROR(IF($A11="","",$W11-$AH11-$AD11+$AG11),"")</f>
        <v/>
      </c>
      <c r="AK11" s="47">
        <f>IFERROR(IF($A11="","",IF(OR($S11="Collected",$S11="Waived",$S11="Uncollectible",$S11="No Charge Due"),"",IF($T11="",$B11+'Assumptions'!$B$9,$T11+'Assumptions'!$B$9))),"")</f>
        <v/>
      </c>
      <c r="AL11" s="48">
        <f>IFERROR(IF($A11="","",IF(OR($S11="Collected",$S11="Waived",$S11="Uncollectible",$S11="No Charge Due"),"Closed",IF($AK11&lt;TODAY(),"Overdue",IF($AK11=TODAY(),"Due","Open")))),"")</f>
        <v/>
      </c>
      <c r="AM11" s="49">
        <f>IFERROR(IF($A11="","",IF(COUNTIF($A$5:$A$504,$A11)&gt;1,"Duplicate reservation ID",IF($C11&lt;=$B11,"Check stay dates",IF($G11&gt;$F11,"Resold nights exceed booked nights",IF($M11+$N11&gt;$AA11+0.01,"Collection exceeds expected amount",IF(AND($S11="Collected",$M11=0),"Collected status has no amount",IF($AJ11&gt;='Assumptions'!$B$10,"High-cost review","OK"))))))),"")</f>
        <v/>
      </c>
    </row>
    <row r="12">
      <c r="A12" s="38" t="inlineStr">
        <is>
          <t>NS-260108</t>
        </is>
      </c>
      <c r="B12" s="39" t="n">
        <v>46206</v>
      </c>
      <c r="C12" s="39" t="n">
        <v>46208</v>
      </c>
      <c r="D12" s="38" t="inlineStr">
        <is>
          <t>Travel Agent</t>
        </is>
      </c>
      <c r="E12" s="38" t="inlineStr">
        <is>
          <t>Two Queens</t>
        </is>
      </c>
      <c r="F12" s="40" t="n">
        <v>2</v>
      </c>
      <c r="G12" s="40" t="n">
        <v>1</v>
      </c>
      <c r="H12" s="41" t="n">
        <v>578</v>
      </c>
      <c r="I12" s="41" t="n">
        <v>125</v>
      </c>
      <c r="J12" s="42" t="n">
        <v>0.5</v>
      </c>
      <c r="K12" s="42" t="n">
        <v>0</v>
      </c>
      <c r="L12" s="42" t="n">
        <v>0</v>
      </c>
      <c r="M12" s="41" t="n">
        <v>0</v>
      </c>
      <c r="N12" s="41" t="n">
        <v>0</v>
      </c>
      <c r="O12" s="41" t="n">
        <v>325</v>
      </c>
      <c r="P12" s="41" t="n">
        <v>8</v>
      </c>
      <c r="Q12" s="40" t="n">
        <v>30</v>
      </c>
      <c r="R12" s="38" t="inlineStr">
        <is>
          <t>Reservations</t>
        </is>
      </c>
      <c r="S12" s="38" t="inlineStr">
        <is>
          <t>Pending</t>
        </is>
      </c>
      <c r="T12" s="39" t="n">
        <v>46268</v>
      </c>
      <c r="U12" s="43" t="inlineStr">
        <is>
          <t>Agency confirmation requested</t>
        </is>
      </c>
      <c r="V12" s="44">
        <f>IFERROR(IF($A12="","",MAX($F12-$G12,0)),"")</f>
        <v/>
      </c>
      <c r="W12" s="45">
        <f>IFERROR(IF($A12="","",$H12+$I12),"")</f>
        <v/>
      </c>
      <c r="X12" s="45">
        <f>IFERROR(IF($A12="","",$H12*IF($J12="",'Assumptions'!$B$4,$J12)),"")</f>
        <v/>
      </c>
      <c r="Y12" s="45">
        <f>IFERROR(IF($A12="","",$X12*IF($K12="",'Assumptions'!$B$12,$K12)),"")</f>
        <v/>
      </c>
      <c r="Z12" s="45">
        <f>IFERROR(IF($A12="","",($X12+$Y12)*IF($L12="",'Assumptions'!$B$13,$L12)),"")</f>
        <v/>
      </c>
      <c r="AA12" s="45">
        <f>IFERROR(IF($A12="","",$X12+$Y12+$Z12),"")</f>
        <v/>
      </c>
      <c r="AB12" s="45">
        <f>IFERROR(IF($A12="","",$V12*'Assumptions'!$B$5),"")</f>
        <v/>
      </c>
      <c r="AC12" s="45">
        <f>IFERROR(IF($A12="","",$I12*'Assumptions'!$B$6),"")</f>
        <v/>
      </c>
      <c r="AD12" s="45">
        <f>IFERROR(IF($A12="","",$AB12+$AC12),"")</f>
        <v/>
      </c>
      <c r="AE12" s="45">
        <f>IFERROR(IF($A12="","",($M12+$N12)*'Assumptions'!$B$7),"")</f>
        <v/>
      </c>
      <c r="AF12" s="45">
        <f>IFERROR(IF($A12="","",($Q12/60)*'Assumptions'!$B$8),"")</f>
        <v/>
      </c>
      <c r="AG12" s="45">
        <f>IFERROR(IF($A12="","",$P12+$AE12+$AF12),"")</f>
        <v/>
      </c>
      <c r="AH12" s="45">
        <f>IFERROR(IF($A12="","",$M12+$O12),"")</f>
        <v/>
      </c>
      <c r="AI12" s="46">
        <f>IFERROR(IF($A12="","",IFERROR($AH12/$W12,0)),"")</f>
        <v/>
      </c>
      <c r="AJ12" s="45">
        <f>IFERROR(IF($A12="","",$W12-$AH12-$AD12+$AG12),"")</f>
        <v/>
      </c>
      <c r="AK12" s="47">
        <f>IFERROR(IF($A12="","",IF(OR($S12="Collected",$S12="Waived",$S12="Uncollectible",$S12="No Charge Due"),"",IF($T12="",$B12+'Assumptions'!$B$9,$T12+'Assumptions'!$B$9))),"")</f>
        <v/>
      </c>
      <c r="AL12" s="48">
        <f>IFERROR(IF($A12="","",IF(OR($S12="Collected",$S12="Waived",$S12="Uncollectible",$S12="No Charge Due"),"Closed",IF($AK12&lt;TODAY(),"Overdue",IF($AK12=TODAY(),"Due","Open")))),"")</f>
        <v/>
      </c>
      <c r="AM12" s="49">
        <f>IFERROR(IF($A12="","",IF(COUNTIF($A$5:$A$504,$A12)&gt;1,"Duplicate reservation ID",IF($C12&lt;=$B12,"Check stay dates",IF($G12&gt;$F12,"Resold nights exceed booked nights",IF($M12+$N12&gt;$AA12+0.01,"Collection exceeds expected amount",IF(AND($S12="Collected",$M12=0),"Collected status has no amount",IF($AJ12&gt;='Assumptions'!$B$10,"High-cost review","OK"))))))),"")</f>
        <v/>
      </c>
    </row>
    <row r="13">
      <c r="A13" s="38" t="inlineStr">
        <is>
          <t>NS-260109</t>
        </is>
      </c>
      <c r="B13" s="39" t="n">
        <v>46255</v>
      </c>
      <c r="C13" s="39" t="n">
        <v>46256</v>
      </c>
      <c r="D13" s="38" t="inlineStr">
        <is>
          <t>Walk-In</t>
        </is>
      </c>
      <c r="E13" s="38" t="inlineStr">
        <is>
          <t>King</t>
        </is>
      </c>
      <c r="F13" s="40" t="n">
        <v>1</v>
      </c>
      <c r="G13" s="40" t="n">
        <v>0</v>
      </c>
      <c r="H13" s="41" t="n">
        <v>179</v>
      </c>
      <c r="I13" s="41" t="n">
        <v>25</v>
      </c>
      <c r="J13" s="42" t="n">
        <v>1</v>
      </c>
      <c r="K13" s="42" t="n">
        <v>0</v>
      </c>
      <c r="L13" s="42" t="n">
        <v>0</v>
      </c>
      <c r="M13" s="41" t="n">
        <v>0</v>
      </c>
      <c r="N13" s="41" t="n">
        <v>0</v>
      </c>
      <c r="O13" s="41" t="n">
        <v>0</v>
      </c>
      <c r="P13" s="41" t="n">
        <v>3.5</v>
      </c>
      <c r="Q13" s="40" t="n">
        <v>15</v>
      </c>
      <c r="R13" s="38" t="inlineStr">
        <is>
          <t>Accounting</t>
        </is>
      </c>
      <c r="S13" s="38" t="inlineStr">
        <is>
          <t>Uncollectible</t>
        </is>
      </c>
      <c r="T13" s="39" t="n">
        <v>46258</v>
      </c>
      <c r="U13" s="43" t="inlineStr">
        <is>
          <t>Invalid payment method; balance closed</t>
        </is>
      </c>
      <c r="V13" s="44">
        <f>IFERROR(IF($A13="","",MAX($F13-$G13,0)),"")</f>
        <v/>
      </c>
      <c r="W13" s="45">
        <f>IFERROR(IF($A13="","",$H13+$I13),"")</f>
        <v/>
      </c>
      <c r="X13" s="45">
        <f>IFERROR(IF($A13="","",$H13*IF($J13="",'Assumptions'!$B$4,$J13)),"")</f>
        <v/>
      </c>
      <c r="Y13" s="45">
        <f>IFERROR(IF($A13="","",$X13*IF($K13="",'Assumptions'!$B$12,$K13)),"")</f>
        <v/>
      </c>
      <c r="Z13" s="45">
        <f>IFERROR(IF($A13="","",($X13+$Y13)*IF($L13="",'Assumptions'!$B$13,$L13)),"")</f>
        <v/>
      </c>
      <c r="AA13" s="45">
        <f>IFERROR(IF($A13="","",$X13+$Y13+$Z13),"")</f>
        <v/>
      </c>
      <c r="AB13" s="45">
        <f>IFERROR(IF($A13="","",$V13*'Assumptions'!$B$5),"")</f>
        <v/>
      </c>
      <c r="AC13" s="45">
        <f>IFERROR(IF($A13="","",$I13*'Assumptions'!$B$6),"")</f>
        <v/>
      </c>
      <c r="AD13" s="45">
        <f>IFERROR(IF($A13="","",$AB13+$AC13),"")</f>
        <v/>
      </c>
      <c r="AE13" s="45">
        <f>IFERROR(IF($A13="","",($M13+$N13)*'Assumptions'!$B$7),"")</f>
        <v/>
      </c>
      <c r="AF13" s="45">
        <f>IFERROR(IF($A13="","",($Q13/60)*'Assumptions'!$B$8),"")</f>
        <v/>
      </c>
      <c r="AG13" s="45">
        <f>IFERROR(IF($A13="","",$P13+$AE13+$AF13),"")</f>
        <v/>
      </c>
      <c r="AH13" s="45">
        <f>IFERROR(IF($A13="","",$M13+$O13),"")</f>
        <v/>
      </c>
      <c r="AI13" s="46">
        <f>IFERROR(IF($A13="","",IFERROR($AH13/$W13,0)),"")</f>
        <v/>
      </c>
      <c r="AJ13" s="45">
        <f>IFERROR(IF($A13="","",$W13-$AH13-$AD13+$AG13),"")</f>
        <v/>
      </c>
      <c r="AK13" s="47">
        <f>IFERROR(IF($A13="","",IF(OR($S13="Collected",$S13="Waived",$S13="Uncollectible",$S13="No Charge Due"),"",IF($T13="",$B13+'Assumptions'!$B$9,$T13+'Assumptions'!$B$9))),"")</f>
        <v/>
      </c>
      <c r="AL13" s="48">
        <f>IFERROR(IF($A13="","",IF(OR($S13="Collected",$S13="Waived",$S13="Uncollectible",$S13="No Charge Due"),"Closed",IF($AK13&lt;TODAY(),"Overdue",IF($AK13=TODAY(),"Due","Open")))),"")</f>
        <v/>
      </c>
      <c r="AM13" s="49">
        <f>IFERROR(IF($A13="","",IF(COUNTIF($A$5:$A$504,$A13)&gt;1,"Duplicate reservation ID",IF($C13&lt;=$B13,"Check stay dates",IF($G13&gt;$F13,"Resold nights exceed booked nights",IF($M13+$N13&gt;$AA13+0.01,"Collection exceeds expected amount",IF(AND($S13="Collected",$M13=0),"Collected status has no amount",IF($AJ13&gt;='Assumptions'!$B$10,"High-cost review","OK"))))))),"")</f>
        <v/>
      </c>
    </row>
    <row r="14">
      <c r="A14" s="38" t="inlineStr">
        <is>
          <t>NS-260110</t>
        </is>
      </c>
      <c r="B14" s="39" t="n">
        <v>46276</v>
      </c>
      <c r="C14" s="39" t="n">
        <v>46278</v>
      </c>
      <c r="D14" s="38" t="inlineStr">
        <is>
          <t>Direct Website</t>
        </is>
      </c>
      <c r="E14" s="38" t="inlineStr">
        <is>
          <t>Suite</t>
        </is>
      </c>
      <c r="F14" s="40" t="n">
        <v>2</v>
      </c>
      <c r="G14" s="40" t="n">
        <v>1</v>
      </c>
      <c r="H14" s="41" t="n">
        <v>758</v>
      </c>
      <c r="I14" s="41" t="n">
        <v>160</v>
      </c>
      <c r="J14" s="42" t="n">
        <v>0.5</v>
      </c>
      <c r="K14" s="42" t="n">
        <v>0.1</v>
      </c>
      <c r="L14" s="42" t="n">
        <v>0</v>
      </c>
      <c r="M14" s="41" t="n">
        <v>300</v>
      </c>
      <c r="N14" s="41" t="n">
        <v>0</v>
      </c>
      <c r="O14" s="41" t="n">
        <v>420</v>
      </c>
      <c r="P14" s="41" t="n">
        <v>9</v>
      </c>
      <c r="Q14" s="40" t="n">
        <v>42</v>
      </c>
      <c r="R14" s="38" t="inlineStr">
        <is>
          <t>Revenue Management</t>
        </is>
      </c>
      <c r="S14" s="38" t="inlineStr">
        <is>
          <t>Partially Collected</t>
        </is>
      </c>
      <c r="T14" s="39" t="n">
        <v>46269</v>
      </c>
      <c r="U14" s="43" t="inlineStr">
        <is>
          <t>Deposit retained and one night resold</t>
        </is>
      </c>
      <c r="V14" s="44">
        <f>IFERROR(IF($A14="","",MAX($F14-$G14,0)),"")</f>
        <v/>
      </c>
      <c r="W14" s="45">
        <f>IFERROR(IF($A14="","",$H14+$I14),"")</f>
        <v/>
      </c>
      <c r="X14" s="45">
        <f>IFERROR(IF($A14="","",$H14*IF($J14="",'Assumptions'!$B$4,$J14)),"")</f>
        <v/>
      </c>
      <c r="Y14" s="45">
        <f>IFERROR(IF($A14="","",$X14*IF($K14="",'Assumptions'!$B$12,$K14)),"")</f>
        <v/>
      </c>
      <c r="Z14" s="45">
        <f>IFERROR(IF($A14="","",($X14+$Y14)*IF($L14="",'Assumptions'!$B$13,$L14)),"")</f>
        <v/>
      </c>
      <c r="AA14" s="45">
        <f>IFERROR(IF($A14="","",$X14+$Y14+$Z14),"")</f>
        <v/>
      </c>
      <c r="AB14" s="45">
        <f>IFERROR(IF($A14="","",$V14*'Assumptions'!$B$5),"")</f>
        <v/>
      </c>
      <c r="AC14" s="45">
        <f>IFERROR(IF($A14="","",$I14*'Assumptions'!$B$6),"")</f>
        <v/>
      </c>
      <c r="AD14" s="45">
        <f>IFERROR(IF($A14="","",$AB14+$AC14),"")</f>
        <v/>
      </c>
      <c r="AE14" s="45">
        <f>IFERROR(IF($A14="","",($M14+$N14)*'Assumptions'!$B$7),"")</f>
        <v/>
      </c>
      <c r="AF14" s="45">
        <f>IFERROR(IF($A14="","",($Q14/60)*'Assumptions'!$B$8),"")</f>
        <v/>
      </c>
      <c r="AG14" s="45">
        <f>IFERROR(IF($A14="","",$P14+$AE14+$AF14),"")</f>
        <v/>
      </c>
      <c r="AH14" s="45">
        <f>IFERROR(IF($A14="","",$M14+$O14),"")</f>
        <v/>
      </c>
      <c r="AI14" s="46">
        <f>IFERROR(IF($A14="","",IFERROR($AH14/$W14,0)),"")</f>
        <v/>
      </c>
      <c r="AJ14" s="45">
        <f>IFERROR(IF($A14="","",$W14-$AH14-$AD14+$AG14),"")</f>
        <v/>
      </c>
      <c r="AK14" s="47">
        <f>IFERROR(IF($A14="","",IF(OR($S14="Collected",$S14="Waived",$S14="Uncollectible",$S14="No Charge Due"),"",IF($T14="",$B14+'Assumptions'!$B$9,$T14+'Assumptions'!$B$9))),"")</f>
        <v/>
      </c>
      <c r="AL14" s="48">
        <f>IFERROR(IF($A14="","",IF(OR($S14="Collected",$S14="Waived",$S14="Uncollectible",$S14="No Charge Due"),"Closed",IF($AK14&lt;TODAY(),"Overdue",IF($AK14=TODAY(),"Due","Open")))),"")</f>
        <v/>
      </c>
      <c r="AM14" s="49">
        <f>IFERROR(IF($A14="","",IF(COUNTIF($A$5:$A$504,$A14)&gt;1,"Duplicate reservation ID",IF($C14&lt;=$B14,"Check stay dates",IF($G14&gt;$F14,"Resold nights exceed booked nights",IF($M14+$N14&gt;$AA14+0.01,"Collection exceeds expected amount",IF(AND($S14="Collected",$M14=0),"Collected status has no amount",IF($AJ14&gt;='Assumptions'!$B$10,"High-cost review","OK"))))))),"")</f>
        <v/>
      </c>
    </row>
    <row r="15">
      <c r="A15" s="38" t="n"/>
      <c r="B15" s="39" t="n"/>
      <c r="C15" s="39" t="n"/>
      <c r="D15" s="38" t="n"/>
      <c r="E15" s="38" t="n"/>
      <c r="F15" s="40" t="n"/>
      <c r="G15" s="40" t="n"/>
      <c r="H15" s="41" t="n"/>
      <c r="I15" s="41" t="n"/>
      <c r="J15" s="42" t="n"/>
      <c r="K15" s="42" t="n"/>
      <c r="L15" s="42" t="n"/>
      <c r="M15" s="41" t="n"/>
      <c r="N15" s="41" t="n"/>
      <c r="O15" s="41" t="n"/>
      <c r="P15" s="41" t="n"/>
      <c r="Q15" s="40" t="n"/>
      <c r="R15" s="38" t="n"/>
      <c r="S15" s="38" t="n"/>
      <c r="T15" s="39" t="n"/>
      <c r="U15" s="43" t="n"/>
      <c r="V15" s="44">
        <f>IFERROR(IF($A15="","",MAX($F15-$G15,0)),"")</f>
        <v/>
      </c>
      <c r="W15" s="45">
        <f>IFERROR(IF($A15="","",$H15+$I15),"")</f>
        <v/>
      </c>
      <c r="X15" s="45">
        <f>IFERROR(IF($A15="","",$H15*IF($J15="",'Assumptions'!$B$4,$J15)),"")</f>
        <v/>
      </c>
      <c r="Y15" s="45">
        <f>IFERROR(IF($A15="","",$X15*IF($K15="",'Assumptions'!$B$12,$K15)),"")</f>
        <v/>
      </c>
      <c r="Z15" s="45">
        <f>IFERROR(IF($A15="","",($X15+$Y15)*IF($L15="",'Assumptions'!$B$13,$L15)),"")</f>
        <v/>
      </c>
      <c r="AA15" s="45">
        <f>IFERROR(IF($A15="","",$X15+$Y15+$Z15),"")</f>
        <v/>
      </c>
      <c r="AB15" s="45">
        <f>IFERROR(IF($A15="","",$V15*'Assumptions'!$B$5),"")</f>
        <v/>
      </c>
      <c r="AC15" s="45">
        <f>IFERROR(IF($A15="","",$I15*'Assumptions'!$B$6),"")</f>
        <v/>
      </c>
      <c r="AD15" s="45">
        <f>IFERROR(IF($A15="","",$AB15+$AC15),"")</f>
        <v/>
      </c>
      <c r="AE15" s="45">
        <f>IFERROR(IF($A15="","",($M15+$N15)*'Assumptions'!$B$7),"")</f>
        <v/>
      </c>
      <c r="AF15" s="45">
        <f>IFERROR(IF($A15="","",($Q15/60)*'Assumptions'!$B$8),"")</f>
        <v/>
      </c>
      <c r="AG15" s="45">
        <f>IFERROR(IF($A15="","",$P15+$AE15+$AF15),"")</f>
        <v/>
      </c>
      <c r="AH15" s="45">
        <f>IFERROR(IF($A15="","",$M15+$O15),"")</f>
        <v/>
      </c>
      <c r="AI15" s="46">
        <f>IFERROR(IF($A15="","",IFERROR($AH15/$W15,0)),"")</f>
        <v/>
      </c>
      <c r="AJ15" s="45">
        <f>IFERROR(IF($A15="","",$W15-$AH15-$AD15+$AG15),"")</f>
        <v/>
      </c>
      <c r="AK15" s="47">
        <f>IFERROR(IF($A15="","",IF(OR($S15="Collected",$S15="Waived",$S15="Uncollectible",$S15="No Charge Due"),"",IF($T15="",$B15+'Assumptions'!$B$9,$T15+'Assumptions'!$B$9))),"")</f>
        <v/>
      </c>
      <c r="AL15" s="48">
        <f>IFERROR(IF($A15="","",IF(OR($S15="Collected",$S15="Waived",$S15="Uncollectible",$S15="No Charge Due"),"Closed",IF($AK15&lt;TODAY(),"Overdue",IF($AK15=TODAY(),"Due","Open")))),"")</f>
        <v/>
      </c>
      <c r="AM15" s="49">
        <f>IFERROR(IF($A15="","",IF(COUNTIF($A$5:$A$504,$A15)&gt;1,"Duplicate reservation ID",IF($C15&lt;=$B15,"Check stay dates",IF($G15&gt;$F15,"Resold nights exceed booked nights",IF($M15+$N15&gt;$AA15+0.01,"Collection exceeds expected amount",IF(AND($S15="Collected",$M15=0),"Collected status has no amount",IF($AJ15&gt;='Assumptions'!$B$10,"High-cost review","OK"))))))),"")</f>
        <v/>
      </c>
    </row>
    <row r="16">
      <c r="A16" s="38" t="n"/>
      <c r="B16" s="39" t="n"/>
      <c r="C16" s="39" t="n"/>
      <c r="D16" s="38" t="n"/>
      <c r="E16" s="38" t="n"/>
      <c r="F16" s="40" t="n"/>
      <c r="G16" s="40" t="n"/>
      <c r="H16" s="41" t="n"/>
      <c r="I16" s="41" t="n"/>
      <c r="J16" s="42" t="n"/>
      <c r="K16" s="42" t="n"/>
      <c r="L16" s="42" t="n"/>
      <c r="M16" s="41" t="n"/>
      <c r="N16" s="41" t="n"/>
      <c r="O16" s="41" t="n"/>
      <c r="P16" s="41" t="n"/>
      <c r="Q16" s="40" t="n"/>
      <c r="R16" s="38" t="n"/>
      <c r="S16" s="38" t="n"/>
      <c r="T16" s="39" t="n"/>
      <c r="U16" s="43" t="n"/>
      <c r="V16" s="44">
        <f>IFERROR(IF($A16="","",MAX($F16-$G16,0)),"")</f>
        <v/>
      </c>
      <c r="W16" s="45">
        <f>IFERROR(IF($A16="","",$H16+$I16),"")</f>
        <v/>
      </c>
      <c r="X16" s="45">
        <f>IFERROR(IF($A16="","",$H16*IF($J16="",'Assumptions'!$B$4,$J16)),"")</f>
        <v/>
      </c>
      <c r="Y16" s="45">
        <f>IFERROR(IF($A16="","",$X16*IF($K16="",'Assumptions'!$B$12,$K16)),"")</f>
        <v/>
      </c>
      <c r="Z16" s="45">
        <f>IFERROR(IF($A16="","",($X16+$Y16)*IF($L16="",'Assumptions'!$B$13,$L16)),"")</f>
        <v/>
      </c>
      <c r="AA16" s="45">
        <f>IFERROR(IF($A16="","",$X16+$Y16+$Z16),"")</f>
        <v/>
      </c>
      <c r="AB16" s="45">
        <f>IFERROR(IF($A16="","",$V16*'Assumptions'!$B$5),"")</f>
        <v/>
      </c>
      <c r="AC16" s="45">
        <f>IFERROR(IF($A16="","",$I16*'Assumptions'!$B$6),"")</f>
        <v/>
      </c>
      <c r="AD16" s="45">
        <f>IFERROR(IF($A16="","",$AB16+$AC16),"")</f>
        <v/>
      </c>
      <c r="AE16" s="45">
        <f>IFERROR(IF($A16="","",($M16+$N16)*'Assumptions'!$B$7),"")</f>
        <v/>
      </c>
      <c r="AF16" s="45">
        <f>IFERROR(IF($A16="","",($Q16/60)*'Assumptions'!$B$8),"")</f>
        <v/>
      </c>
      <c r="AG16" s="45">
        <f>IFERROR(IF($A16="","",$P16+$AE16+$AF16),"")</f>
        <v/>
      </c>
      <c r="AH16" s="45">
        <f>IFERROR(IF($A16="","",$M16+$O16),"")</f>
        <v/>
      </c>
      <c r="AI16" s="46">
        <f>IFERROR(IF($A16="","",IFERROR($AH16/$W16,0)),"")</f>
        <v/>
      </c>
      <c r="AJ16" s="45">
        <f>IFERROR(IF($A16="","",$W16-$AH16-$AD16+$AG16),"")</f>
        <v/>
      </c>
      <c r="AK16" s="47">
        <f>IFERROR(IF($A16="","",IF(OR($S16="Collected",$S16="Waived",$S16="Uncollectible",$S16="No Charge Due"),"",IF($T16="",$B16+'Assumptions'!$B$9,$T16+'Assumptions'!$B$9))),"")</f>
        <v/>
      </c>
      <c r="AL16" s="48">
        <f>IFERROR(IF($A16="","",IF(OR($S16="Collected",$S16="Waived",$S16="Uncollectible",$S16="No Charge Due"),"Closed",IF($AK16&lt;TODAY(),"Overdue",IF($AK16=TODAY(),"Due","Open")))),"")</f>
        <v/>
      </c>
      <c r="AM16" s="49">
        <f>IFERROR(IF($A16="","",IF(COUNTIF($A$5:$A$504,$A16)&gt;1,"Duplicate reservation ID",IF($C16&lt;=$B16,"Check stay dates",IF($G16&gt;$F16,"Resold nights exceed booked nights",IF($M16+$N16&gt;$AA16+0.01,"Collection exceeds expected amount",IF(AND($S16="Collected",$M16=0),"Collected status has no amount",IF($AJ16&gt;='Assumptions'!$B$10,"High-cost review","OK"))))))),"")</f>
        <v/>
      </c>
    </row>
    <row r="17">
      <c r="A17" s="38" t="n"/>
      <c r="B17" s="39" t="n"/>
      <c r="C17" s="39" t="n"/>
      <c r="D17" s="38" t="n"/>
      <c r="E17" s="38" t="n"/>
      <c r="F17" s="40" t="n"/>
      <c r="G17" s="40" t="n"/>
      <c r="H17" s="41" t="n"/>
      <c r="I17" s="41" t="n"/>
      <c r="J17" s="42" t="n"/>
      <c r="K17" s="42" t="n"/>
      <c r="L17" s="42" t="n"/>
      <c r="M17" s="41" t="n"/>
      <c r="N17" s="41" t="n"/>
      <c r="O17" s="41" t="n"/>
      <c r="P17" s="41" t="n"/>
      <c r="Q17" s="40" t="n"/>
      <c r="R17" s="38" t="n"/>
      <c r="S17" s="38" t="n"/>
      <c r="T17" s="39" t="n"/>
      <c r="U17" s="43" t="n"/>
      <c r="V17" s="44">
        <f>IFERROR(IF($A17="","",MAX($F17-$G17,0)),"")</f>
        <v/>
      </c>
      <c r="W17" s="45">
        <f>IFERROR(IF($A17="","",$H17+$I17),"")</f>
        <v/>
      </c>
      <c r="X17" s="45">
        <f>IFERROR(IF($A17="","",$H17*IF($J17="",'Assumptions'!$B$4,$J17)),"")</f>
        <v/>
      </c>
      <c r="Y17" s="45">
        <f>IFERROR(IF($A17="","",$X17*IF($K17="",'Assumptions'!$B$12,$K17)),"")</f>
        <v/>
      </c>
      <c r="Z17" s="45">
        <f>IFERROR(IF($A17="","",($X17+$Y17)*IF($L17="",'Assumptions'!$B$13,$L17)),"")</f>
        <v/>
      </c>
      <c r="AA17" s="45">
        <f>IFERROR(IF($A17="","",$X17+$Y17+$Z17),"")</f>
        <v/>
      </c>
      <c r="AB17" s="45">
        <f>IFERROR(IF($A17="","",$V17*'Assumptions'!$B$5),"")</f>
        <v/>
      </c>
      <c r="AC17" s="45">
        <f>IFERROR(IF($A17="","",$I17*'Assumptions'!$B$6),"")</f>
        <v/>
      </c>
      <c r="AD17" s="45">
        <f>IFERROR(IF($A17="","",$AB17+$AC17),"")</f>
        <v/>
      </c>
      <c r="AE17" s="45">
        <f>IFERROR(IF($A17="","",($M17+$N17)*'Assumptions'!$B$7),"")</f>
        <v/>
      </c>
      <c r="AF17" s="45">
        <f>IFERROR(IF($A17="","",($Q17/60)*'Assumptions'!$B$8),"")</f>
        <v/>
      </c>
      <c r="AG17" s="45">
        <f>IFERROR(IF($A17="","",$P17+$AE17+$AF17),"")</f>
        <v/>
      </c>
      <c r="AH17" s="45">
        <f>IFERROR(IF($A17="","",$M17+$O17),"")</f>
        <v/>
      </c>
      <c r="AI17" s="46">
        <f>IFERROR(IF($A17="","",IFERROR($AH17/$W17,0)),"")</f>
        <v/>
      </c>
      <c r="AJ17" s="45">
        <f>IFERROR(IF($A17="","",$W17-$AH17-$AD17+$AG17),"")</f>
        <v/>
      </c>
      <c r="AK17" s="47">
        <f>IFERROR(IF($A17="","",IF(OR($S17="Collected",$S17="Waived",$S17="Uncollectible",$S17="No Charge Due"),"",IF($T17="",$B17+'Assumptions'!$B$9,$T17+'Assumptions'!$B$9))),"")</f>
        <v/>
      </c>
      <c r="AL17" s="48">
        <f>IFERROR(IF($A17="","",IF(OR($S17="Collected",$S17="Waived",$S17="Uncollectible",$S17="No Charge Due"),"Closed",IF($AK17&lt;TODAY(),"Overdue",IF($AK17=TODAY(),"Due","Open")))),"")</f>
        <v/>
      </c>
      <c r="AM17" s="49">
        <f>IFERROR(IF($A17="","",IF(COUNTIF($A$5:$A$504,$A17)&gt;1,"Duplicate reservation ID",IF($C17&lt;=$B17,"Check stay dates",IF($G17&gt;$F17,"Resold nights exceed booked nights",IF($M17+$N17&gt;$AA17+0.01,"Collection exceeds expected amount",IF(AND($S17="Collected",$M17=0),"Collected status has no amount",IF($AJ17&gt;='Assumptions'!$B$10,"High-cost review","OK"))))))),"")</f>
        <v/>
      </c>
    </row>
    <row r="18">
      <c r="A18" s="38" t="n"/>
      <c r="B18" s="39" t="n"/>
      <c r="C18" s="39" t="n"/>
      <c r="D18" s="38" t="n"/>
      <c r="E18" s="38" t="n"/>
      <c r="F18" s="40" t="n"/>
      <c r="G18" s="40" t="n"/>
      <c r="H18" s="41" t="n"/>
      <c r="I18" s="41" t="n"/>
      <c r="J18" s="42" t="n"/>
      <c r="K18" s="42" t="n"/>
      <c r="L18" s="42" t="n"/>
      <c r="M18" s="41" t="n"/>
      <c r="N18" s="41" t="n"/>
      <c r="O18" s="41" t="n"/>
      <c r="P18" s="41" t="n"/>
      <c r="Q18" s="40" t="n"/>
      <c r="R18" s="38" t="n"/>
      <c r="S18" s="38" t="n"/>
      <c r="T18" s="39" t="n"/>
      <c r="U18" s="43" t="n"/>
      <c r="V18" s="44">
        <f>IFERROR(IF($A18="","",MAX($F18-$G18,0)),"")</f>
        <v/>
      </c>
      <c r="W18" s="45">
        <f>IFERROR(IF($A18="","",$H18+$I18),"")</f>
        <v/>
      </c>
      <c r="X18" s="45">
        <f>IFERROR(IF($A18="","",$H18*IF($J18="",'Assumptions'!$B$4,$J18)),"")</f>
        <v/>
      </c>
      <c r="Y18" s="45">
        <f>IFERROR(IF($A18="","",$X18*IF($K18="",'Assumptions'!$B$12,$K18)),"")</f>
        <v/>
      </c>
      <c r="Z18" s="45">
        <f>IFERROR(IF($A18="","",($X18+$Y18)*IF($L18="",'Assumptions'!$B$13,$L18)),"")</f>
        <v/>
      </c>
      <c r="AA18" s="45">
        <f>IFERROR(IF($A18="","",$X18+$Y18+$Z18),"")</f>
        <v/>
      </c>
      <c r="AB18" s="45">
        <f>IFERROR(IF($A18="","",$V18*'Assumptions'!$B$5),"")</f>
        <v/>
      </c>
      <c r="AC18" s="45">
        <f>IFERROR(IF($A18="","",$I18*'Assumptions'!$B$6),"")</f>
        <v/>
      </c>
      <c r="AD18" s="45">
        <f>IFERROR(IF($A18="","",$AB18+$AC18),"")</f>
        <v/>
      </c>
      <c r="AE18" s="45">
        <f>IFERROR(IF($A18="","",($M18+$N18)*'Assumptions'!$B$7),"")</f>
        <v/>
      </c>
      <c r="AF18" s="45">
        <f>IFERROR(IF($A18="","",($Q18/60)*'Assumptions'!$B$8),"")</f>
        <v/>
      </c>
      <c r="AG18" s="45">
        <f>IFERROR(IF($A18="","",$P18+$AE18+$AF18),"")</f>
        <v/>
      </c>
      <c r="AH18" s="45">
        <f>IFERROR(IF($A18="","",$M18+$O18),"")</f>
        <v/>
      </c>
      <c r="AI18" s="46">
        <f>IFERROR(IF($A18="","",IFERROR($AH18/$W18,0)),"")</f>
        <v/>
      </c>
      <c r="AJ18" s="45">
        <f>IFERROR(IF($A18="","",$W18-$AH18-$AD18+$AG18),"")</f>
        <v/>
      </c>
      <c r="AK18" s="47">
        <f>IFERROR(IF($A18="","",IF(OR($S18="Collected",$S18="Waived",$S18="Uncollectible",$S18="No Charge Due"),"",IF($T18="",$B18+'Assumptions'!$B$9,$T18+'Assumptions'!$B$9))),"")</f>
        <v/>
      </c>
      <c r="AL18" s="48">
        <f>IFERROR(IF($A18="","",IF(OR($S18="Collected",$S18="Waived",$S18="Uncollectible",$S18="No Charge Due"),"Closed",IF($AK18&lt;TODAY(),"Overdue",IF($AK18=TODAY(),"Due","Open")))),"")</f>
        <v/>
      </c>
      <c r="AM18" s="49">
        <f>IFERROR(IF($A18="","",IF(COUNTIF($A$5:$A$504,$A18)&gt;1,"Duplicate reservation ID",IF($C18&lt;=$B18,"Check stay dates",IF($G18&gt;$F18,"Resold nights exceed booked nights",IF($M18+$N18&gt;$AA18+0.01,"Collection exceeds expected amount",IF(AND($S18="Collected",$M18=0),"Collected status has no amount",IF($AJ18&gt;='Assumptions'!$B$10,"High-cost review","OK"))))))),"")</f>
        <v/>
      </c>
    </row>
    <row r="19">
      <c r="A19" s="38" t="n"/>
      <c r="B19" s="39" t="n"/>
      <c r="C19" s="39" t="n"/>
      <c r="D19" s="38" t="n"/>
      <c r="E19" s="38" t="n"/>
      <c r="F19" s="40" t="n"/>
      <c r="G19" s="40" t="n"/>
      <c r="H19" s="41" t="n"/>
      <c r="I19" s="41" t="n"/>
      <c r="J19" s="42" t="n"/>
      <c r="K19" s="42" t="n"/>
      <c r="L19" s="42" t="n"/>
      <c r="M19" s="41" t="n"/>
      <c r="N19" s="41" t="n"/>
      <c r="O19" s="41" t="n"/>
      <c r="P19" s="41" t="n"/>
      <c r="Q19" s="40" t="n"/>
      <c r="R19" s="38" t="n"/>
      <c r="S19" s="38" t="n"/>
      <c r="T19" s="39" t="n"/>
      <c r="U19" s="43" t="n"/>
      <c r="V19" s="44">
        <f>IFERROR(IF($A19="","",MAX($F19-$G19,0)),"")</f>
        <v/>
      </c>
      <c r="W19" s="45">
        <f>IFERROR(IF($A19="","",$H19+$I19),"")</f>
        <v/>
      </c>
      <c r="X19" s="45">
        <f>IFERROR(IF($A19="","",$H19*IF($J19="",'Assumptions'!$B$4,$J19)),"")</f>
        <v/>
      </c>
      <c r="Y19" s="45">
        <f>IFERROR(IF($A19="","",$X19*IF($K19="",'Assumptions'!$B$12,$K19)),"")</f>
        <v/>
      </c>
      <c r="Z19" s="45">
        <f>IFERROR(IF($A19="","",($X19+$Y19)*IF($L19="",'Assumptions'!$B$13,$L19)),"")</f>
        <v/>
      </c>
      <c r="AA19" s="45">
        <f>IFERROR(IF($A19="","",$X19+$Y19+$Z19),"")</f>
        <v/>
      </c>
      <c r="AB19" s="45">
        <f>IFERROR(IF($A19="","",$V19*'Assumptions'!$B$5),"")</f>
        <v/>
      </c>
      <c r="AC19" s="45">
        <f>IFERROR(IF($A19="","",$I19*'Assumptions'!$B$6),"")</f>
        <v/>
      </c>
      <c r="AD19" s="45">
        <f>IFERROR(IF($A19="","",$AB19+$AC19),"")</f>
        <v/>
      </c>
      <c r="AE19" s="45">
        <f>IFERROR(IF($A19="","",($M19+$N19)*'Assumptions'!$B$7),"")</f>
        <v/>
      </c>
      <c r="AF19" s="45">
        <f>IFERROR(IF($A19="","",($Q19/60)*'Assumptions'!$B$8),"")</f>
        <v/>
      </c>
      <c r="AG19" s="45">
        <f>IFERROR(IF($A19="","",$P19+$AE19+$AF19),"")</f>
        <v/>
      </c>
      <c r="AH19" s="45">
        <f>IFERROR(IF($A19="","",$M19+$O19),"")</f>
        <v/>
      </c>
      <c r="AI19" s="46">
        <f>IFERROR(IF($A19="","",IFERROR($AH19/$W19,0)),"")</f>
        <v/>
      </c>
      <c r="AJ19" s="45">
        <f>IFERROR(IF($A19="","",$W19-$AH19-$AD19+$AG19),"")</f>
        <v/>
      </c>
      <c r="AK19" s="47">
        <f>IFERROR(IF($A19="","",IF(OR($S19="Collected",$S19="Waived",$S19="Uncollectible",$S19="No Charge Due"),"",IF($T19="",$B19+'Assumptions'!$B$9,$T19+'Assumptions'!$B$9))),"")</f>
        <v/>
      </c>
      <c r="AL19" s="48">
        <f>IFERROR(IF($A19="","",IF(OR($S19="Collected",$S19="Waived",$S19="Uncollectible",$S19="No Charge Due"),"Closed",IF($AK19&lt;TODAY(),"Overdue",IF($AK19=TODAY(),"Due","Open")))),"")</f>
        <v/>
      </c>
      <c r="AM19" s="49">
        <f>IFERROR(IF($A19="","",IF(COUNTIF($A$5:$A$504,$A19)&gt;1,"Duplicate reservation ID",IF($C19&lt;=$B19,"Check stay dates",IF($G19&gt;$F19,"Resold nights exceed booked nights",IF($M19+$N19&gt;$AA19+0.01,"Collection exceeds expected amount",IF(AND($S19="Collected",$M19=0),"Collected status has no amount",IF($AJ19&gt;='Assumptions'!$B$10,"High-cost review","OK"))))))),"")</f>
        <v/>
      </c>
    </row>
    <row r="20">
      <c r="A20" s="38" t="n"/>
      <c r="B20" s="39" t="n"/>
      <c r="C20" s="39" t="n"/>
      <c r="D20" s="38" t="n"/>
      <c r="E20" s="38" t="n"/>
      <c r="F20" s="40" t="n"/>
      <c r="G20" s="40" t="n"/>
      <c r="H20" s="41" t="n"/>
      <c r="I20" s="41" t="n"/>
      <c r="J20" s="42" t="n"/>
      <c r="K20" s="42" t="n"/>
      <c r="L20" s="42" t="n"/>
      <c r="M20" s="41" t="n"/>
      <c r="N20" s="41" t="n"/>
      <c r="O20" s="41" t="n"/>
      <c r="P20" s="41" t="n"/>
      <c r="Q20" s="40" t="n"/>
      <c r="R20" s="38" t="n"/>
      <c r="S20" s="38" t="n"/>
      <c r="T20" s="39" t="n"/>
      <c r="U20" s="43" t="n"/>
      <c r="V20" s="44">
        <f>IFERROR(IF($A20="","",MAX($F20-$G20,0)),"")</f>
        <v/>
      </c>
      <c r="W20" s="45">
        <f>IFERROR(IF($A20="","",$H20+$I20),"")</f>
        <v/>
      </c>
      <c r="X20" s="45">
        <f>IFERROR(IF($A20="","",$H20*IF($J20="",'Assumptions'!$B$4,$J20)),"")</f>
        <v/>
      </c>
      <c r="Y20" s="45">
        <f>IFERROR(IF($A20="","",$X20*IF($K20="",'Assumptions'!$B$12,$K20)),"")</f>
        <v/>
      </c>
      <c r="Z20" s="45">
        <f>IFERROR(IF($A20="","",($X20+$Y20)*IF($L20="",'Assumptions'!$B$13,$L20)),"")</f>
        <v/>
      </c>
      <c r="AA20" s="45">
        <f>IFERROR(IF($A20="","",$X20+$Y20+$Z20),"")</f>
        <v/>
      </c>
      <c r="AB20" s="45">
        <f>IFERROR(IF($A20="","",$V20*'Assumptions'!$B$5),"")</f>
        <v/>
      </c>
      <c r="AC20" s="45">
        <f>IFERROR(IF($A20="","",$I20*'Assumptions'!$B$6),"")</f>
        <v/>
      </c>
      <c r="AD20" s="45">
        <f>IFERROR(IF($A20="","",$AB20+$AC20),"")</f>
        <v/>
      </c>
      <c r="AE20" s="45">
        <f>IFERROR(IF($A20="","",($M20+$N20)*'Assumptions'!$B$7),"")</f>
        <v/>
      </c>
      <c r="AF20" s="45">
        <f>IFERROR(IF($A20="","",($Q20/60)*'Assumptions'!$B$8),"")</f>
        <v/>
      </c>
      <c r="AG20" s="45">
        <f>IFERROR(IF($A20="","",$P20+$AE20+$AF20),"")</f>
        <v/>
      </c>
      <c r="AH20" s="45">
        <f>IFERROR(IF($A20="","",$M20+$O20),"")</f>
        <v/>
      </c>
      <c r="AI20" s="46">
        <f>IFERROR(IF($A20="","",IFERROR($AH20/$W20,0)),"")</f>
        <v/>
      </c>
      <c r="AJ20" s="45">
        <f>IFERROR(IF($A20="","",$W20-$AH20-$AD20+$AG20),"")</f>
        <v/>
      </c>
      <c r="AK20" s="47">
        <f>IFERROR(IF($A20="","",IF(OR($S20="Collected",$S20="Waived",$S20="Uncollectible",$S20="No Charge Due"),"",IF($T20="",$B20+'Assumptions'!$B$9,$T20+'Assumptions'!$B$9))),"")</f>
        <v/>
      </c>
      <c r="AL20" s="48">
        <f>IFERROR(IF($A20="","",IF(OR($S20="Collected",$S20="Waived",$S20="Uncollectible",$S20="No Charge Due"),"Closed",IF($AK20&lt;TODAY(),"Overdue",IF($AK20=TODAY(),"Due","Open")))),"")</f>
        <v/>
      </c>
      <c r="AM20" s="49">
        <f>IFERROR(IF($A20="","",IF(COUNTIF($A$5:$A$504,$A20)&gt;1,"Duplicate reservation ID",IF($C20&lt;=$B20,"Check stay dates",IF($G20&gt;$F20,"Resold nights exceed booked nights",IF($M20+$N20&gt;$AA20+0.01,"Collection exceeds expected amount",IF(AND($S20="Collected",$M20=0),"Collected status has no amount",IF($AJ20&gt;='Assumptions'!$B$10,"High-cost review","OK"))))))),"")</f>
        <v/>
      </c>
    </row>
    <row r="21">
      <c r="A21" s="38" t="n"/>
      <c r="B21" s="39" t="n"/>
      <c r="C21" s="39" t="n"/>
      <c r="D21" s="38" t="n"/>
      <c r="E21" s="38" t="n"/>
      <c r="F21" s="40" t="n"/>
      <c r="G21" s="40" t="n"/>
      <c r="H21" s="41" t="n"/>
      <c r="I21" s="41" t="n"/>
      <c r="J21" s="42" t="n"/>
      <c r="K21" s="42" t="n"/>
      <c r="L21" s="42" t="n"/>
      <c r="M21" s="41" t="n"/>
      <c r="N21" s="41" t="n"/>
      <c r="O21" s="41" t="n"/>
      <c r="P21" s="41" t="n"/>
      <c r="Q21" s="40" t="n"/>
      <c r="R21" s="38" t="n"/>
      <c r="S21" s="38" t="n"/>
      <c r="T21" s="39" t="n"/>
      <c r="U21" s="43" t="n"/>
      <c r="V21" s="44">
        <f>IFERROR(IF($A21="","",MAX($F21-$G21,0)),"")</f>
        <v/>
      </c>
      <c r="W21" s="45">
        <f>IFERROR(IF($A21="","",$H21+$I21),"")</f>
        <v/>
      </c>
      <c r="X21" s="45">
        <f>IFERROR(IF($A21="","",$H21*IF($J21="",'Assumptions'!$B$4,$J21)),"")</f>
        <v/>
      </c>
      <c r="Y21" s="45">
        <f>IFERROR(IF($A21="","",$X21*IF($K21="",'Assumptions'!$B$12,$K21)),"")</f>
        <v/>
      </c>
      <c r="Z21" s="45">
        <f>IFERROR(IF($A21="","",($X21+$Y21)*IF($L21="",'Assumptions'!$B$13,$L21)),"")</f>
        <v/>
      </c>
      <c r="AA21" s="45">
        <f>IFERROR(IF($A21="","",$X21+$Y21+$Z21),"")</f>
        <v/>
      </c>
      <c r="AB21" s="45">
        <f>IFERROR(IF($A21="","",$V21*'Assumptions'!$B$5),"")</f>
        <v/>
      </c>
      <c r="AC21" s="45">
        <f>IFERROR(IF($A21="","",$I21*'Assumptions'!$B$6),"")</f>
        <v/>
      </c>
      <c r="AD21" s="45">
        <f>IFERROR(IF($A21="","",$AB21+$AC21),"")</f>
        <v/>
      </c>
      <c r="AE21" s="45">
        <f>IFERROR(IF($A21="","",($M21+$N21)*'Assumptions'!$B$7),"")</f>
        <v/>
      </c>
      <c r="AF21" s="45">
        <f>IFERROR(IF($A21="","",($Q21/60)*'Assumptions'!$B$8),"")</f>
        <v/>
      </c>
      <c r="AG21" s="45">
        <f>IFERROR(IF($A21="","",$P21+$AE21+$AF21),"")</f>
        <v/>
      </c>
      <c r="AH21" s="45">
        <f>IFERROR(IF($A21="","",$M21+$O21),"")</f>
        <v/>
      </c>
      <c r="AI21" s="46">
        <f>IFERROR(IF($A21="","",IFERROR($AH21/$W21,0)),"")</f>
        <v/>
      </c>
      <c r="AJ21" s="45">
        <f>IFERROR(IF($A21="","",$W21-$AH21-$AD21+$AG21),"")</f>
        <v/>
      </c>
      <c r="AK21" s="47">
        <f>IFERROR(IF($A21="","",IF(OR($S21="Collected",$S21="Waived",$S21="Uncollectible",$S21="No Charge Due"),"",IF($T21="",$B21+'Assumptions'!$B$9,$T21+'Assumptions'!$B$9))),"")</f>
        <v/>
      </c>
      <c r="AL21" s="48">
        <f>IFERROR(IF($A21="","",IF(OR($S21="Collected",$S21="Waived",$S21="Uncollectible",$S21="No Charge Due"),"Closed",IF($AK21&lt;TODAY(),"Overdue",IF($AK21=TODAY(),"Due","Open")))),"")</f>
        <v/>
      </c>
      <c r="AM21" s="49">
        <f>IFERROR(IF($A21="","",IF(COUNTIF($A$5:$A$504,$A21)&gt;1,"Duplicate reservation ID",IF($C21&lt;=$B21,"Check stay dates",IF($G21&gt;$F21,"Resold nights exceed booked nights",IF($M21+$N21&gt;$AA21+0.01,"Collection exceeds expected amount",IF(AND($S21="Collected",$M21=0),"Collected status has no amount",IF($AJ21&gt;='Assumptions'!$B$10,"High-cost review","OK"))))))),"")</f>
        <v/>
      </c>
    </row>
    <row r="22">
      <c r="A22" s="38" t="n"/>
      <c r="B22" s="39" t="n"/>
      <c r="C22" s="39" t="n"/>
      <c r="D22" s="38" t="n"/>
      <c r="E22" s="38" t="n"/>
      <c r="F22" s="40" t="n"/>
      <c r="G22" s="40" t="n"/>
      <c r="H22" s="41" t="n"/>
      <c r="I22" s="41" t="n"/>
      <c r="J22" s="42" t="n"/>
      <c r="K22" s="42" t="n"/>
      <c r="L22" s="42" t="n"/>
      <c r="M22" s="41" t="n"/>
      <c r="N22" s="41" t="n"/>
      <c r="O22" s="41" t="n"/>
      <c r="P22" s="41" t="n"/>
      <c r="Q22" s="40" t="n"/>
      <c r="R22" s="38" t="n"/>
      <c r="S22" s="38" t="n"/>
      <c r="T22" s="39" t="n"/>
      <c r="U22" s="43" t="n"/>
      <c r="V22" s="44">
        <f>IFERROR(IF($A22="","",MAX($F22-$G22,0)),"")</f>
        <v/>
      </c>
      <c r="W22" s="45">
        <f>IFERROR(IF($A22="","",$H22+$I22),"")</f>
        <v/>
      </c>
      <c r="X22" s="45">
        <f>IFERROR(IF($A22="","",$H22*IF($J22="",'Assumptions'!$B$4,$J22)),"")</f>
        <v/>
      </c>
      <c r="Y22" s="45">
        <f>IFERROR(IF($A22="","",$X22*IF($K22="",'Assumptions'!$B$12,$K22)),"")</f>
        <v/>
      </c>
      <c r="Z22" s="45">
        <f>IFERROR(IF($A22="","",($X22+$Y22)*IF($L22="",'Assumptions'!$B$13,$L22)),"")</f>
        <v/>
      </c>
      <c r="AA22" s="45">
        <f>IFERROR(IF($A22="","",$X22+$Y22+$Z22),"")</f>
        <v/>
      </c>
      <c r="AB22" s="45">
        <f>IFERROR(IF($A22="","",$V22*'Assumptions'!$B$5),"")</f>
        <v/>
      </c>
      <c r="AC22" s="45">
        <f>IFERROR(IF($A22="","",$I22*'Assumptions'!$B$6),"")</f>
        <v/>
      </c>
      <c r="AD22" s="45">
        <f>IFERROR(IF($A22="","",$AB22+$AC22),"")</f>
        <v/>
      </c>
      <c r="AE22" s="45">
        <f>IFERROR(IF($A22="","",($M22+$N22)*'Assumptions'!$B$7),"")</f>
        <v/>
      </c>
      <c r="AF22" s="45">
        <f>IFERROR(IF($A22="","",($Q22/60)*'Assumptions'!$B$8),"")</f>
        <v/>
      </c>
      <c r="AG22" s="45">
        <f>IFERROR(IF($A22="","",$P22+$AE22+$AF22),"")</f>
        <v/>
      </c>
      <c r="AH22" s="45">
        <f>IFERROR(IF($A22="","",$M22+$O22),"")</f>
        <v/>
      </c>
      <c r="AI22" s="46">
        <f>IFERROR(IF($A22="","",IFERROR($AH22/$W22,0)),"")</f>
        <v/>
      </c>
      <c r="AJ22" s="45">
        <f>IFERROR(IF($A22="","",$W22-$AH22-$AD22+$AG22),"")</f>
        <v/>
      </c>
      <c r="AK22" s="47">
        <f>IFERROR(IF($A22="","",IF(OR($S22="Collected",$S22="Waived",$S22="Uncollectible",$S22="No Charge Due"),"",IF($T22="",$B22+'Assumptions'!$B$9,$T22+'Assumptions'!$B$9))),"")</f>
        <v/>
      </c>
      <c r="AL22" s="48">
        <f>IFERROR(IF($A22="","",IF(OR($S22="Collected",$S22="Waived",$S22="Uncollectible",$S22="No Charge Due"),"Closed",IF($AK22&lt;TODAY(),"Overdue",IF($AK22=TODAY(),"Due","Open")))),"")</f>
        <v/>
      </c>
      <c r="AM22" s="49">
        <f>IFERROR(IF($A22="","",IF(COUNTIF($A$5:$A$504,$A22)&gt;1,"Duplicate reservation ID",IF($C22&lt;=$B22,"Check stay dates",IF($G22&gt;$F22,"Resold nights exceed booked nights",IF($M22+$N22&gt;$AA22+0.01,"Collection exceeds expected amount",IF(AND($S22="Collected",$M22=0),"Collected status has no amount",IF($AJ22&gt;='Assumptions'!$B$10,"High-cost review","OK"))))))),"")</f>
        <v/>
      </c>
    </row>
    <row r="23">
      <c r="A23" s="38" t="n"/>
      <c r="B23" s="39" t="n"/>
      <c r="C23" s="39" t="n"/>
      <c r="D23" s="38" t="n"/>
      <c r="E23" s="38" t="n"/>
      <c r="F23" s="40" t="n"/>
      <c r="G23" s="40" t="n"/>
      <c r="H23" s="41" t="n"/>
      <c r="I23" s="41" t="n"/>
      <c r="J23" s="42" t="n"/>
      <c r="K23" s="42" t="n"/>
      <c r="L23" s="42" t="n"/>
      <c r="M23" s="41" t="n"/>
      <c r="N23" s="41" t="n"/>
      <c r="O23" s="41" t="n"/>
      <c r="P23" s="41" t="n"/>
      <c r="Q23" s="40" t="n"/>
      <c r="R23" s="38" t="n"/>
      <c r="S23" s="38" t="n"/>
      <c r="T23" s="39" t="n"/>
      <c r="U23" s="43" t="n"/>
      <c r="V23" s="44">
        <f>IFERROR(IF($A23="","",MAX($F23-$G23,0)),"")</f>
        <v/>
      </c>
      <c r="W23" s="45">
        <f>IFERROR(IF($A23="","",$H23+$I23),"")</f>
        <v/>
      </c>
      <c r="X23" s="45">
        <f>IFERROR(IF($A23="","",$H23*IF($J23="",'Assumptions'!$B$4,$J23)),"")</f>
        <v/>
      </c>
      <c r="Y23" s="45">
        <f>IFERROR(IF($A23="","",$X23*IF($K23="",'Assumptions'!$B$12,$K23)),"")</f>
        <v/>
      </c>
      <c r="Z23" s="45">
        <f>IFERROR(IF($A23="","",($X23+$Y23)*IF($L23="",'Assumptions'!$B$13,$L23)),"")</f>
        <v/>
      </c>
      <c r="AA23" s="45">
        <f>IFERROR(IF($A23="","",$X23+$Y23+$Z23),"")</f>
        <v/>
      </c>
      <c r="AB23" s="45">
        <f>IFERROR(IF($A23="","",$V23*'Assumptions'!$B$5),"")</f>
        <v/>
      </c>
      <c r="AC23" s="45">
        <f>IFERROR(IF($A23="","",$I23*'Assumptions'!$B$6),"")</f>
        <v/>
      </c>
      <c r="AD23" s="45">
        <f>IFERROR(IF($A23="","",$AB23+$AC23),"")</f>
        <v/>
      </c>
      <c r="AE23" s="45">
        <f>IFERROR(IF($A23="","",($M23+$N23)*'Assumptions'!$B$7),"")</f>
        <v/>
      </c>
      <c r="AF23" s="45">
        <f>IFERROR(IF($A23="","",($Q23/60)*'Assumptions'!$B$8),"")</f>
        <v/>
      </c>
      <c r="AG23" s="45">
        <f>IFERROR(IF($A23="","",$P23+$AE23+$AF23),"")</f>
        <v/>
      </c>
      <c r="AH23" s="45">
        <f>IFERROR(IF($A23="","",$M23+$O23),"")</f>
        <v/>
      </c>
      <c r="AI23" s="46">
        <f>IFERROR(IF($A23="","",IFERROR($AH23/$W23,0)),"")</f>
        <v/>
      </c>
      <c r="AJ23" s="45">
        <f>IFERROR(IF($A23="","",$W23-$AH23-$AD23+$AG23),"")</f>
        <v/>
      </c>
      <c r="AK23" s="47">
        <f>IFERROR(IF($A23="","",IF(OR($S23="Collected",$S23="Waived",$S23="Uncollectible",$S23="No Charge Due"),"",IF($T23="",$B23+'Assumptions'!$B$9,$T23+'Assumptions'!$B$9))),"")</f>
        <v/>
      </c>
      <c r="AL23" s="48">
        <f>IFERROR(IF($A23="","",IF(OR($S23="Collected",$S23="Waived",$S23="Uncollectible",$S23="No Charge Due"),"Closed",IF($AK23&lt;TODAY(),"Overdue",IF($AK23=TODAY(),"Due","Open")))),"")</f>
        <v/>
      </c>
      <c r="AM23" s="49">
        <f>IFERROR(IF($A23="","",IF(COUNTIF($A$5:$A$504,$A23)&gt;1,"Duplicate reservation ID",IF($C23&lt;=$B23,"Check stay dates",IF($G23&gt;$F23,"Resold nights exceed booked nights",IF($M23+$N23&gt;$AA23+0.01,"Collection exceeds expected amount",IF(AND($S23="Collected",$M23=0),"Collected status has no amount",IF($AJ23&gt;='Assumptions'!$B$10,"High-cost review","OK"))))))),"")</f>
        <v/>
      </c>
    </row>
    <row r="24">
      <c r="A24" s="38" t="n"/>
      <c r="B24" s="39" t="n"/>
      <c r="C24" s="39" t="n"/>
      <c r="D24" s="38" t="n"/>
      <c r="E24" s="38" t="n"/>
      <c r="F24" s="40" t="n"/>
      <c r="G24" s="40" t="n"/>
      <c r="H24" s="41" t="n"/>
      <c r="I24" s="41" t="n"/>
      <c r="J24" s="42" t="n"/>
      <c r="K24" s="42" t="n"/>
      <c r="L24" s="42" t="n"/>
      <c r="M24" s="41" t="n"/>
      <c r="N24" s="41" t="n"/>
      <c r="O24" s="41" t="n"/>
      <c r="P24" s="41" t="n"/>
      <c r="Q24" s="40" t="n"/>
      <c r="R24" s="38" t="n"/>
      <c r="S24" s="38" t="n"/>
      <c r="T24" s="39" t="n"/>
      <c r="U24" s="43" t="n"/>
      <c r="V24" s="44">
        <f>IFERROR(IF($A24="","",MAX($F24-$G24,0)),"")</f>
        <v/>
      </c>
      <c r="W24" s="45">
        <f>IFERROR(IF($A24="","",$H24+$I24),"")</f>
        <v/>
      </c>
      <c r="X24" s="45">
        <f>IFERROR(IF($A24="","",$H24*IF($J24="",'Assumptions'!$B$4,$J24)),"")</f>
        <v/>
      </c>
      <c r="Y24" s="45">
        <f>IFERROR(IF($A24="","",$X24*IF($K24="",'Assumptions'!$B$12,$K24)),"")</f>
        <v/>
      </c>
      <c r="Z24" s="45">
        <f>IFERROR(IF($A24="","",($X24+$Y24)*IF($L24="",'Assumptions'!$B$13,$L24)),"")</f>
        <v/>
      </c>
      <c r="AA24" s="45">
        <f>IFERROR(IF($A24="","",$X24+$Y24+$Z24),"")</f>
        <v/>
      </c>
      <c r="AB24" s="45">
        <f>IFERROR(IF($A24="","",$V24*'Assumptions'!$B$5),"")</f>
        <v/>
      </c>
      <c r="AC24" s="45">
        <f>IFERROR(IF($A24="","",$I24*'Assumptions'!$B$6),"")</f>
        <v/>
      </c>
      <c r="AD24" s="45">
        <f>IFERROR(IF($A24="","",$AB24+$AC24),"")</f>
        <v/>
      </c>
      <c r="AE24" s="45">
        <f>IFERROR(IF($A24="","",($M24+$N24)*'Assumptions'!$B$7),"")</f>
        <v/>
      </c>
      <c r="AF24" s="45">
        <f>IFERROR(IF($A24="","",($Q24/60)*'Assumptions'!$B$8),"")</f>
        <v/>
      </c>
      <c r="AG24" s="45">
        <f>IFERROR(IF($A24="","",$P24+$AE24+$AF24),"")</f>
        <v/>
      </c>
      <c r="AH24" s="45">
        <f>IFERROR(IF($A24="","",$M24+$O24),"")</f>
        <v/>
      </c>
      <c r="AI24" s="46">
        <f>IFERROR(IF($A24="","",IFERROR($AH24/$W24,0)),"")</f>
        <v/>
      </c>
      <c r="AJ24" s="45">
        <f>IFERROR(IF($A24="","",$W24-$AH24-$AD24+$AG24),"")</f>
        <v/>
      </c>
      <c r="AK24" s="47">
        <f>IFERROR(IF($A24="","",IF(OR($S24="Collected",$S24="Waived",$S24="Uncollectible",$S24="No Charge Due"),"",IF($T24="",$B24+'Assumptions'!$B$9,$T24+'Assumptions'!$B$9))),"")</f>
        <v/>
      </c>
      <c r="AL24" s="48">
        <f>IFERROR(IF($A24="","",IF(OR($S24="Collected",$S24="Waived",$S24="Uncollectible",$S24="No Charge Due"),"Closed",IF($AK24&lt;TODAY(),"Overdue",IF($AK24=TODAY(),"Due","Open")))),"")</f>
        <v/>
      </c>
      <c r="AM24" s="49">
        <f>IFERROR(IF($A24="","",IF(COUNTIF($A$5:$A$504,$A24)&gt;1,"Duplicate reservation ID",IF($C24&lt;=$B24,"Check stay dates",IF($G24&gt;$F24,"Resold nights exceed booked nights",IF($M24+$N24&gt;$AA24+0.01,"Collection exceeds expected amount",IF(AND($S24="Collected",$M24=0),"Collected status has no amount",IF($AJ24&gt;='Assumptions'!$B$10,"High-cost review","OK"))))))),"")</f>
        <v/>
      </c>
    </row>
    <row r="25">
      <c r="A25" s="38" t="n"/>
      <c r="B25" s="39" t="n"/>
      <c r="C25" s="39" t="n"/>
      <c r="D25" s="38" t="n"/>
      <c r="E25" s="38" t="n"/>
      <c r="F25" s="40" t="n"/>
      <c r="G25" s="40" t="n"/>
      <c r="H25" s="41" t="n"/>
      <c r="I25" s="41" t="n"/>
      <c r="J25" s="42" t="n"/>
      <c r="K25" s="42" t="n"/>
      <c r="L25" s="42" t="n"/>
      <c r="M25" s="41" t="n"/>
      <c r="N25" s="41" t="n"/>
      <c r="O25" s="41" t="n"/>
      <c r="P25" s="41" t="n"/>
      <c r="Q25" s="40" t="n"/>
      <c r="R25" s="38" t="n"/>
      <c r="S25" s="38" t="n"/>
      <c r="T25" s="39" t="n"/>
      <c r="U25" s="43" t="n"/>
      <c r="V25" s="44">
        <f>IFERROR(IF($A25="","",MAX($F25-$G25,0)),"")</f>
        <v/>
      </c>
      <c r="W25" s="45">
        <f>IFERROR(IF($A25="","",$H25+$I25),"")</f>
        <v/>
      </c>
      <c r="X25" s="45">
        <f>IFERROR(IF($A25="","",$H25*IF($J25="",'Assumptions'!$B$4,$J25)),"")</f>
        <v/>
      </c>
      <c r="Y25" s="45">
        <f>IFERROR(IF($A25="","",$X25*IF($K25="",'Assumptions'!$B$12,$K25)),"")</f>
        <v/>
      </c>
      <c r="Z25" s="45">
        <f>IFERROR(IF($A25="","",($X25+$Y25)*IF($L25="",'Assumptions'!$B$13,$L25)),"")</f>
        <v/>
      </c>
      <c r="AA25" s="45">
        <f>IFERROR(IF($A25="","",$X25+$Y25+$Z25),"")</f>
        <v/>
      </c>
      <c r="AB25" s="45">
        <f>IFERROR(IF($A25="","",$V25*'Assumptions'!$B$5),"")</f>
        <v/>
      </c>
      <c r="AC25" s="45">
        <f>IFERROR(IF($A25="","",$I25*'Assumptions'!$B$6),"")</f>
        <v/>
      </c>
      <c r="AD25" s="45">
        <f>IFERROR(IF($A25="","",$AB25+$AC25),"")</f>
        <v/>
      </c>
      <c r="AE25" s="45">
        <f>IFERROR(IF($A25="","",($M25+$N25)*'Assumptions'!$B$7),"")</f>
        <v/>
      </c>
      <c r="AF25" s="45">
        <f>IFERROR(IF($A25="","",($Q25/60)*'Assumptions'!$B$8),"")</f>
        <v/>
      </c>
      <c r="AG25" s="45">
        <f>IFERROR(IF($A25="","",$P25+$AE25+$AF25),"")</f>
        <v/>
      </c>
      <c r="AH25" s="45">
        <f>IFERROR(IF($A25="","",$M25+$O25),"")</f>
        <v/>
      </c>
      <c r="AI25" s="46">
        <f>IFERROR(IF($A25="","",IFERROR($AH25/$W25,0)),"")</f>
        <v/>
      </c>
      <c r="AJ25" s="45">
        <f>IFERROR(IF($A25="","",$W25-$AH25-$AD25+$AG25),"")</f>
        <v/>
      </c>
      <c r="AK25" s="47">
        <f>IFERROR(IF($A25="","",IF(OR($S25="Collected",$S25="Waived",$S25="Uncollectible",$S25="No Charge Due"),"",IF($T25="",$B25+'Assumptions'!$B$9,$T25+'Assumptions'!$B$9))),"")</f>
        <v/>
      </c>
      <c r="AL25" s="48">
        <f>IFERROR(IF($A25="","",IF(OR($S25="Collected",$S25="Waived",$S25="Uncollectible",$S25="No Charge Due"),"Closed",IF($AK25&lt;TODAY(),"Overdue",IF($AK25=TODAY(),"Due","Open")))),"")</f>
        <v/>
      </c>
      <c r="AM25" s="49">
        <f>IFERROR(IF($A25="","",IF(COUNTIF($A$5:$A$504,$A25)&gt;1,"Duplicate reservation ID",IF($C25&lt;=$B25,"Check stay dates",IF($G25&gt;$F25,"Resold nights exceed booked nights",IF($M25+$N25&gt;$AA25+0.01,"Collection exceeds expected amount",IF(AND($S25="Collected",$M25=0),"Collected status has no amount",IF($AJ25&gt;='Assumptions'!$B$10,"High-cost review","OK"))))))),"")</f>
        <v/>
      </c>
    </row>
    <row r="26">
      <c r="A26" s="38" t="n"/>
      <c r="B26" s="39" t="n"/>
      <c r="C26" s="39" t="n"/>
      <c r="D26" s="38" t="n"/>
      <c r="E26" s="38" t="n"/>
      <c r="F26" s="40" t="n"/>
      <c r="G26" s="40" t="n"/>
      <c r="H26" s="41" t="n"/>
      <c r="I26" s="41" t="n"/>
      <c r="J26" s="42" t="n"/>
      <c r="K26" s="42" t="n"/>
      <c r="L26" s="42" t="n"/>
      <c r="M26" s="41" t="n"/>
      <c r="N26" s="41" t="n"/>
      <c r="O26" s="41" t="n"/>
      <c r="P26" s="41" t="n"/>
      <c r="Q26" s="40" t="n"/>
      <c r="R26" s="38" t="n"/>
      <c r="S26" s="38" t="n"/>
      <c r="T26" s="39" t="n"/>
      <c r="U26" s="43" t="n"/>
      <c r="V26" s="44">
        <f>IFERROR(IF($A26="","",MAX($F26-$G26,0)),"")</f>
        <v/>
      </c>
      <c r="W26" s="45">
        <f>IFERROR(IF($A26="","",$H26+$I26),"")</f>
        <v/>
      </c>
      <c r="X26" s="45">
        <f>IFERROR(IF($A26="","",$H26*IF($J26="",'Assumptions'!$B$4,$J26)),"")</f>
        <v/>
      </c>
      <c r="Y26" s="45">
        <f>IFERROR(IF($A26="","",$X26*IF($K26="",'Assumptions'!$B$12,$K26)),"")</f>
        <v/>
      </c>
      <c r="Z26" s="45">
        <f>IFERROR(IF($A26="","",($X26+$Y26)*IF($L26="",'Assumptions'!$B$13,$L26)),"")</f>
        <v/>
      </c>
      <c r="AA26" s="45">
        <f>IFERROR(IF($A26="","",$X26+$Y26+$Z26),"")</f>
        <v/>
      </c>
      <c r="AB26" s="45">
        <f>IFERROR(IF($A26="","",$V26*'Assumptions'!$B$5),"")</f>
        <v/>
      </c>
      <c r="AC26" s="45">
        <f>IFERROR(IF($A26="","",$I26*'Assumptions'!$B$6),"")</f>
        <v/>
      </c>
      <c r="AD26" s="45">
        <f>IFERROR(IF($A26="","",$AB26+$AC26),"")</f>
        <v/>
      </c>
      <c r="AE26" s="45">
        <f>IFERROR(IF($A26="","",($M26+$N26)*'Assumptions'!$B$7),"")</f>
        <v/>
      </c>
      <c r="AF26" s="45">
        <f>IFERROR(IF($A26="","",($Q26/60)*'Assumptions'!$B$8),"")</f>
        <v/>
      </c>
      <c r="AG26" s="45">
        <f>IFERROR(IF($A26="","",$P26+$AE26+$AF26),"")</f>
        <v/>
      </c>
      <c r="AH26" s="45">
        <f>IFERROR(IF($A26="","",$M26+$O26),"")</f>
        <v/>
      </c>
      <c r="AI26" s="46">
        <f>IFERROR(IF($A26="","",IFERROR($AH26/$W26,0)),"")</f>
        <v/>
      </c>
      <c r="AJ26" s="45">
        <f>IFERROR(IF($A26="","",$W26-$AH26-$AD26+$AG26),"")</f>
        <v/>
      </c>
      <c r="AK26" s="47">
        <f>IFERROR(IF($A26="","",IF(OR($S26="Collected",$S26="Waived",$S26="Uncollectible",$S26="No Charge Due"),"",IF($T26="",$B26+'Assumptions'!$B$9,$T26+'Assumptions'!$B$9))),"")</f>
        <v/>
      </c>
      <c r="AL26" s="48">
        <f>IFERROR(IF($A26="","",IF(OR($S26="Collected",$S26="Waived",$S26="Uncollectible",$S26="No Charge Due"),"Closed",IF($AK26&lt;TODAY(),"Overdue",IF($AK26=TODAY(),"Due","Open")))),"")</f>
        <v/>
      </c>
      <c r="AM26" s="49">
        <f>IFERROR(IF($A26="","",IF(COUNTIF($A$5:$A$504,$A26)&gt;1,"Duplicate reservation ID",IF($C26&lt;=$B26,"Check stay dates",IF($G26&gt;$F26,"Resold nights exceed booked nights",IF($M26+$N26&gt;$AA26+0.01,"Collection exceeds expected amount",IF(AND($S26="Collected",$M26=0),"Collected status has no amount",IF($AJ26&gt;='Assumptions'!$B$10,"High-cost review","OK"))))))),"")</f>
        <v/>
      </c>
    </row>
    <row r="27">
      <c r="A27" s="38" t="n"/>
      <c r="B27" s="39" t="n"/>
      <c r="C27" s="39" t="n"/>
      <c r="D27" s="38" t="n"/>
      <c r="E27" s="38" t="n"/>
      <c r="F27" s="40" t="n"/>
      <c r="G27" s="40" t="n"/>
      <c r="H27" s="41" t="n"/>
      <c r="I27" s="41" t="n"/>
      <c r="J27" s="42" t="n"/>
      <c r="K27" s="42" t="n"/>
      <c r="L27" s="42" t="n"/>
      <c r="M27" s="41" t="n"/>
      <c r="N27" s="41" t="n"/>
      <c r="O27" s="41" t="n"/>
      <c r="P27" s="41" t="n"/>
      <c r="Q27" s="40" t="n"/>
      <c r="R27" s="38" t="n"/>
      <c r="S27" s="38" t="n"/>
      <c r="T27" s="39" t="n"/>
      <c r="U27" s="43" t="n"/>
      <c r="V27" s="44">
        <f>IFERROR(IF($A27="","",MAX($F27-$G27,0)),"")</f>
        <v/>
      </c>
      <c r="W27" s="45">
        <f>IFERROR(IF($A27="","",$H27+$I27),"")</f>
        <v/>
      </c>
      <c r="X27" s="45">
        <f>IFERROR(IF($A27="","",$H27*IF($J27="",'Assumptions'!$B$4,$J27)),"")</f>
        <v/>
      </c>
      <c r="Y27" s="45">
        <f>IFERROR(IF($A27="","",$X27*IF($K27="",'Assumptions'!$B$12,$K27)),"")</f>
        <v/>
      </c>
      <c r="Z27" s="45">
        <f>IFERROR(IF($A27="","",($X27+$Y27)*IF($L27="",'Assumptions'!$B$13,$L27)),"")</f>
        <v/>
      </c>
      <c r="AA27" s="45">
        <f>IFERROR(IF($A27="","",$X27+$Y27+$Z27),"")</f>
        <v/>
      </c>
      <c r="AB27" s="45">
        <f>IFERROR(IF($A27="","",$V27*'Assumptions'!$B$5),"")</f>
        <v/>
      </c>
      <c r="AC27" s="45">
        <f>IFERROR(IF($A27="","",$I27*'Assumptions'!$B$6),"")</f>
        <v/>
      </c>
      <c r="AD27" s="45">
        <f>IFERROR(IF($A27="","",$AB27+$AC27),"")</f>
        <v/>
      </c>
      <c r="AE27" s="45">
        <f>IFERROR(IF($A27="","",($M27+$N27)*'Assumptions'!$B$7),"")</f>
        <v/>
      </c>
      <c r="AF27" s="45">
        <f>IFERROR(IF($A27="","",($Q27/60)*'Assumptions'!$B$8),"")</f>
        <v/>
      </c>
      <c r="AG27" s="45">
        <f>IFERROR(IF($A27="","",$P27+$AE27+$AF27),"")</f>
        <v/>
      </c>
      <c r="AH27" s="45">
        <f>IFERROR(IF($A27="","",$M27+$O27),"")</f>
        <v/>
      </c>
      <c r="AI27" s="46">
        <f>IFERROR(IF($A27="","",IFERROR($AH27/$W27,0)),"")</f>
        <v/>
      </c>
      <c r="AJ27" s="45">
        <f>IFERROR(IF($A27="","",$W27-$AH27-$AD27+$AG27),"")</f>
        <v/>
      </c>
      <c r="AK27" s="47">
        <f>IFERROR(IF($A27="","",IF(OR($S27="Collected",$S27="Waived",$S27="Uncollectible",$S27="No Charge Due"),"",IF($T27="",$B27+'Assumptions'!$B$9,$T27+'Assumptions'!$B$9))),"")</f>
        <v/>
      </c>
      <c r="AL27" s="48">
        <f>IFERROR(IF($A27="","",IF(OR($S27="Collected",$S27="Waived",$S27="Uncollectible",$S27="No Charge Due"),"Closed",IF($AK27&lt;TODAY(),"Overdue",IF($AK27=TODAY(),"Due","Open")))),"")</f>
        <v/>
      </c>
      <c r="AM27" s="49">
        <f>IFERROR(IF($A27="","",IF(COUNTIF($A$5:$A$504,$A27)&gt;1,"Duplicate reservation ID",IF($C27&lt;=$B27,"Check stay dates",IF($G27&gt;$F27,"Resold nights exceed booked nights",IF($M27+$N27&gt;$AA27+0.01,"Collection exceeds expected amount",IF(AND($S27="Collected",$M27=0),"Collected status has no amount",IF($AJ27&gt;='Assumptions'!$B$10,"High-cost review","OK"))))))),"")</f>
        <v/>
      </c>
    </row>
    <row r="28">
      <c r="A28" s="38" t="n"/>
      <c r="B28" s="39" t="n"/>
      <c r="C28" s="39" t="n"/>
      <c r="D28" s="38" t="n"/>
      <c r="E28" s="38" t="n"/>
      <c r="F28" s="40" t="n"/>
      <c r="G28" s="40" t="n"/>
      <c r="H28" s="41" t="n"/>
      <c r="I28" s="41" t="n"/>
      <c r="J28" s="42" t="n"/>
      <c r="K28" s="42" t="n"/>
      <c r="L28" s="42" t="n"/>
      <c r="M28" s="41" t="n"/>
      <c r="N28" s="41" t="n"/>
      <c r="O28" s="41" t="n"/>
      <c r="P28" s="41" t="n"/>
      <c r="Q28" s="40" t="n"/>
      <c r="R28" s="38" t="n"/>
      <c r="S28" s="38" t="n"/>
      <c r="T28" s="39" t="n"/>
      <c r="U28" s="43" t="n"/>
      <c r="V28" s="44">
        <f>IFERROR(IF($A28="","",MAX($F28-$G28,0)),"")</f>
        <v/>
      </c>
      <c r="W28" s="45">
        <f>IFERROR(IF($A28="","",$H28+$I28),"")</f>
        <v/>
      </c>
      <c r="X28" s="45">
        <f>IFERROR(IF($A28="","",$H28*IF($J28="",'Assumptions'!$B$4,$J28)),"")</f>
        <v/>
      </c>
      <c r="Y28" s="45">
        <f>IFERROR(IF($A28="","",$X28*IF($K28="",'Assumptions'!$B$12,$K28)),"")</f>
        <v/>
      </c>
      <c r="Z28" s="45">
        <f>IFERROR(IF($A28="","",($X28+$Y28)*IF($L28="",'Assumptions'!$B$13,$L28)),"")</f>
        <v/>
      </c>
      <c r="AA28" s="45">
        <f>IFERROR(IF($A28="","",$X28+$Y28+$Z28),"")</f>
        <v/>
      </c>
      <c r="AB28" s="45">
        <f>IFERROR(IF($A28="","",$V28*'Assumptions'!$B$5),"")</f>
        <v/>
      </c>
      <c r="AC28" s="45">
        <f>IFERROR(IF($A28="","",$I28*'Assumptions'!$B$6),"")</f>
        <v/>
      </c>
      <c r="AD28" s="45">
        <f>IFERROR(IF($A28="","",$AB28+$AC28),"")</f>
        <v/>
      </c>
      <c r="AE28" s="45">
        <f>IFERROR(IF($A28="","",($M28+$N28)*'Assumptions'!$B$7),"")</f>
        <v/>
      </c>
      <c r="AF28" s="45">
        <f>IFERROR(IF($A28="","",($Q28/60)*'Assumptions'!$B$8),"")</f>
        <v/>
      </c>
      <c r="AG28" s="45">
        <f>IFERROR(IF($A28="","",$P28+$AE28+$AF28),"")</f>
        <v/>
      </c>
      <c r="AH28" s="45">
        <f>IFERROR(IF($A28="","",$M28+$O28),"")</f>
        <v/>
      </c>
      <c r="AI28" s="46">
        <f>IFERROR(IF($A28="","",IFERROR($AH28/$W28,0)),"")</f>
        <v/>
      </c>
      <c r="AJ28" s="45">
        <f>IFERROR(IF($A28="","",$W28-$AH28-$AD28+$AG28),"")</f>
        <v/>
      </c>
      <c r="AK28" s="47">
        <f>IFERROR(IF($A28="","",IF(OR($S28="Collected",$S28="Waived",$S28="Uncollectible",$S28="No Charge Due"),"",IF($T28="",$B28+'Assumptions'!$B$9,$T28+'Assumptions'!$B$9))),"")</f>
        <v/>
      </c>
      <c r="AL28" s="48">
        <f>IFERROR(IF($A28="","",IF(OR($S28="Collected",$S28="Waived",$S28="Uncollectible",$S28="No Charge Due"),"Closed",IF($AK28&lt;TODAY(),"Overdue",IF($AK28=TODAY(),"Due","Open")))),"")</f>
        <v/>
      </c>
      <c r="AM28" s="49">
        <f>IFERROR(IF($A28="","",IF(COUNTIF($A$5:$A$504,$A28)&gt;1,"Duplicate reservation ID",IF($C28&lt;=$B28,"Check stay dates",IF($G28&gt;$F28,"Resold nights exceed booked nights",IF($M28+$N28&gt;$AA28+0.01,"Collection exceeds expected amount",IF(AND($S28="Collected",$M28=0),"Collected status has no amount",IF($AJ28&gt;='Assumptions'!$B$10,"High-cost review","OK"))))))),"")</f>
        <v/>
      </c>
    </row>
    <row r="29">
      <c r="A29" s="38" t="n"/>
      <c r="B29" s="39" t="n"/>
      <c r="C29" s="39" t="n"/>
      <c r="D29" s="38" t="n"/>
      <c r="E29" s="38" t="n"/>
      <c r="F29" s="40" t="n"/>
      <c r="G29" s="40" t="n"/>
      <c r="H29" s="41" t="n"/>
      <c r="I29" s="41" t="n"/>
      <c r="J29" s="42" t="n"/>
      <c r="K29" s="42" t="n"/>
      <c r="L29" s="42" t="n"/>
      <c r="M29" s="41" t="n"/>
      <c r="N29" s="41" t="n"/>
      <c r="O29" s="41" t="n"/>
      <c r="P29" s="41" t="n"/>
      <c r="Q29" s="40" t="n"/>
      <c r="R29" s="38" t="n"/>
      <c r="S29" s="38" t="n"/>
      <c r="T29" s="39" t="n"/>
      <c r="U29" s="43" t="n"/>
      <c r="V29" s="44">
        <f>IFERROR(IF($A29="","",MAX($F29-$G29,0)),"")</f>
        <v/>
      </c>
      <c r="W29" s="45">
        <f>IFERROR(IF($A29="","",$H29+$I29),"")</f>
        <v/>
      </c>
      <c r="X29" s="45">
        <f>IFERROR(IF($A29="","",$H29*IF($J29="",'Assumptions'!$B$4,$J29)),"")</f>
        <v/>
      </c>
      <c r="Y29" s="45">
        <f>IFERROR(IF($A29="","",$X29*IF($K29="",'Assumptions'!$B$12,$K29)),"")</f>
        <v/>
      </c>
      <c r="Z29" s="45">
        <f>IFERROR(IF($A29="","",($X29+$Y29)*IF($L29="",'Assumptions'!$B$13,$L29)),"")</f>
        <v/>
      </c>
      <c r="AA29" s="45">
        <f>IFERROR(IF($A29="","",$X29+$Y29+$Z29),"")</f>
        <v/>
      </c>
      <c r="AB29" s="45">
        <f>IFERROR(IF($A29="","",$V29*'Assumptions'!$B$5),"")</f>
        <v/>
      </c>
      <c r="AC29" s="45">
        <f>IFERROR(IF($A29="","",$I29*'Assumptions'!$B$6),"")</f>
        <v/>
      </c>
      <c r="AD29" s="45">
        <f>IFERROR(IF($A29="","",$AB29+$AC29),"")</f>
        <v/>
      </c>
      <c r="AE29" s="45">
        <f>IFERROR(IF($A29="","",($M29+$N29)*'Assumptions'!$B$7),"")</f>
        <v/>
      </c>
      <c r="AF29" s="45">
        <f>IFERROR(IF($A29="","",($Q29/60)*'Assumptions'!$B$8),"")</f>
        <v/>
      </c>
      <c r="AG29" s="45">
        <f>IFERROR(IF($A29="","",$P29+$AE29+$AF29),"")</f>
        <v/>
      </c>
      <c r="AH29" s="45">
        <f>IFERROR(IF($A29="","",$M29+$O29),"")</f>
        <v/>
      </c>
      <c r="AI29" s="46">
        <f>IFERROR(IF($A29="","",IFERROR($AH29/$W29,0)),"")</f>
        <v/>
      </c>
      <c r="AJ29" s="45">
        <f>IFERROR(IF($A29="","",$W29-$AH29-$AD29+$AG29),"")</f>
        <v/>
      </c>
      <c r="AK29" s="47">
        <f>IFERROR(IF($A29="","",IF(OR($S29="Collected",$S29="Waived",$S29="Uncollectible",$S29="No Charge Due"),"",IF($T29="",$B29+'Assumptions'!$B$9,$T29+'Assumptions'!$B$9))),"")</f>
        <v/>
      </c>
      <c r="AL29" s="48">
        <f>IFERROR(IF($A29="","",IF(OR($S29="Collected",$S29="Waived",$S29="Uncollectible",$S29="No Charge Due"),"Closed",IF($AK29&lt;TODAY(),"Overdue",IF($AK29=TODAY(),"Due","Open")))),"")</f>
        <v/>
      </c>
      <c r="AM29" s="49">
        <f>IFERROR(IF($A29="","",IF(COUNTIF($A$5:$A$504,$A29)&gt;1,"Duplicate reservation ID",IF($C29&lt;=$B29,"Check stay dates",IF($G29&gt;$F29,"Resold nights exceed booked nights",IF($M29+$N29&gt;$AA29+0.01,"Collection exceeds expected amount",IF(AND($S29="Collected",$M29=0),"Collected status has no amount",IF($AJ29&gt;='Assumptions'!$B$10,"High-cost review","OK"))))))),"")</f>
        <v/>
      </c>
    </row>
    <row r="30">
      <c r="A30" s="38" t="n"/>
      <c r="B30" s="39" t="n"/>
      <c r="C30" s="39" t="n"/>
      <c r="D30" s="38" t="n"/>
      <c r="E30" s="38" t="n"/>
      <c r="F30" s="40" t="n"/>
      <c r="G30" s="40" t="n"/>
      <c r="H30" s="41" t="n"/>
      <c r="I30" s="41" t="n"/>
      <c r="J30" s="42" t="n"/>
      <c r="K30" s="42" t="n"/>
      <c r="L30" s="42" t="n"/>
      <c r="M30" s="41" t="n"/>
      <c r="N30" s="41" t="n"/>
      <c r="O30" s="41" t="n"/>
      <c r="P30" s="41" t="n"/>
      <c r="Q30" s="40" t="n"/>
      <c r="R30" s="38" t="n"/>
      <c r="S30" s="38" t="n"/>
      <c r="T30" s="39" t="n"/>
      <c r="U30" s="43" t="n"/>
      <c r="V30" s="44">
        <f>IFERROR(IF($A30="","",MAX($F30-$G30,0)),"")</f>
        <v/>
      </c>
      <c r="W30" s="45">
        <f>IFERROR(IF($A30="","",$H30+$I30),"")</f>
        <v/>
      </c>
      <c r="X30" s="45">
        <f>IFERROR(IF($A30="","",$H30*IF($J30="",'Assumptions'!$B$4,$J30)),"")</f>
        <v/>
      </c>
      <c r="Y30" s="45">
        <f>IFERROR(IF($A30="","",$X30*IF($K30="",'Assumptions'!$B$12,$K30)),"")</f>
        <v/>
      </c>
      <c r="Z30" s="45">
        <f>IFERROR(IF($A30="","",($X30+$Y30)*IF($L30="",'Assumptions'!$B$13,$L30)),"")</f>
        <v/>
      </c>
      <c r="AA30" s="45">
        <f>IFERROR(IF($A30="","",$X30+$Y30+$Z30),"")</f>
        <v/>
      </c>
      <c r="AB30" s="45">
        <f>IFERROR(IF($A30="","",$V30*'Assumptions'!$B$5),"")</f>
        <v/>
      </c>
      <c r="AC30" s="45">
        <f>IFERROR(IF($A30="","",$I30*'Assumptions'!$B$6),"")</f>
        <v/>
      </c>
      <c r="AD30" s="45">
        <f>IFERROR(IF($A30="","",$AB30+$AC30),"")</f>
        <v/>
      </c>
      <c r="AE30" s="45">
        <f>IFERROR(IF($A30="","",($M30+$N30)*'Assumptions'!$B$7),"")</f>
        <v/>
      </c>
      <c r="AF30" s="45">
        <f>IFERROR(IF($A30="","",($Q30/60)*'Assumptions'!$B$8),"")</f>
        <v/>
      </c>
      <c r="AG30" s="45">
        <f>IFERROR(IF($A30="","",$P30+$AE30+$AF30),"")</f>
        <v/>
      </c>
      <c r="AH30" s="45">
        <f>IFERROR(IF($A30="","",$M30+$O30),"")</f>
        <v/>
      </c>
      <c r="AI30" s="46">
        <f>IFERROR(IF($A30="","",IFERROR($AH30/$W30,0)),"")</f>
        <v/>
      </c>
      <c r="AJ30" s="45">
        <f>IFERROR(IF($A30="","",$W30-$AH30-$AD30+$AG30),"")</f>
        <v/>
      </c>
      <c r="AK30" s="47">
        <f>IFERROR(IF($A30="","",IF(OR($S30="Collected",$S30="Waived",$S30="Uncollectible",$S30="No Charge Due"),"",IF($T30="",$B30+'Assumptions'!$B$9,$T30+'Assumptions'!$B$9))),"")</f>
        <v/>
      </c>
      <c r="AL30" s="48">
        <f>IFERROR(IF($A30="","",IF(OR($S30="Collected",$S30="Waived",$S30="Uncollectible",$S30="No Charge Due"),"Closed",IF($AK30&lt;TODAY(),"Overdue",IF($AK30=TODAY(),"Due","Open")))),"")</f>
        <v/>
      </c>
      <c r="AM30" s="49">
        <f>IFERROR(IF($A30="","",IF(COUNTIF($A$5:$A$504,$A30)&gt;1,"Duplicate reservation ID",IF($C30&lt;=$B30,"Check stay dates",IF($G30&gt;$F30,"Resold nights exceed booked nights",IF($M30+$N30&gt;$AA30+0.01,"Collection exceeds expected amount",IF(AND($S30="Collected",$M30=0),"Collected status has no amount",IF($AJ30&gt;='Assumptions'!$B$10,"High-cost review","OK"))))))),"")</f>
        <v/>
      </c>
    </row>
    <row r="31">
      <c r="A31" s="38" t="n"/>
      <c r="B31" s="39" t="n"/>
      <c r="C31" s="39" t="n"/>
      <c r="D31" s="38" t="n"/>
      <c r="E31" s="38" t="n"/>
      <c r="F31" s="40" t="n"/>
      <c r="G31" s="40" t="n"/>
      <c r="H31" s="41" t="n"/>
      <c r="I31" s="41" t="n"/>
      <c r="J31" s="42" t="n"/>
      <c r="K31" s="42" t="n"/>
      <c r="L31" s="42" t="n"/>
      <c r="M31" s="41" t="n"/>
      <c r="N31" s="41" t="n"/>
      <c r="O31" s="41" t="n"/>
      <c r="P31" s="41" t="n"/>
      <c r="Q31" s="40" t="n"/>
      <c r="R31" s="38" t="n"/>
      <c r="S31" s="38" t="n"/>
      <c r="T31" s="39" t="n"/>
      <c r="U31" s="43" t="n"/>
      <c r="V31" s="44">
        <f>IFERROR(IF($A31="","",MAX($F31-$G31,0)),"")</f>
        <v/>
      </c>
      <c r="W31" s="45">
        <f>IFERROR(IF($A31="","",$H31+$I31),"")</f>
        <v/>
      </c>
      <c r="X31" s="45">
        <f>IFERROR(IF($A31="","",$H31*IF($J31="",'Assumptions'!$B$4,$J31)),"")</f>
        <v/>
      </c>
      <c r="Y31" s="45">
        <f>IFERROR(IF($A31="","",$X31*IF($K31="",'Assumptions'!$B$12,$K31)),"")</f>
        <v/>
      </c>
      <c r="Z31" s="45">
        <f>IFERROR(IF($A31="","",($X31+$Y31)*IF($L31="",'Assumptions'!$B$13,$L31)),"")</f>
        <v/>
      </c>
      <c r="AA31" s="45">
        <f>IFERROR(IF($A31="","",$X31+$Y31+$Z31),"")</f>
        <v/>
      </c>
      <c r="AB31" s="45">
        <f>IFERROR(IF($A31="","",$V31*'Assumptions'!$B$5),"")</f>
        <v/>
      </c>
      <c r="AC31" s="45">
        <f>IFERROR(IF($A31="","",$I31*'Assumptions'!$B$6),"")</f>
        <v/>
      </c>
      <c r="AD31" s="45">
        <f>IFERROR(IF($A31="","",$AB31+$AC31),"")</f>
        <v/>
      </c>
      <c r="AE31" s="45">
        <f>IFERROR(IF($A31="","",($M31+$N31)*'Assumptions'!$B$7),"")</f>
        <v/>
      </c>
      <c r="AF31" s="45">
        <f>IFERROR(IF($A31="","",($Q31/60)*'Assumptions'!$B$8),"")</f>
        <v/>
      </c>
      <c r="AG31" s="45">
        <f>IFERROR(IF($A31="","",$P31+$AE31+$AF31),"")</f>
        <v/>
      </c>
      <c r="AH31" s="45">
        <f>IFERROR(IF($A31="","",$M31+$O31),"")</f>
        <v/>
      </c>
      <c r="AI31" s="46">
        <f>IFERROR(IF($A31="","",IFERROR($AH31/$W31,0)),"")</f>
        <v/>
      </c>
      <c r="AJ31" s="45">
        <f>IFERROR(IF($A31="","",$W31-$AH31-$AD31+$AG31),"")</f>
        <v/>
      </c>
      <c r="AK31" s="47">
        <f>IFERROR(IF($A31="","",IF(OR($S31="Collected",$S31="Waived",$S31="Uncollectible",$S31="No Charge Due"),"",IF($T31="",$B31+'Assumptions'!$B$9,$T31+'Assumptions'!$B$9))),"")</f>
        <v/>
      </c>
      <c r="AL31" s="48">
        <f>IFERROR(IF($A31="","",IF(OR($S31="Collected",$S31="Waived",$S31="Uncollectible",$S31="No Charge Due"),"Closed",IF($AK31&lt;TODAY(),"Overdue",IF($AK31=TODAY(),"Due","Open")))),"")</f>
        <v/>
      </c>
      <c r="AM31" s="49">
        <f>IFERROR(IF($A31="","",IF(COUNTIF($A$5:$A$504,$A31)&gt;1,"Duplicate reservation ID",IF($C31&lt;=$B31,"Check stay dates",IF($G31&gt;$F31,"Resold nights exceed booked nights",IF($M31+$N31&gt;$AA31+0.01,"Collection exceeds expected amount",IF(AND($S31="Collected",$M31=0),"Collected status has no amount",IF($AJ31&gt;='Assumptions'!$B$10,"High-cost review","OK"))))))),"")</f>
        <v/>
      </c>
    </row>
    <row r="32">
      <c r="A32" s="38" t="n"/>
      <c r="B32" s="39" t="n"/>
      <c r="C32" s="39" t="n"/>
      <c r="D32" s="38" t="n"/>
      <c r="E32" s="38" t="n"/>
      <c r="F32" s="40" t="n"/>
      <c r="G32" s="40" t="n"/>
      <c r="H32" s="41" t="n"/>
      <c r="I32" s="41" t="n"/>
      <c r="J32" s="42" t="n"/>
      <c r="K32" s="42" t="n"/>
      <c r="L32" s="42" t="n"/>
      <c r="M32" s="41" t="n"/>
      <c r="N32" s="41" t="n"/>
      <c r="O32" s="41" t="n"/>
      <c r="P32" s="41" t="n"/>
      <c r="Q32" s="40" t="n"/>
      <c r="R32" s="38" t="n"/>
      <c r="S32" s="38" t="n"/>
      <c r="T32" s="39" t="n"/>
      <c r="U32" s="43" t="n"/>
      <c r="V32" s="44">
        <f>IFERROR(IF($A32="","",MAX($F32-$G32,0)),"")</f>
        <v/>
      </c>
      <c r="W32" s="45">
        <f>IFERROR(IF($A32="","",$H32+$I32),"")</f>
        <v/>
      </c>
      <c r="X32" s="45">
        <f>IFERROR(IF($A32="","",$H32*IF($J32="",'Assumptions'!$B$4,$J32)),"")</f>
        <v/>
      </c>
      <c r="Y32" s="45">
        <f>IFERROR(IF($A32="","",$X32*IF($K32="",'Assumptions'!$B$12,$K32)),"")</f>
        <v/>
      </c>
      <c r="Z32" s="45">
        <f>IFERROR(IF($A32="","",($X32+$Y32)*IF($L32="",'Assumptions'!$B$13,$L32)),"")</f>
        <v/>
      </c>
      <c r="AA32" s="45">
        <f>IFERROR(IF($A32="","",$X32+$Y32+$Z32),"")</f>
        <v/>
      </c>
      <c r="AB32" s="45">
        <f>IFERROR(IF($A32="","",$V32*'Assumptions'!$B$5),"")</f>
        <v/>
      </c>
      <c r="AC32" s="45">
        <f>IFERROR(IF($A32="","",$I32*'Assumptions'!$B$6),"")</f>
        <v/>
      </c>
      <c r="AD32" s="45">
        <f>IFERROR(IF($A32="","",$AB32+$AC32),"")</f>
        <v/>
      </c>
      <c r="AE32" s="45">
        <f>IFERROR(IF($A32="","",($M32+$N32)*'Assumptions'!$B$7),"")</f>
        <v/>
      </c>
      <c r="AF32" s="45">
        <f>IFERROR(IF($A32="","",($Q32/60)*'Assumptions'!$B$8),"")</f>
        <v/>
      </c>
      <c r="AG32" s="45">
        <f>IFERROR(IF($A32="","",$P32+$AE32+$AF32),"")</f>
        <v/>
      </c>
      <c r="AH32" s="45">
        <f>IFERROR(IF($A32="","",$M32+$O32),"")</f>
        <v/>
      </c>
      <c r="AI32" s="46">
        <f>IFERROR(IF($A32="","",IFERROR($AH32/$W32,0)),"")</f>
        <v/>
      </c>
      <c r="AJ32" s="45">
        <f>IFERROR(IF($A32="","",$W32-$AH32-$AD32+$AG32),"")</f>
        <v/>
      </c>
      <c r="AK32" s="47">
        <f>IFERROR(IF($A32="","",IF(OR($S32="Collected",$S32="Waived",$S32="Uncollectible",$S32="No Charge Due"),"",IF($T32="",$B32+'Assumptions'!$B$9,$T32+'Assumptions'!$B$9))),"")</f>
        <v/>
      </c>
      <c r="AL32" s="48">
        <f>IFERROR(IF($A32="","",IF(OR($S32="Collected",$S32="Waived",$S32="Uncollectible",$S32="No Charge Due"),"Closed",IF($AK32&lt;TODAY(),"Overdue",IF($AK32=TODAY(),"Due","Open")))),"")</f>
        <v/>
      </c>
      <c r="AM32" s="49">
        <f>IFERROR(IF($A32="","",IF(COUNTIF($A$5:$A$504,$A32)&gt;1,"Duplicate reservation ID",IF($C32&lt;=$B32,"Check stay dates",IF($G32&gt;$F32,"Resold nights exceed booked nights",IF($M32+$N32&gt;$AA32+0.01,"Collection exceeds expected amount",IF(AND($S32="Collected",$M32=0),"Collected status has no amount",IF($AJ32&gt;='Assumptions'!$B$10,"High-cost review","OK"))))))),"")</f>
        <v/>
      </c>
    </row>
    <row r="33">
      <c r="A33" s="38" t="n"/>
      <c r="B33" s="39" t="n"/>
      <c r="C33" s="39" t="n"/>
      <c r="D33" s="38" t="n"/>
      <c r="E33" s="38" t="n"/>
      <c r="F33" s="40" t="n"/>
      <c r="G33" s="40" t="n"/>
      <c r="H33" s="41" t="n"/>
      <c r="I33" s="41" t="n"/>
      <c r="J33" s="42" t="n"/>
      <c r="K33" s="42" t="n"/>
      <c r="L33" s="42" t="n"/>
      <c r="M33" s="41" t="n"/>
      <c r="N33" s="41" t="n"/>
      <c r="O33" s="41" t="n"/>
      <c r="P33" s="41" t="n"/>
      <c r="Q33" s="40" t="n"/>
      <c r="R33" s="38" t="n"/>
      <c r="S33" s="38" t="n"/>
      <c r="T33" s="39" t="n"/>
      <c r="U33" s="43" t="n"/>
      <c r="V33" s="44">
        <f>IFERROR(IF($A33="","",MAX($F33-$G33,0)),"")</f>
        <v/>
      </c>
      <c r="W33" s="45">
        <f>IFERROR(IF($A33="","",$H33+$I33),"")</f>
        <v/>
      </c>
      <c r="X33" s="45">
        <f>IFERROR(IF($A33="","",$H33*IF($J33="",'Assumptions'!$B$4,$J33)),"")</f>
        <v/>
      </c>
      <c r="Y33" s="45">
        <f>IFERROR(IF($A33="","",$X33*IF($K33="",'Assumptions'!$B$12,$K33)),"")</f>
        <v/>
      </c>
      <c r="Z33" s="45">
        <f>IFERROR(IF($A33="","",($X33+$Y33)*IF($L33="",'Assumptions'!$B$13,$L33)),"")</f>
        <v/>
      </c>
      <c r="AA33" s="45">
        <f>IFERROR(IF($A33="","",$X33+$Y33+$Z33),"")</f>
        <v/>
      </c>
      <c r="AB33" s="45">
        <f>IFERROR(IF($A33="","",$V33*'Assumptions'!$B$5),"")</f>
        <v/>
      </c>
      <c r="AC33" s="45">
        <f>IFERROR(IF($A33="","",$I33*'Assumptions'!$B$6),"")</f>
        <v/>
      </c>
      <c r="AD33" s="45">
        <f>IFERROR(IF($A33="","",$AB33+$AC33),"")</f>
        <v/>
      </c>
      <c r="AE33" s="45">
        <f>IFERROR(IF($A33="","",($M33+$N33)*'Assumptions'!$B$7),"")</f>
        <v/>
      </c>
      <c r="AF33" s="45">
        <f>IFERROR(IF($A33="","",($Q33/60)*'Assumptions'!$B$8),"")</f>
        <v/>
      </c>
      <c r="AG33" s="45">
        <f>IFERROR(IF($A33="","",$P33+$AE33+$AF33),"")</f>
        <v/>
      </c>
      <c r="AH33" s="45">
        <f>IFERROR(IF($A33="","",$M33+$O33),"")</f>
        <v/>
      </c>
      <c r="AI33" s="46">
        <f>IFERROR(IF($A33="","",IFERROR($AH33/$W33,0)),"")</f>
        <v/>
      </c>
      <c r="AJ33" s="45">
        <f>IFERROR(IF($A33="","",$W33-$AH33-$AD33+$AG33),"")</f>
        <v/>
      </c>
      <c r="AK33" s="47">
        <f>IFERROR(IF($A33="","",IF(OR($S33="Collected",$S33="Waived",$S33="Uncollectible",$S33="No Charge Due"),"",IF($T33="",$B33+'Assumptions'!$B$9,$T33+'Assumptions'!$B$9))),"")</f>
        <v/>
      </c>
      <c r="AL33" s="48">
        <f>IFERROR(IF($A33="","",IF(OR($S33="Collected",$S33="Waived",$S33="Uncollectible",$S33="No Charge Due"),"Closed",IF($AK33&lt;TODAY(),"Overdue",IF($AK33=TODAY(),"Due","Open")))),"")</f>
        <v/>
      </c>
      <c r="AM33" s="49">
        <f>IFERROR(IF($A33="","",IF(COUNTIF($A$5:$A$504,$A33)&gt;1,"Duplicate reservation ID",IF($C33&lt;=$B33,"Check stay dates",IF($G33&gt;$F33,"Resold nights exceed booked nights",IF($M33+$N33&gt;$AA33+0.01,"Collection exceeds expected amount",IF(AND($S33="Collected",$M33=0),"Collected status has no amount",IF($AJ33&gt;='Assumptions'!$B$10,"High-cost review","OK"))))))),"")</f>
        <v/>
      </c>
    </row>
    <row r="34">
      <c r="A34" s="38" t="n"/>
      <c r="B34" s="39" t="n"/>
      <c r="C34" s="39" t="n"/>
      <c r="D34" s="38" t="n"/>
      <c r="E34" s="38" t="n"/>
      <c r="F34" s="40" t="n"/>
      <c r="G34" s="40" t="n"/>
      <c r="H34" s="41" t="n"/>
      <c r="I34" s="41" t="n"/>
      <c r="J34" s="42" t="n"/>
      <c r="K34" s="42" t="n"/>
      <c r="L34" s="42" t="n"/>
      <c r="M34" s="41" t="n"/>
      <c r="N34" s="41" t="n"/>
      <c r="O34" s="41" t="n"/>
      <c r="P34" s="41" t="n"/>
      <c r="Q34" s="40" t="n"/>
      <c r="R34" s="38" t="n"/>
      <c r="S34" s="38" t="n"/>
      <c r="T34" s="39" t="n"/>
      <c r="U34" s="43" t="n"/>
      <c r="V34" s="44">
        <f>IFERROR(IF($A34="","",MAX($F34-$G34,0)),"")</f>
        <v/>
      </c>
      <c r="W34" s="45">
        <f>IFERROR(IF($A34="","",$H34+$I34),"")</f>
        <v/>
      </c>
      <c r="X34" s="45">
        <f>IFERROR(IF($A34="","",$H34*IF($J34="",'Assumptions'!$B$4,$J34)),"")</f>
        <v/>
      </c>
      <c r="Y34" s="45">
        <f>IFERROR(IF($A34="","",$X34*IF($K34="",'Assumptions'!$B$12,$K34)),"")</f>
        <v/>
      </c>
      <c r="Z34" s="45">
        <f>IFERROR(IF($A34="","",($X34+$Y34)*IF($L34="",'Assumptions'!$B$13,$L34)),"")</f>
        <v/>
      </c>
      <c r="AA34" s="45">
        <f>IFERROR(IF($A34="","",$X34+$Y34+$Z34),"")</f>
        <v/>
      </c>
      <c r="AB34" s="45">
        <f>IFERROR(IF($A34="","",$V34*'Assumptions'!$B$5),"")</f>
        <v/>
      </c>
      <c r="AC34" s="45">
        <f>IFERROR(IF($A34="","",$I34*'Assumptions'!$B$6),"")</f>
        <v/>
      </c>
      <c r="AD34" s="45">
        <f>IFERROR(IF($A34="","",$AB34+$AC34),"")</f>
        <v/>
      </c>
      <c r="AE34" s="45">
        <f>IFERROR(IF($A34="","",($M34+$N34)*'Assumptions'!$B$7),"")</f>
        <v/>
      </c>
      <c r="AF34" s="45">
        <f>IFERROR(IF($A34="","",($Q34/60)*'Assumptions'!$B$8),"")</f>
        <v/>
      </c>
      <c r="AG34" s="45">
        <f>IFERROR(IF($A34="","",$P34+$AE34+$AF34),"")</f>
        <v/>
      </c>
      <c r="AH34" s="45">
        <f>IFERROR(IF($A34="","",$M34+$O34),"")</f>
        <v/>
      </c>
      <c r="AI34" s="46">
        <f>IFERROR(IF($A34="","",IFERROR($AH34/$W34,0)),"")</f>
        <v/>
      </c>
      <c r="AJ34" s="45">
        <f>IFERROR(IF($A34="","",$W34-$AH34-$AD34+$AG34),"")</f>
        <v/>
      </c>
      <c r="AK34" s="47">
        <f>IFERROR(IF($A34="","",IF(OR($S34="Collected",$S34="Waived",$S34="Uncollectible",$S34="No Charge Due"),"",IF($T34="",$B34+'Assumptions'!$B$9,$T34+'Assumptions'!$B$9))),"")</f>
        <v/>
      </c>
      <c r="AL34" s="48">
        <f>IFERROR(IF($A34="","",IF(OR($S34="Collected",$S34="Waived",$S34="Uncollectible",$S34="No Charge Due"),"Closed",IF($AK34&lt;TODAY(),"Overdue",IF($AK34=TODAY(),"Due","Open")))),"")</f>
        <v/>
      </c>
      <c r="AM34" s="49">
        <f>IFERROR(IF($A34="","",IF(COUNTIF($A$5:$A$504,$A34)&gt;1,"Duplicate reservation ID",IF($C34&lt;=$B34,"Check stay dates",IF($G34&gt;$F34,"Resold nights exceed booked nights",IF($M34+$N34&gt;$AA34+0.01,"Collection exceeds expected amount",IF(AND($S34="Collected",$M34=0),"Collected status has no amount",IF($AJ34&gt;='Assumptions'!$B$10,"High-cost review","OK"))))))),"")</f>
        <v/>
      </c>
    </row>
    <row r="35">
      <c r="A35" s="38" t="n"/>
      <c r="B35" s="39" t="n"/>
      <c r="C35" s="39" t="n"/>
      <c r="D35" s="38" t="n"/>
      <c r="E35" s="38" t="n"/>
      <c r="F35" s="40" t="n"/>
      <c r="G35" s="40" t="n"/>
      <c r="H35" s="41" t="n"/>
      <c r="I35" s="41" t="n"/>
      <c r="J35" s="42" t="n"/>
      <c r="K35" s="42" t="n"/>
      <c r="L35" s="42" t="n"/>
      <c r="M35" s="41" t="n"/>
      <c r="N35" s="41" t="n"/>
      <c r="O35" s="41" t="n"/>
      <c r="P35" s="41" t="n"/>
      <c r="Q35" s="40" t="n"/>
      <c r="R35" s="38" t="n"/>
      <c r="S35" s="38" t="n"/>
      <c r="T35" s="39" t="n"/>
      <c r="U35" s="43" t="n"/>
      <c r="V35" s="44">
        <f>IFERROR(IF($A35="","",MAX($F35-$G35,0)),"")</f>
        <v/>
      </c>
      <c r="W35" s="45">
        <f>IFERROR(IF($A35="","",$H35+$I35),"")</f>
        <v/>
      </c>
      <c r="X35" s="45">
        <f>IFERROR(IF($A35="","",$H35*IF($J35="",'Assumptions'!$B$4,$J35)),"")</f>
        <v/>
      </c>
      <c r="Y35" s="45">
        <f>IFERROR(IF($A35="","",$X35*IF($K35="",'Assumptions'!$B$12,$K35)),"")</f>
        <v/>
      </c>
      <c r="Z35" s="45">
        <f>IFERROR(IF($A35="","",($X35+$Y35)*IF($L35="",'Assumptions'!$B$13,$L35)),"")</f>
        <v/>
      </c>
      <c r="AA35" s="45">
        <f>IFERROR(IF($A35="","",$X35+$Y35+$Z35),"")</f>
        <v/>
      </c>
      <c r="AB35" s="45">
        <f>IFERROR(IF($A35="","",$V35*'Assumptions'!$B$5),"")</f>
        <v/>
      </c>
      <c r="AC35" s="45">
        <f>IFERROR(IF($A35="","",$I35*'Assumptions'!$B$6),"")</f>
        <v/>
      </c>
      <c r="AD35" s="45">
        <f>IFERROR(IF($A35="","",$AB35+$AC35),"")</f>
        <v/>
      </c>
      <c r="AE35" s="45">
        <f>IFERROR(IF($A35="","",($M35+$N35)*'Assumptions'!$B$7),"")</f>
        <v/>
      </c>
      <c r="AF35" s="45">
        <f>IFERROR(IF($A35="","",($Q35/60)*'Assumptions'!$B$8),"")</f>
        <v/>
      </c>
      <c r="AG35" s="45">
        <f>IFERROR(IF($A35="","",$P35+$AE35+$AF35),"")</f>
        <v/>
      </c>
      <c r="AH35" s="45">
        <f>IFERROR(IF($A35="","",$M35+$O35),"")</f>
        <v/>
      </c>
      <c r="AI35" s="46">
        <f>IFERROR(IF($A35="","",IFERROR($AH35/$W35,0)),"")</f>
        <v/>
      </c>
      <c r="AJ35" s="45">
        <f>IFERROR(IF($A35="","",$W35-$AH35-$AD35+$AG35),"")</f>
        <v/>
      </c>
      <c r="AK35" s="47">
        <f>IFERROR(IF($A35="","",IF(OR($S35="Collected",$S35="Waived",$S35="Uncollectible",$S35="No Charge Due"),"",IF($T35="",$B35+'Assumptions'!$B$9,$T35+'Assumptions'!$B$9))),"")</f>
        <v/>
      </c>
      <c r="AL35" s="48">
        <f>IFERROR(IF($A35="","",IF(OR($S35="Collected",$S35="Waived",$S35="Uncollectible",$S35="No Charge Due"),"Closed",IF($AK35&lt;TODAY(),"Overdue",IF($AK35=TODAY(),"Due","Open")))),"")</f>
        <v/>
      </c>
      <c r="AM35" s="49">
        <f>IFERROR(IF($A35="","",IF(COUNTIF($A$5:$A$504,$A35)&gt;1,"Duplicate reservation ID",IF($C35&lt;=$B35,"Check stay dates",IF($G35&gt;$F35,"Resold nights exceed booked nights",IF($M35+$N35&gt;$AA35+0.01,"Collection exceeds expected amount",IF(AND($S35="Collected",$M35=0),"Collected status has no amount",IF($AJ35&gt;='Assumptions'!$B$10,"High-cost review","OK"))))))),"")</f>
        <v/>
      </c>
    </row>
    <row r="36">
      <c r="A36" s="38" t="n"/>
      <c r="B36" s="39" t="n"/>
      <c r="C36" s="39" t="n"/>
      <c r="D36" s="38" t="n"/>
      <c r="E36" s="38" t="n"/>
      <c r="F36" s="40" t="n"/>
      <c r="G36" s="40" t="n"/>
      <c r="H36" s="41" t="n"/>
      <c r="I36" s="41" t="n"/>
      <c r="J36" s="42" t="n"/>
      <c r="K36" s="42" t="n"/>
      <c r="L36" s="42" t="n"/>
      <c r="M36" s="41" t="n"/>
      <c r="N36" s="41" t="n"/>
      <c r="O36" s="41" t="n"/>
      <c r="P36" s="41" t="n"/>
      <c r="Q36" s="40" t="n"/>
      <c r="R36" s="38" t="n"/>
      <c r="S36" s="38" t="n"/>
      <c r="T36" s="39" t="n"/>
      <c r="U36" s="43" t="n"/>
      <c r="V36" s="44">
        <f>IFERROR(IF($A36="","",MAX($F36-$G36,0)),"")</f>
        <v/>
      </c>
      <c r="W36" s="45">
        <f>IFERROR(IF($A36="","",$H36+$I36),"")</f>
        <v/>
      </c>
      <c r="X36" s="45">
        <f>IFERROR(IF($A36="","",$H36*IF($J36="",'Assumptions'!$B$4,$J36)),"")</f>
        <v/>
      </c>
      <c r="Y36" s="45">
        <f>IFERROR(IF($A36="","",$X36*IF($K36="",'Assumptions'!$B$12,$K36)),"")</f>
        <v/>
      </c>
      <c r="Z36" s="45">
        <f>IFERROR(IF($A36="","",($X36+$Y36)*IF($L36="",'Assumptions'!$B$13,$L36)),"")</f>
        <v/>
      </c>
      <c r="AA36" s="45">
        <f>IFERROR(IF($A36="","",$X36+$Y36+$Z36),"")</f>
        <v/>
      </c>
      <c r="AB36" s="45">
        <f>IFERROR(IF($A36="","",$V36*'Assumptions'!$B$5),"")</f>
        <v/>
      </c>
      <c r="AC36" s="45">
        <f>IFERROR(IF($A36="","",$I36*'Assumptions'!$B$6),"")</f>
        <v/>
      </c>
      <c r="AD36" s="45">
        <f>IFERROR(IF($A36="","",$AB36+$AC36),"")</f>
        <v/>
      </c>
      <c r="AE36" s="45">
        <f>IFERROR(IF($A36="","",($M36+$N36)*'Assumptions'!$B$7),"")</f>
        <v/>
      </c>
      <c r="AF36" s="45">
        <f>IFERROR(IF($A36="","",($Q36/60)*'Assumptions'!$B$8),"")</f>
        <v/>
      </c>
      <c r="AG36" s="45">
        <f>IFERROR(IF($A36="","",$P36+$AE36+$AF36),"")</f>
        <v/>
      </c>
      <c r="AH36" s="45">
        <f>IFERROR(IF($A36="","",$M36+$O36),"")</f>
        <v/>
      </c>
      <c r="AI36" s="46">
        <f>IFERROR(IF($A36="","",IFERROR($AH36/$W36,0)),"")</f>
        <v/>
      </c>
      <c r="AJ36" s="45">
        <f>IFERROR(IF($A36="","",$W36-$AH36-$AD36+$AG36),"")</f>
        <v/>
      </c>
      <c r="AK36" s="47">
        <f>IFERROR(IF($A36="","",IF(OR($S36="Collected",$S36="Waived",$S36="Uncollectible",$S36="No Charge Due"),"",IF($T36="",$B36+'Assumptions'!$B$9,$T36+'Assumptions'!$B$9))),"")</f>
        <v/>
      </c>
      <c r="AL36" s="48">
        <f>IFERROR(IF($A36="","",IF(OR($S36="Collected",$S36="Waived",$S36="Uncollectible",$S36="No Charge Due"),"Closed",IF($AK36&lt;TODAY(),"Overdue",IF($AK36=TODAY(),"Due","Open")))),"")</f>
        <v/>
      </c>
      <c r="AM36" s="49">
        <f>IFERROR(IF($A36="","",IF(COUNTIF($A$5:$A$504,$A36)&gt;1,"Duplicate reservation ID",IF($C36&lt;=$B36,"Check stay dates",IF($G36&gt;$F36,"Resold nights exceed booked nights",IF($M36+$N36&gt;$AA36+0.01,"Collection exceeds expected amount",IF(AND($S36="Collected",$M36=0),"Collected status has no amount",IF($AJ36&gt;='Assumptions'!$B$10,"High-cost review","OK"))))))),"")</f>
        <v/>
      </c>
    </row>
    <row r="37">
      <c r="A37" s="38" t="n"/>
      <c r="B37" s="39" t="n"/>
      <c r="C37" s="39" t="n"/>
      <c r="D37" s="38" t="n"/>
      <c r="E37" s="38" t="n"/>
      <c r="F37" s="40" t="n"/>
      <c r="G37" s="40" t="n"/>
      <c r="H37" s="41" t="n"/>
      <c r="I37" s="41" t="n"/>
      <c r="J37" s="42" t="n"/>
      <c r="K37" s="42" t="n"/>
      <c r="L37" s="42" t="n"/>
      <c r="M37" s="41" t="n"/>
      <c r="N37" s="41" t="n"/>
      <c r="O37" s="41" t="n"/>
      <c r="P37" s="41" t="n"/>
      <c r="Q37" s="40" t="n"/>
      <c r="R37" s="38" t="n"/>
      <c r="S37" s="38" t="n"/>
      <c r="T37" s="39" t="n"/>
      <c r="U37" s="43" t="n"/>
      <c r="V37" s="44">
        <f>IFERROR(IF($A37="","",MAX($F37-$G37,0)),"")</f>
        <v/>
      </c>
      <c r="W37" s="45">
        <f>IFERROR(IF($A37="","",$H37+$I37),"")</f>
        <v/>
      </c>
      <c r="X37" s="45">
        <f>IFERROR(IF($A37="","",$H37*IF($J37="",'Assumptions'!$B$4,$J37)),"")</f>
        <v/>
      </c>
      <c r="Y37" s="45">
        <f>IFERROR(IF($A37="","",$X37*IF($K37="",'Assumptions'!$B$12,$K37)),"")</f>
        <v/>
      </c>
      <c r="Z37" s="45">
        <f>IFERROR(IF($A37="","",($X37+$Y37)*IF($L37="",'Assumptions'!$B$13,$L37)),"")</f>
        <v/>
      </c>
      <c r="AA37" s="45">
        <f>IFERROR(IF($A37="","",$X37+$Y37+$Z37),"")</f>
        <v/>
      </c>
      <c r="AB37" s="45">
        <f>IFERROR(IF($A37="","",$V37*'Assumptions'!$B$5),"")</f>
        <v/>
      </c>
      <c r="AC37" s="45">
        <f>IFERROR(IF($A37="","",$I37*'Assumptions'!$B$6),"")</f>
        <v/>
      </c>
      <c r="AD37" s="45">
        <f>IFERROR(IF($A37="","",$AB37+$AC37),"")</f>
        <v/>
      </c>
      <c r="AE37" s="45">
        <f>IFERROR(IF($A37="","",($M37+$N37)*'Assumptions'!$B$7),"")</f>
        <v/>
      </c>
      <c r="AF37" s="45">
        <f>IFERROR(IF($A37="","",($Q37/60)*'Assumptions'!$B$8),"")</f>
        <v/>
      </c>
      <c r="AG37" s="45">
        <f>IFERROR(IF($A37="","",$P37+$AE37+$AF37),"")</f>
        <v/>
      </c>
      <c r="AH37" s="45">
        <f>IFERROR(IF($A37="","",$M37+$O37),"")</f>
        <v/>
      </c>
      <c r="AI37" s="46">
        <f>IFERROR(IF($A37="","",IFERROR($AH37/$W37,0)),"")</f>
        <v/>
      </c>
      <c r="AJ37" s="45">
        <f>IFERROR(IF($A37="","",$W37-$AH37-$AD37+$AG37),"")</f>
        <v/>
      </c>
      <c r="AK37" s="47">
        <f>IFERROR(IF($A37="","",IF(OR($S37="Collected",$S37="Waived",$S37="Uncollectible",$S37="No Charge Due"),"",IF($T37="",$B37+'Assumptions'!$B$9,$T37+'Assumptions'!$B$9))),"")</f>
        <v/>
      </c>
      <c r="AL37" s="48">
        <f>IFERROR(IF($A37="","",IF(OR($S37="Collected",$S37="Waived",$S37="Uncollectible",$S37="No Charge Due"),"Closed",IF($AK37&lt;TODAY(),"Overdue",IF($AK37=TODAY(),"Due","Open")))),"")</f>
        <v/>
      </c>
      <c r="AM37" s="49">
        <f>IFERROR(IF($A37="","",IF(COUNTIF($A$5:$A$504,$A37)&gt;1,"Duplicate reservation ID",IF($C37&lt;=$B37,"Check stay dates",IF($G37&gt;$F37,"Resold nights exceed booked nights",IF($M37+$N37&gt;$AA37+0.01,"Collection exceeds expected amount",IF(AND($S37="Collected",$M37=0),"Collected status has no amount",IF($AJ37&gt;='Assumptions'!$B$10,"High-cost review","OK"))))))),"")</f>
        <v/>
      </c>
    </row>
    <row r="38">
      <c r="A38" s="38" t="n"/>
      <c r="B38" s="39" t="n"/>
      <c r="C38" s="39" t="n"/>
      <c r="D38" s="38" t="n"/>
      <c r="E38" s="38" t="n"/>
      <c r="F38" s="40" t="n"/>
      <c r="G38" s="40" t="n"/>
      <c r="H38" s="41" t="n"/>
      <c r="I38" s="41" t="n"/>
      <c r="J38" s="42" t="n"/>
      <c r="K38" s="42" t="n"/>
      <c r="L38" s="42" t="n"/>
      <c r="M38" s="41" t="n"/>
      <c r="N38" s="41" t="n"/>
      <c r="O38" s="41" t="n"/>
      <c r="P38" s="41" t="n"/>
      <c r="Q38" s="40" t="n"/>
      <c r="R38" s="38" t="n"/>
      <c r="S38" s="38" t="n"/>
      <c r="T38" s="39" t="n"/>
      <c r="U38" s="43" t="n"/>
      <c r="V38" s="44">
        <f>IFERROR(IF($A38="","",MAX($F38-$G38,0)),"")</f>
        <v/>
      </c>
      <c r="W38" s="45">
        <f>IFERROR(IF($A38="","",$H38+$I38),"")</f>
        <v/>
      </c>
      <c r="X38" s="45">
        <f>IFERROR(IF($A38="","",$H38*IF($J38="",'Assumptions'!$B$4,$J38)),"")</f>
        <v/>
      </c>
      <c r="Y38" s="45">
        <f>IFERROR(IF($A38="","",$X38*IF($K38="",'Assumptions'!$B$12,$K38)),"")</f>
        <v/>
      </c>
      <c r="Z38" s="45">
        <f>IFERROR(IF($A38="","",($X38+$Y38)*IF($L38="",'Assumptions'!$B$13,$L38)),"")</f>
        <v/>
      </c>
      <c r="AA38" s="45">
        <f>IFERROR(IF($A38="","",$X38+$Y38+$Z38),"")</f>
        <v/>
      </c>
      <c r="AB38" s="45">
        <f>IFERROR(IF($A38="","",$V38*'Assumptions'!$B$5),"")</f>
        <v/>
      </c>
      <c r="AC38" s="45">
        <f>IFERROR(IF($A38="","",$I38*'Assumptions'!$B$6),"")</f>
        <v/>
      </c>
      <c r="AD38" s="45">
        <f>IFERROR(IF($A38="","",$AB38+$AC38),"")</f>
        <v/>
      </c>
      <c r="AE38" s="45">
        <f>IFERROR(IF($A38="","",($M38+$N38)*'Assumptions'!$B$7),"")</f>
        <v/>
      </c>
      <c r="AF38" s="45">
        <f>IFERROR(IF($A38="","",($Q38/60)*'Assumptions'!$B$8),"")</f>
        <v/>
      </c>
      <c r="AG38" s="45">
        <f>IFERROR(IF($A38="","",$P38+$AE38+$AF38),"")</f>
        <v/>
      </c>
      <c r="AH38" s="45">
        <f>IFERROR(IF($A38="","",$M38+$O38),"")</f>
        <v/>
      </c>
      <c r="AI38" s="46">
        <f>IFERROR(IF($A38="","",IFERROR($AH38/$W38,0)),"")</f>
        <v/>
      </c>
      <c r="AJ38" s="45">
        <f>IFERROR(IF($A38="","",$W38-$AH38-$AD38+$AG38),"")</f>
        <v/>
      </c>
      <c r="AK38" s="47">
        <f>IFERROR(IF($A38="","",IF(OR($S38="Collected",$S38="Waived",$S38="Uncollectible",$S38="No Charge Due"),"",IF($T38="",$B38+'Assumptions'!$B$9,$T38+'Assumptions'!$B$9))),"")</f>
        <v/>
      </c>
      <c r="AL38" s="48">
        <f>IFERROR(IF($A38="","",IF(OR($S38="Collected",$S38="Waived",$S38="Uncollectible",$S38="No Charge Due"),"Closed",IF($AK38&lt;TODAY(),"Overdue",IF($AK38=TODAY(),"Due","Open")))),"")</f>
        <v/>
      </c>
      <c r="AM38" s="49">
        <f>IFERROR(IF($A38="","",IF(COUNTIF($A$5:$A$504,$A38)&gt;1,"Duplicate reservation ID",IF($C38&lt;=$B38,"Check stay dates",IF($G38&gt;$F38,"Resold nights exceed booked nights",IF($M38+$N38&gt;$AA38+0.01,"Collection exceeds expected amount",IF(AND($S38="Collected",$M38=0),"Collected status has no amount",IF($AJ38&gt;='Assumptions'!$B$10,"High-cost review","OK"))))))),"")</f>
        <v/>
      </c>
    </row>
    <row r="39">
      <c r="A39" s="38" t="n"/>
      <c r="B39" s="39" t="n"/>
      <c r="C39" s="39" t="n"/>
      <c r="D39" s="38" t="n"/>
      <c r="E39" s="38" t="n"/>
      <c r="F39" s="40" t="n"/>
      <c r="G39" s="40" t="n"/>
      <c r="H39" s="41" t="n"/>
      <c r="I39" s="41" t="n"/>
      <c r="J39" s="42" t="n"/>
      <c r="K39" s="42" t="n"/>
      <c r="L39" s="42" t="n"/>
      <c r="M39" s="41" t="n"/>
      <c r="N39" s="41" t="n"/>
      <c r="O39" s="41" t="n"/>
      <c r="P39" s="41" t="n"/>
      <c r="Q39" s="40" t="n"/>
      <c r="R39" s="38" t="n"/>
      <c r="S39" s="38" t="n"/>
      <c r="T39" s="39" t="n"/>
      <c r="U39" s="43" t="n"/>
      <c r="V39" s="44">
        <f>IFERROR(IF($A39="","",MAX($F39-$G39,0)),"")</f>
        <v/>
      </c>
      <c r="W39" s="45">
        <f>IFERROR(IF($A39="","",$H39+$I39),"")</f>
        <v/>
      </c>
      <c r="X39" s="45">
        <f>IFERROR(IF($A39="","",$H39*IF($J39="",'Assumptions'!$B$4,$J39)),"")</f>
        <v/>
      </c>
      <c r="Y39" s="45">
        <f>IFERROR(IF($A39="","",$X39*IF($K39="",'Assumptions'!$B$12,$K39)),"")</f>
        <v/>
      </c>
      <c r="Z39" s="45">
        <f>IFERROR(IF($A39="","",($X39+$Y39)*IF($L39="",'Assumptions'!$B$13,$L39)),"")</f>
        <v/>
      </c>
      <c r="AA39" s="45">
        <f>IFERROR(IF($A39="","",$X39+$Y39+$Z39),"")</f>
        <v/>
      </c>
      <c r="AB39" s="45">
        <f>IFERROR(IF($A39="","",$V39*'Assumptions'!$B$5),"")</f>
        <v/>
      </c>
      <c r="AC39" s="45">
        <f>IFERROR(IF($A39="","",$I39*'Assumptions'!$B$6),"")</f>
        <v/>
      </c>
      <c r="AD39" s="45">
        <f>IFERROR(IF($A39="","",$AB39+$AC39),"")</f>
        <v/>
      </c>
      <c r="AE39" s="45">
        <f>IFERROR(IF($A39="","",($M39+$N39)*'Assumptions'!$B$7),"")</f>
        <v/>
      </c>
      <c r="AF39" s="45">
        <f>IFERROR(IF($A39="","",($Q39/60)*'Assumptions'!$B$8),"")</f>
        <v/>
      </c>
      <c r="AG39" s="45">
        <f>IFERROR(IF($A39="","",$P39+$AE39+$AF39),"")</f>
        <v/>
      </c>
      <c r="AH39" s="45">
        <f>IFERROR(IF($A39="","",$M39+$O39),"")</f>
        <v/>
      </c>
      <c r="AI39" s="46">
        <f>IFERROR(IF($A39="","",IFERROR($AH39/$W39,0)),"")</f>
        <v/>
      </c>
      <c r="AJ39" s="45">
        <f>IFERROR(IF($A39="","",$W39-$AH39-$AD39+$AG39),"")</f>
        <v/>
      </c>
      <c r="AK39" s="47">
        <f>IFERROR(IF($A39="","",IF(OR($S39="Collected",$S39="Waived",$S39="Uncollectible",$S39="No Charge Due"),"",IF($T39="",$B39+'Assumptions'!$B$9,$T39+'Assumptions'!$B$9))),"")</f>
        <v/>
      </c>
      <c r="AL39" s="48">
        <f>IFERROR(IF($A39="","",IF(OR($S39="Collected",$S39="Waived",$S39="Uncollectible",$S39="No Charge Due"),"Closed",IF($AK39&lt;TODAY(),"Overdue",IF($AK39=TODAY(),"Due","Open")))),"")</f>
        <v/>
      </c>
      <c r="AM39" s="49">
        <f>IFERROR(IF($A39="","",IF(COUNTIF($A$5:$A$504,$A39)&gt;1,"Duplicate reservation ID",IF($C39&lt;=$B39,"Check stay dates",IF($G39&gt;$F39,"Resold nights exceed booked nights",IF($M39+$N39&gt;$AA39+0.01,"Collection exceeds expected amount",IF(AND($S39="Collected",$M39=0),"Collected status has no amount",IF($AJ39&gt;='Assumptions'!$B$10,"High-cost review","OK"))))))),"")</f>
        <v/>
      </c>
    </row>
    <row r="40">
      <c r="A40" s="38" t="n"/>
      <c r="B40" s="39" t="n"/>
      <c r="C40" s="39" t="n"/>
      <c r="D40" s="38" t="n"/>
      <c r="E40" s="38" t="n"/>
      <c r="F40" s="40" t="n"/>
      <c r="G40" s="40" t="n"/>
      <c r="H40" s="41" t="n"/>
      <c r="I40" s="41" t="n"/>
      <c r="J40" s="42" t="n"/>
      <c r="K40" s="42" t="n"/>
      <c r="L40" s="42" t="n"/>
      <c r="M40" s="41" t="n"/>
      <c r="N40" s="41" t="n"/>
      <c r="O40" s="41" t="n"/>
      <c r="P40" s="41" t="n"/>
      <c r="Q40" s="40" t="n"/>
      <c r="R40" s="38" t="n"/>
      <c r="S40" s="38" t="n"/>
      <c r="T40" s="39" t="n"/>
      <c r="U40" s="43" t="n"/>
      <c r="V40" s="44">
        <f>IFERROR(IF($A40="","",MAX($F40-$G40,0)),"")</f>
        <v/>
      </c>
      <c r="W40" s="45">
        <f>IFERROR(IF($A40="","",$H40+$I40),"")</f>
        <v/>
      </c>
      <c r="X40" s="45">
        <f>IFERROR(IF($A40="","",$H40*IF($J40="",'Assumptions'!$B$4,$J40)),"")</f>
        <v/>
      </c>
      <c r="Y40" s="45">
        <f>IFERROR(IF($A40="","",$X40*IF($K40="",'Assumptions'!$B$12,$K40)),"")</f>
        <v/>
      </c>
      <c r="Z40" s="45">
        <f>IFERROR(IF($A40="","",($X40+$Y40)*IF($L40="",'Assumptions'!$B$13,$L40)),"")</f>
        <v/>
      </c>
      <c r="AA40" s="45">
        <f>IFERROR(IF($A40="","",$X40+$Y40+$Z40),"")</f>
        <v/>
      </c>
      <c r="AB40" s="45">
        <f>IFERROR(IF($A40="","",$V40*'Assumptions'!$B$5),"")</f>
        <v/>
      </c>
      <c r="AC40" s="45">
        <f>IFERROR(IF($A40="","",$I40*'Assumptions'!$B$6),"")</f>
        <v/>
      </c>
      <c r="AD40" s="45">
        <f>IFERROR(IF($A40="","",$AB40+$AC40),"")</f>
        <v/>
      </c>
      <c r="AE40" s="45">
        <f>IFERROR(IF($A40="","",($M40+$N40)*'Assumptions'!$B$7),"")</f>
        <v/>
      </c>
      <c r="AF40" s="45">
        <f>IFERROR(IF($A40="","",($Q40/60)*'Assumptions'!$B$8),"")</f>
        <v/>
      </c>
      <c r="AG40" s="45">
        <f>IFERROR(IF($A40="","",$P40+$AE40+$AF40),"")</f>
        <v/>
      </c>
      <c r="AH40" s="45">
        <f>IFERROR(IF($A40="","",$M40+$O40),"")</f>
        <v/>
      </c>
      <c r="AI40" s="46">
        <f>IFERROR(IF($A40="","",IFERROR($AH40/$W40,0)),"")</f>
        <v/>
      </c>
      <c r="AJ40" s="45">
        <f>IFERROR(IF($A40="","",$W40-$AH40-$AD40+$AG40),"")</f>
        <v/>
      </c>
      <c r="AK40" s="47">
        <f>IFERROR(IF($A40="","",IF(OR($S40="Collected",$S40="Waived",$S40="Uncollectible",$S40="No Charge Due"),"",IF($T40="",$B40+'Assumptions'!$B$9,$T40+'Assumptions'!$B$9))),"")</f>
        <v/>
      </c>
      <c r="AL40" s="48">
        <f>IFERROR(IF($A40="","",IF(OR($S40="Collected",$S40="Waived",$S40="Uncollectible",$S40="No Charge Due"),"Closed",IF($AK40&lt;TODAY(),"Overdue",IF($AK40=TODAY(),"Due","Open")))),"")</f>
        <v/>
      </c>
      <c r="AM40" s="49">
        <f>IFERROR(IF($A40="","",IF(COUNTIF($A$5:$A$504,$A40)&gt;1,"Duplicate reservation ID",IF($C40&lt;=$B40,"Check stay dates",IF($G40&gt;$F40,"Resold nights exceed booked nights",IF($M40+$N40&gt;$AA40+0.01,"Collection exceeds expected amount",IF(AND($S40="Collected",$M40=0),"Collected status has no amount",IF($AJ40&gt;='Assumptions'!$B$10,"High-cost review","OK"))))))),"")</f>
        <v/>
      </c>
    </row>
    <row r="41">
      <c r="A41" s="38" t="n"/>
      <c r="B41" s="39" t="n"/>
      <c r="C41" s="39" t="n"/>
      <c r="D41" s="38" t="n"/>
      <c r="E41" s="38" t="n"/>
      <c r="F41" s="40" t="n"/>
      <c r="G41" s="40" t="n"/>
      <c r="H41" s="41" t="n"/>
      <c r="I41" s="41" t="n"/>
      <c r="J41" s="42" t="n"/>
      <c r="K41" s="42" t="n"/>
      <c r="L41" s="42" t="n"/>
      <c r="M41" s="41" t="n"/>
      <c r="N41" s="41" t="n"/>
      <c r="O41" s="41" t="n"/>
      <c r="P41" s="41" t="n"/>
      <c r="Q41" s="40" t="n"/>
      <c r="R41" s="38" t="n"/>
      <c r="S41" s="38" t="n"/>
      <c r="T41" s="39" t="n"/>
      <c r="U41" s="43" t="n"/>
      <c r="V41" s="44">
        <f>IFERROR(IF($A41="","",MAX($F41-$G41,0)),"")</f>
        <v/>
      </c>
      <c r="W41" s="45">
        <f>IFERROR(IF($A41="","",$H41+$I41),"")</f>
        <v/>
      </c>
      <c r="X41" s="45">
        <f>IFERROR(IF($A41="","",$H41*IF($J41="",'Assumptions'!$B$4,$J41)),"")</f>
        <v/>
      </c>
      <c r="Y41" s="45">
        <f>IFERROR(IF($A41="","",$X41*IF($K41="",'Assumptions'!$B$12,$K41)),"")</f>
        <v/>
      </c>
      <c r="Z41" s="45">
        <f>IFERROR(IF($A41="","",($X41+$Y41)*IF($L41="",'Assumptions'!$B$13,$L41)),"")</f>
        <v/>
      </c>
      <c r="AA41" s="45">
        <f>IFERROR(IF($A41="","",$X41+$Y41+$Z41),"")</f>
        <v/>
      </c>
      <c r="AB41" s="45">
        <f>IFERROR(IF($A41="","",$V41*'Assumptions'!$B$5),"")</f>
        <v/>
      </c>
      <c r="AC41" s="45">
        <f>IFERROR(IF($A41="","",$I41*'Assumptions'!$B$6),"")</f>
        <v/>
      </c>
      <c r="AD41" s="45">
        <f>IFERROR(IF($A41="","",$AB41+$AC41),"")</f>
        <v/>
      </c>
      <c r="AE41" s="45">
        <f>IFERROR(IF($A41="","",($M41+$N41)*'Assumptions'!$B$7),"")</f>
        <v/>
      </c>
      <c r="AF41" s="45">
        <f>IFERROR(IF($A41="","",($Q41/60)*'Assumptions'!$B$8),"")</f>
        <v/>
      </c>
      <c r="AG41" s="45">
        <f>IFERROR(IF($A41="","",$P41+$AE41+$AF41),"")</f>
        <v/>
      </c>
      <c r="AH41" s="45">
        <f>IFERROR(IF($A41="","",$M41+$O41),"")</f>
        <v/>
      </c>
      <c r="AI41" s="46">
        <f>IFERROR(IF($A41="","",IFERROR($AH41/$W41,0)),"")</f>
        <v/>
      </c>
      <c r="AJ41" s="45">
        <f>IFERROR(IF($A41="","",$W41-$AH41-$AD41+$AG41),"")</f>
        <v/>
      </c>
      <c r="AK41" s="47">
        <f>IFERROR(IF($A41="","",IF(OR($S41="Collected",$S41="Waived",$S41="Uncollectible",$S41="No Charge Due"),"",IF($T41="",$B41+'Assumptions'!$B$9,$T41+'Assumptions'!$B$9))),"")</f>
        <v/>
      </c>
      <c r="AL41" s="48">
        <f>IFERROR(IF($A41="","",IF(OR($S41="Collected",$S41="Waived",$S41="Uncollectible",$S41="No Charge Due"),"Closed",IF($AK41&lt;TODAY(),"Overdue",IF($AK41=TODAY(),"Due","Open")))),"")</f>
        <v/>
      </c>
      <c r="AM41" s="49">
        <f>IFERROR(IF($A41="","",IF(COUNTIF($A$5:$A$504,$A41)&gt;1,"Duplicate reservation ID",IF($C41&lt;=$B41,"Check stay dates",IF($G41&gt;$F41,"Resold nights exceed booked nights",IF($M41+$N41&gt;$AA41+0.01,"Collection exceeds expected amount",IF(AND($S41="Collected",$M41=0),"Collected status has no amount",IF($AJ41&gt;='Assumptions'!$B$10,"High-cost review","OK"))))))),"")</f>
        <v/>
      </c>
    </row>
    <row r="42">
      <c r="A42" s="38" t="n"/>
      <c r="B42" s="39" t="n"/>
      <c r="C42" s="39" t="n"/>
      <c r="D42" s="38" t="n"/>
      <c r="E42" s="38" t="n"/>
      <c r="F42" s="40" t="n"/>
      <c r="G42" s="40" t="n"/>
      <c r="H42" s="41" t="n"/>
      <c r="I42" s="41" t="n"/>
      <c r="J42" s="42" t="n"/>
      <c r="K42" s="42" t="n"/>
      <c r="L42" s="42" t="n"/>
      <c r="M42" s="41" t="n"/>
      <c r="N42" s="41" t="n"/>
      <c r="O42" s="41" t="n"/>
      <c r="P42" s="41" t="n"/>
      <c r="Q42" s="40" t="n"/>
      <c r="R42" s="38" t="n"/>
      <c r="S42" s="38" t="n"/>
      <c r="T42" s="39" t="n"/>
      <c r="U42" s="43" t="n"/>
      <c r="V42" s="44">
        <f>IFERROR(IF($A42="","",MAX($F42-$G42,0)),"")</f>
        <v/>
      </c>
      <c r="W42" s="45">
        <f>IFERROR(IF($A42="","",$H42+$I42),"")</f>
        <v/>
      </c>
      <c r="X42" s="45">
        <f>IFERROR(IF($A42="","",$H42*IF($J42="",'Assumptions'!$B$4,$J42)),"")</f>
        <v/>
      </c>
      <c r="Y42" s="45">
        <f>IFERROR(IF($A42="","",$X42*IF($K42="",'Assumptions'!$B$12,$K42)),"")</f>
        <v/>
      </c>
      <c r="Z42" s="45">
        <f>IFERROR(IF($A42="","",($X42+$Y42)*IF($L42="",'Assumptions'!$B$13,$L42)),"")</f>
        <v/>
      </c>
      <c r="AA42" s="45">
        <f>IFERROR(IF($A42="","",$X42+$Y42+$Z42),"")</f>
        <v/>
      </c>
      <c r="AB42" s="45">
        <f>IFERROR(IF($A42="","",$V42*'Assumptions'!$B$5),"")</f>
        <v/>
      </c>
      <c r="AC42" s="45">
        <f>IFERROR(IF($A42="","",$I42*'Assumptions'!$B$6),"")</f>
        <v/>
      </c>
      <c r="AD42" s="45">
        <f>IFERROR(IF($A42="","",$AB42+$AC42),"")</f>
        <v/>
      </c>
      <c r="AE42" s="45">
        <f>IFERROR(IF($A42="","",($M42+$N42)*'Assumptions'!$B$7),"")</f>
        <v/>
      </c>
      <c r="AF42" s="45">
        <f>IFERROR(IF($A42="","",($Q42/60)*'Assumptions'!$B$8),"")</f>
        <v/>
      </c>
      <c r="AG42" s="45">
        <f>IFERROR(IF($A42="","",$P42+$AE42+$AF42),"")</f>
        <v/>
      </c>
      <c r="AH42" s="45">
        <f>IFERROR(IF($A42="","",$M42+$O42),"")</f>
        <v/>
      </c>
      <c r="AI42" s="46">
        <f>IFERROR(IF($A42="","",IFERROR($AH42/$W42,0)),"")</f>
        <v/>
      </c>
      <c r="AJ42" s="45">
        <f>IFERROR(IF($A42="","",$W42-$AH42-$AD42+$AG42),"")</f>
        <v/>
      </c>
      <c r="AK42" s="47">
        <f>IFERROR(IF($A42="","",IF(OR($S42="Collected",$S42="Waived",$S42="Uncollectible",$S42="No Charge Due"),"",IF($T42="",$B42+'Assumptions'!$B$9,$T42+'Assumptions'!$B$9))),"")</f>
        <v/>
      </c>
      <c r="AL42" s="48">
        <f>IFERROR(IF($A42="","",IF(OR($S42="Collected",$S42="Waived",$S42="Uncollectible",$S42="No Charge Due"),"Closed",IF($AK42&lt;TODAY(),"Overdue",IF($AK42=TODAY(),"Due","Open")))),"")</f>
        <v/>
      </c>
      <c r="AM42" s="49">
        <f>IFERROR(IF($A42="","",IF(COUNTIF($A$5:$A$504,$A42)&gt;1,"Duplicate reservation ID",IF($C42&lt;=$B42,"Check stay dates",IF($G42&gt;$F42,"Resold nights exceed booked nights",IF($M42+$N42&gt;$AA42+0.01,"Collection exceeds expected amount",IF(AND($S42="Collected",$M42=0),"Collected status has no amount",IF($AJ42&gt;='Assumptions'!$B$10,"High-cost review","OK"))))))),"")</f>
        <v/>
      </c>
    </row>
    <row r="43">
      <c r="A43" s="38" t="n"/>
      <c r="B43" s="39" t="n"/>
      <c r="C43" s="39" t="n"/>
      <c r="D43" s="38" t="n"/>
      <c r="E43" s="38" t="n"/>
      <c r="F43" s="40" t="n"/>
      <c r="G43" s="40" t="n"/>
      <c r="H43" s="41" t="n"/>
      <c r="I43" s="41" t="n"/>
      <c r="J43" s="42" t="n"/>
      <c r="K43" s="42" t="n"/>
      <c r="L43" s="42" t="n"/>
      <c r="M43" s="41" t="n"/>
      <c r="N43" s="41" t="n"/>
      <c r="O43" s="41" t="n"/>
      <c r="P43" s="41" t="n"/>
      <c r="Q43" s="40" t="n"/>
      <c r="R43" s="38" t="n"/>
      <c r="S43" s="38" t="n"/>
      <c r="T43" s="39" t="n"/>
      <c r="U43" s="43" t="n"/>
      <c r="V43" s="44">
        <f>IFERROR(IF($A43="","",MAX($F43-$G43,0)),"")</f>
        <v/>
      </c>
      <c r="W43" s="45">
        <f>IFERROR(IF($A43="","",$H43+$I43),"")</f>
        <v/>
      </c>
      <c r="X43" s="45">
        <f>IFERROR(IF($A43="","",$H43*IF($J43="",'Assumptions'!$B$4,$J43)),"")</f>
        <v/>
      </c>
      <c r="Y43" s="45">
        <f>IFERROR(IF($A43="","",$X43*IF($K43="",'Assumptions'!$B$12,$K43)),"")</f>
        <v/>
      </c>
      <c r="Z43" s="45">
        <f>IFERROR(IF($A43="","",($X43+$Y43)*IF($L43="",'Assumptions'!$B$13,$L43)),"")</f>
        <v/>
      </c>
      <c r="AA43" s="45">
        <f>IFERROR(IF($A43="","",$X43+$Y43+$Z43),"")</f>
        <v/>
      </c>
      <c r="AB43" s="45">
        <f>IFERROR(IF($A43="","",$V43*'Assumptions'!$B$5),"")</f>
        <v/>
      </c>
      <c r="AC43" s="45">
        <f>IFERROR(IF($A43="","",$I43*'Assumptions'!$B$6),"")</f>
        <v/>
      </c>
      <c r="AD43" s="45">
        <f>IFERROR(IF($A43="","",$AB43+$AC43),"")</f>
        <v/>
      </c>
      <c r="AE43" s="45">
        <f>IFERROR(IF($A43="","",($M43+$N43)*'Assumptions'!$B$7),"")</f>
        <v/>
      </c>
      <c r="AF43" s="45">
        <f>IFERROR(IF($A43="","",($Q43/60)*'Assumptions'!$B$8),"")</f>
        <v/>
      </c>
      <c r="AG43" s="45">
        <f>IFERROR(IF($A43="","",$P43+$AE43+$AF43),"")</f>
        <v/>
      </c>
      <c r="AH43" s="45">
        <f>IFERROR(IF($A43="","",$M43+$O43),"")</f>
        <v/>
      </c>
      <c r="AI43" s="46">
        <f>IFERROR(IF($A43="","",IFERROR($AH43/$W43,0)),"")</f>
        <v/>
      </c>
      <c r="AJ43" s="45">
        <f>IFERROR(IF($A43="","",$W43-$AH43-$AD43+$AG43),"")</f>
        <v/>
      </c>
      <c r="AK43" s="47">
        <f>IFERROR(IF($A43="","",IF(OR($S43="Collected",$S43="Waived",$S43="Uncollectible",$S43="No Charge Due"),"",IF($T43="",$B43+'Assumptions'!$B$9,$T43+'Assumptions'!$B$9))),"")</f>
        <v/>
      </c>
      <c r="AL43" s="48">
        <f>IFERROR(IF($A43="","",IF(OR($S43="Collected",$S43="Waived",$S43="Uncollectible",$S43="No Charge Due"),"Closed",IF($AK43&lt;TODAY(),"Overdue",IF($AK43=TODAY(),"Due","Open")))),"")</f>
        <v/>
      </c>
      <c r="AM43" s="49">
        <f>IFERROR(IF($A43="","",IF(COUNTIF($A$5:$A$504,$A43)&gt;1,"Duplicate reservation ID",IF($C43&lt;=$B43,"Check stay dates",IF($G43&gt;$F43,"Resold nights exceed booked nights",IF($M43+$N43&gt;$AA43+0.01,"Collection exceeds expected amount",IF(AND($S43="Collected",$M43=0),"Collected status has no amount",IF($AJ43&gt;='Assumptions'!$B$10,"High-cost review","OK"))))))),"")</f>
        <v/>
      </c>
    </row>
    <row r="44">
      <c r="A44" s="38" t="n"/>
      <c r="B44" s="39" t="n"/>
      <c r="C44" s="39" t="n"/>
      <c r="D44" s="38" t="n"/>
      <c r="E44" s="38" t="n"/>
      <c r="F44" s="40" t="n"/>
      <c r="G44" s="40" t="n"/>
      <c r="H44" s="41" t="n"/>
      <c r="I44" s="41" t="n"/>
      <c r="J44" s="42" t="n"/>
      <c r="K44" s="42" t="n"/>
      <c r="L44" s="42" t="n"/>
      <c r="M44" s="41" t="n"/>
      <c r="N44" s="41" t="n"/>
      <c r="O44" s="41" t="n"/>
      <c r="P44" s="41" t="n"/>
      <c r="Q44" s="40" t="n"/>
      <c r="R44" s="38" t="n"/>
      <c r="S44" s="38" t="n"/>
      <c r="T44" s="39" t="n"/>
      <c r="U44" s="43" t="n"/>
      <c r="V44" s="44">
        <f>IFERROR(IF($A44="","",MAX($F44-$G44,0)),"")</f>
        <v/>
      </c>
      <c r="W44" s="45">
        <f>IFERROR(IF($A44="","",$H44+$I44),"")</f>
        <v/>
      </c>
      <c r="X44" s="45">
        <f>IFERROR(IF($A44="","",$H44*IF($J44="",'Assumptions'!$B$4,$J44)),"")</f>
        <v/>
      </c>
      <c r="Y44" s="45">
        <f>IFERROR(IF($A44="","",$X44*IF($K44="",'Assumptions'!$B$12,$K44)),"")</f>
        <v/>
      </c>
      <c r="Z44" s="45">
        <f>IFERROR(IF($A44="","",($X44+$Y44)*IF($L44="",'Assumptions'!$B$13,$L44)),"")</f>
        <v/>
      </c>
      <c r="AA44" s="45">
        <f>IFERROR(IF($A44="","",$X44+$Y44+$Z44),"")</f>
        <v/>
      </c>
      <c r="AB44" s="45">
        <f>IFERROR(IF($A44="","",$V44*'Assumptions'!$B$5),"")</f>
        <v/>
      </c>
      <c r="AC44" s="45">
        <f>IFERROR(IF($A44="","",$I44*'Assumptions'!$B$6),"")</f>
        <v/>
      </c>
      <c r="AD44" s="45">
        <f>IFERROR(IF($A44="","",$AB44+$AC44),"")</f>
        <v/>
      </c>
      <c r="AE44" s="45">
        <f>IFERROR(IF($A44="","",($M44+$N44)*'Assumptions'!$B$7),"")</f>
        <v/>
      </c>
      <c r="AF44" s="45">
        <f>IFERROR(IF($A44="","",($Q44/60)*'Assumptions'!$B$8),"")</f>
        <v/>
      </c>
      <c r="AG44" s="45">
        <f>IFERROR(IF($A44="","",$P44+$AE44+$AF44),"")</f>
        <v/>
      </c>
      <c r="AH44" s="45">
        <f>IFERROR(IF($A44="","",$M44+$O44),"")</f>
        <v/>
      </c>
      <c r="AI44" s="46">
        <f>IFERROR(IF($A44="","",IFERROR($AH44/$W44,0)),"")</f>
        <v/>
      </c>
      <c r="AJ44" s="45">
        <f>IFERROR(IF($A44="","",$W44-$AH44-$AD44+$AG44),"")</f>
        <v/>
      </c>
      <c r="AK44" s="47">
        <f>IFERROR(IF($A44="","",IF(OR($S44="Collected",$S44="Waived",$S44="Uncollectible",$S44="No Charge Due"),"",IF($T44="",$B44+'Assumptions'!$B$9,$T44+'Assumptions'!$B$9))),"")</f>
        <v/>
      </c>
      <c r="AL44" s="48">
        <f>IFERROR(IF($A44="","",IF(OR($S44="Collected",$S44="Waived",$S44="Uncollectible",$S44="No Charge Due"),"Closed",IF($AK44&lt;TODAY(),"Overdue",IF($AK44=TODAY(),"Due","Open")))),"")</f>
        <v/>
      </c>
      <c r="AM44" s="49">
        <f>IFERROR(IF($A44="","",IF(COUNTIF($A$5:$A$504,$A44)&gt;1,"Duplicate reservation ID",IF($C44&lt;=$B44,"Check stay dates",IF($G44&gt;$F44,"Resold nights exceed booked nights",IF($M44+$N44&gt;$AA44+0.01,"Collection exceeds expected amount",IF(AND($S44="Collected",$M44=0),"Collected status has no amount",IF($AJ44&gt;='Assumptions'!$B$10,"High-cost review","OK"))))))),"")</f>
        <v/>
      </c>
    </row>
    <row r="45">
      <c r="A45" s="38" t="n"/>
      <c r="B45" s="39" t="n"/>
      <c r="C45" s="39" t="n"/>
      <c r="D45" s="38" t="n"/>
      <c r="E45" s="38" t="n"/>
      <c r="F45" s="40" t="n"/>
      <c r="G45" s="40" t="n"/>
      <c r="H45" s="41" t="n"/>
      <c r="I45" s="41" t="n"/>
      <c r="J45" s="42" t="n"/>
      <c r="K45" s="42" t="n"/>
      <c r="L45" s="42" t="n"/>
      <c r="M45" s="41" t="n"/>
      <c r="N45" s="41" t="n"/>
      <c r="O45" s="41" t="n"/>
      <c r="P45" s="41" t="n"/>
      <c r="Q45" s="40" t="n"/>
      <c r="R45" s="38" t="n"/>
      <c r="S45" s="38" t="n"/>
      <c r="T45" s="39" t="n"/>
      <c r="U45" s="43" t="n"/>
      <c r="V45" s="44">
        <f>IFERROR(IF($A45="","",MAX($F45-$G45,0)),"")</f>
        <v/>
      </c>
      <c r="W45" s="45">
        <f>IFERROR(IF($A45="","",$H45+$I45),"")</f>
        <v/>
      </c>
      <c r="X45" s="45">
        <f>IFERROR(IF($A45="","",$H45*IF($J45="",'Assumptions'!$B$4,$J45)),"")</f>
        <v/>
      </c>
      <c r="Y45" s="45">
        <f>IFERROR(IF($A45="","",$X45*IF($K45="",'Assumptions'!$B$12,$K45)),"")</f>
        <v/>
      </c>
      <c r="Z45" s="45">
        <f>IFERROR(IF($A45="","",($X45+$Y45)*IF($L45="",'Assumptions'!$B$13,$L45)),"")</f>
        <v/>
      </c>
      <c r="AA45" s="45">
        <f>IFERROR(IF($A45="","",$X45+$Y45+$Z45),"")</f>
        <v/>
      </c>
      <c r="AB45" s="45">
        <f>IFERROR(IF($A45="","",$V45*'Assumptions'!$B$5),"")</f>
        <v/>
      </c>
      <c r="AC45" s="45">
        <f>IFERROR(IF($A45="","",$I45*'Assumptions'!$B$6),"")</f>
        <v/>
      </c>
      <c r="AD45" s="45">
        <f>IFERROR(IF($A45="","",$AB45+$AC45),"")</f>
        <v/>
      </c>
      <c r="AE45" s="45">
        <f>IFERROR(IF($A45="","",($M45+$N45)*'Assumptions'!$B$7),"")</f>
        <v/>
      </c>
      <c r="AF45" s="45">
        <f>IFERROR(IF($A45="","",($Q45/60)*'Assumptions'!$B$8),"")</f>
        <v/>
      </c>
      <c r="AG45" s="45">
        <f>IFERROR(IF($A45="","",$P45+$AE45+$AF45),"")</f>
        <v/>
      </c>
      <c r="AH45" s="45">
        <f>IFERROR(IF($A45="","",$M45+$O45),"")</f>
        <v/>
      </c>
      <c r="AI45" s="46">
        <f>IFERROR(IF($A45="","",IFERROR($AH45/$W45,0)),"")</f>
        <v/>
      </c>
      <c r="AJ45" s="45">
        <f>IFERROR(IF($A45="","",$W45-$AH45-$AD45+$AG45),"")</f>
        <v/>
      </c>
      <c r="AK45" s="47">
        <f>IFERROR(IF($A45="","",IF(OR($S45="Collected",$S45="Waived",$S45="Uncollectible",$S45="No Charge Due"),"",IF($T45="",$B45+'Assumptions'!$B$9,$T45+'Assumptions'!$B$9))),"")</f>
        <v/>
      </c>
      <c r="AL45" s="48">
        <f>IFERROR(IF($A45="","",IF(OR($S45="Collected",$S45="Waived",$S45="Uncollectible",$S45="No Charge Due"),"Closed",IF($AK45&lt;TODAY(),"Overdue",IF($AK45=TODAY(),"Due","Open")))),"")</f>
        <v/>
      </c>
      <c r="AM45" s="49">
        <f>IFERROR(IF($A45="","",IF(COUNTIF($A$5:$A$504,$A45)&gt;1,"Duplicate reservation ID",IF($C45&lt;=$B45,"Check stay dates",IF($G45&gt;$F45,"Resold nights exceed booked nights",IF($M45+$N45&gt;$AA45+0.01,"Collection exceeds expected amount",IF(AND($S45="Collected",$M45=0),"Collected status has no amount",IF($AJ45&gt;='Assumptions'!$B$10,"High-cost review","OK"))))))),"")</f>
        <v/>
      </c>
    </row>
    <row r="46">
      <c r="A46" s="38" t="n"/>
      <c r="B46" s="39" t="n"/>
      <c r="C46" s="39" t="n"/>
      <c r="D46" s="38" t="n"/>
      <c r="E46" s="38" t="n"/>
      <c r="F46" s="40" t="n"/>
      <c r="G46" s="40" t="n"/>
      <c r="H46" s="41" t="n"/>
      <c r="I46" s="41" t="n"/>
      <c r="J46" s="42" t="n"/>
      <c r="K46" s="42" t="n"/>
      <c r="L46" s="42" t="n"/>
      <c r="M46" s="41" t="n"/>
      <c r="N46" s="41" t="n"/>
      <c r="O46" s="41" t="n"/>
      <c r="P46" s="41" t="n"/>
      <c r="Q46" s="40" t="n"/>
      <c r="R46" s="38" t="n"/>
      <c r="S46" s="38" t="n"/>
      <c r="T46" s="39" t="n"/>
      <c r="U46" s="43" t="n"/>
      <c r="V46" s="44">
        <f>IFERROR(IF($A46="","",MAX($F46-$G46,0)),"")</f>
        <v/>
      </c>
      <c r="W46" s="45">
        <f>IFERROR(IF($A46="","",$H46+$I46),"")</f>
        <v/>
      </c>
      <c r="X46" s="45">
        <f>IFERROR(IF($A46="","",$H46*IF($J46="",'Assumptions'!$B$4,$J46)),"")</f>
        <v/>
      </c>
      <c r="Y46" s="45">
        <f>IFERROR(IF($A46="","",$X46*IF($K46="",'Assumptions'!$B$12,$K46)),"")</f>
        <v/>
      </c>
      <c r="Z46" s="45">
        <f>IFERROR(IF($A46="","",($X46+$Y46)*IF($L46="",'Assumptions'!$B$13,$L46)),"")</f>
        <v/>
      </c>
      <c r="AA46" s="45">
        <f>IFERROR(IF($A46="","",$X46+$Y46+$Z46),"")</f>
        <v/>
      </c>
      <c r="AB46" s="45">
        <f>IFERROR(IF($A46="","",$V46*'Assumptions'!$B$5),"")</f>
        <v/>
      </c>
      <c r="AC46" s="45">
        <f>IFERROR(IF($A46="","",$I46*'Assumptions'!$B$6),"")</f>
        <v/>
      </c>
      <c r="AD46" s="45">
        <f>IFERROR(IF($A46="","",$AB46+$AC46),"")</f>
        <v/>
      </c>
      <c r="AE46" s="45">
        <f>IFERROR(IF($A46="","",($M46+$N46)*'Assumptions'!$B$7),"")</f>
        <v/>
      </c>
      <c r="AF46" s="45">
        <f>IFERROR(IF($A46="","",($Q46/60)*'Assumptions'!$B$8),"")</f>
        <v/>
      </c>
      <c r="AG46" s="45">
        <f>IFERROR(IF($A46="","",$P46+$AE46+$AF46),"")</f>
        <v/>
      </c>
      <c r="AH46" s="45">
        <f>IFERROR(IF($A46="","",$M46+$O46),"")</f>
        <v/>
      </c>
      <c r="AI46" s="46">
        <f>IFERROR(IF($A46="","",IFERROR($AH46/$W46,0)),"")</f>
        <v/>
      </c>
      <c r="AJ46" s="45">
        <f>IFERROR(IF($A46="","",$W46-$AH46-$AD46+$AG46),"")</f>
        <v/>
      </c>
      <c r="AK46" s="47">
        <f>IFERROR(IF($A46="","",IF(OR($S46="Collected",$S46="Waived",$S46="Uncollectible",$S46="No Charge Due"),"",IF($T46="",$B46+'Assumptions'!$B$9,$T46+'Assumptions'!$B$9))),"")</f>
        <v/>
      </c>
      <c r="AL46" s="48">
        <f>IFERROR(IF($A46="","",IF(OR($S46="Collected",$S46="Waived",$S46="Uncollectible",$S46="No Charge Due"),"Closed",IF($AK46&lt;TODAY(),"Overdue",IF($AK46=TODAY(),"Due","Open")))),"")</f>
        <v/>
      </c>
      <c r="AM46" s="49">
        <f>IFERROR(IF($A46="","",IF(COUNTIF($A$5:$A$504,$A46)&gt;1,"Duplicate reservation ID",IF($C46&lt;=$B46,"Check stay dates",IF($G46&gt;$F46,"Resold nights exceed booked nights",IF($M46+$N46&gt;$AA46+0.01,"Collection exceeds expected amount",IF(AND($S46="Collected",$M46=0),"Collected status has no amount",IF($AJ46&gt;='Assumptions'!$B$10,"High-cost review","OK"))))))),"")</f>
        <v/>
      </c>
    </row>
    <row r="47">
      <c r="A47" s="38" t="n"/>
      <c r="B47" s="39" t="n"/>
      <c r="C47" s="39" t="n"/>
      <c r="D47" s="38" t="n"/>
      <c r="E47" s="38" t="n"/>
      <c r="F47" s="40" t="n"/>
      <c r="G47" s="40" t="n"/>
      <c r="H47" s="41" t="n"/>
      <c r="I47" s="41" t="n"/>
      <c r="J47" s="42" t="n"/>
      <c r="K47" s="42" t="n"/>
      <c r="L47" s="42" t="n"/>
      <c r="M47" s="41" t="n"/>
      <c r="N47" s="41" t="n"/>
      <c r="O47" s="41" t="n"/>
      <c r="P47" s="41" t="n"/>
      <c r="Q47" s="40" t="n"/>
      <c r="R47" s="38" t="n"/>
      <c r="S47" s="38" t="n"/>
      <c r="T47" s="39" t="n"/>
      <c r="U47" s="43" t="n"/>
      <c r="V47" s="44">
        <f>IFERROR(IF($A47="","",MAX($F47-$G47,0)),"")</f>
        <v/>
      </c>
      <c r="W47" s="45">
        <f>IFERROR(IF($A47="","",$H47+$I47),"")</f>
        <v/>
      </c>
      <c r="X47" s="45">
        <f>IFERROR(IF($A47="","",$H47*IF($J47="",'Assumptions'!$B$4,$J47)),"")</f>
        <v/>
      </c>
      <c r="Y47" s="45">
        <f>IFERROR(IF($A47="","",$X47*IF($K47="",'Assumptions'!$B$12,$K47)),"")</f>
        <v/>
      </c>
      <c r="Z47" s="45">
        <f>IFERROR(IF($A47="","",($X47+$Y47)*IF($L47="",'Assumptions'!$B$13,$L47)),"")</f>
        <v/>
      </c>
      <c r="AA47" s="45">
        <f>IFERROR(IF($A47="","",$X47+$Y47+$Z47),"")</f>
        <v/>
      </c>
      <c r="AB47" s="45">
        <f>IFERROR(IF($A47="","",$V47*'Assumptions'!$B$5),"")</f>
        <v/>
      </c>
      <c r="AC47" s="45">
        <f>IFERROR(IF($A47="","",$I47*'Assumptions'!$B$6),"")</f>
        <v/>
      </c>
      <c r="AD47" s="45">
        <f>IFERROR(IF($A47="","",$AB47+$AC47),"")</f>
        <v/>
      </c>
      <c r="AE47" s="45">
        <f>IFERROR(IF($A47="","",($M47+$N47)*'Assumptions'!$B$7),"")</f>
        <v/>
      </c>
      <c r="AF47" s="45">
        <f>IFERROR(IF($A47="","",($Q47/60)*'Assumptions'!$B$8),"")</f>
        <v/>
      </c>
      <c r="AG47" s="45">
        <f>IFERROR(IF($A47="","",$P47+$AE47+$AF47),"")</f>
        <v/>
      </c>
      <c r="AH47" s="45">
        <f>IFERROR(IF($A47="","",$M47+$O47),"")</f>
        <v/>
      </c>
      <c r="AI47" s="46">
        <f>IFERROR(IF($A47="","",IFERROR($AH47/$W47,0)),"")</f>
        <v/>
      </c>
      <c r="AJ47" s="45">
        <f>IFERROR(IF($A47="","",$W47-$AH47-$AD47+$AG47),"")</f>
        <v/>
      </c>
      <c r="AK47" s="47">
        <f>IFERROR(IF($A47="","",IF(OR($S47="Collected",$S47="Waived",$S47="Uncollectible",$S47="No Charge Due"),"",IF($T47="",$B47+'Assumptions'!$B$9,$T47+'Assumptions'!$B$9))),"")</f>
        <v/>
      </c>
      <c r="AL47" s="48">
        <f>IFERROR(IF($A47="","",IF(OR($S47="Collected",$S47="Waived",$S47="Uncollectible",$S47="No Charge Due"),"Closed",IF($AK47&lt;TODAY(),"Overdue",IF($AK47=TODAY(),"Due","Open")))),"")</f>
        <v/>
      </c>
      <c r="AM47" s="49">
        <f>IFERROR(IF($A47="","",IF(COUNTIF($A$5:$A$504,$A47)&gt;1,"Duplicate reservation ID",IF($C47&lt;=$B47,"Check stay dates",IF($G47&gt;$F47,"Resold nights exceed booked nights",IF($M47+$N47&gt;$AA47+0.01,"Collection exceeds expected amount",IF(AND($S47="Collected",$M47=0),"Collected status has no amount",IF($AJ47&gt;='Assumptions'!$B$10,"High-cost review","OK"))))))),"")</f>
        <v/>
      </c>
    </row>
    <row r="48">
      <c r="A48" s="38" t="n"/>
      <c r="B48" s="39" t="n"/>
      <c r="C48" s="39" t="n"/>
      <c r="D48" s="38" t="n"/>
      <c r="E48" s="38" t="n"/>
      <c r="F48" s="40" t="n"/>
      <c r="G48" s="40" t="n"/>
      <c r="H48" s="41" t="n"/>
      <c r="I48" s="41" t="n"/>
      <c r="J48" s="42" t="n"/>
      <c r="K48" s="42" t="n"/>
      <c r="L48" s="42" t="n"/>
      <c r="M48" s="41" t="n"/>
      <c r="N48" s="41" t="n"/>
      <c r="O48" s="41" t="n"/>
      <c r="P48" s="41" t="n"/>
      <c r="Q48" s="40" t="n"/>
      <c r="R48" s="38" t="n"/>
      <c r="S48" s="38" t="n"/>
      <c r="T48" s="39" t="n"/>
      <c r="U48" s="43" t="n"/>
      <c r="V48" s="44">
        <f>IFERROR(IF($A48="","",MAX($F48-$G48,0)),"")</f>
        <v/>
      </c>
      <c r="W48" s="45">
        <f>IFERROR(IF($A48="","",$H48+$I48),"")</f>
        <v/>
      </c>
      <c r="X48" s="45">
        <f>IFERROR(IF($A48="","",$H48*IF($J48="",'Assumptions'!$B$4,$J48)),"")</f>
        <v/>
      </c>
      <c r="Y48" s="45">
        <f>IFERROR(IF($A48="","",$X48*IF($K48="",'Assumptions'!$B$12,$K48)),"")</f>
        <v/>
      </c>
      <c r="Z48" s="45">
        <f>IFERROR(IF($A48="","",($X48+$Y48)*IF($L48="",'Assumptions'!$B$13,$L48)),"")</f>
        <v/>
      </c>
      <c r="AA48" s="45">
        <f>IFERROR(IF($A48="","",$X48+$Y48+$Z48),"")</f>
        <v/>
      </c>
      <c r="AB48" s="45">
        <f>IFERROR(IF($A48="","",$V48*'Assumptions'!$B$5),"")</f>
        <v/>
      </c>
      <c r="AC48" s="45">
        <f>IFERROR(IF($A48="","",$I48*'Assumptions'!$B$6),"")</f>
        <v/>
      </c>
      <c r="AD48" s="45">
        <f>IFERROR(IF($A48="","",$AB48+$AC48),"")</f>
        <v/>
      </c>
      <c r="AE48" s="45">
        <f>IFERROR(IF($A48="","",($M48+$N48)*'Assumptions'!$B$7),"")</f>
        <v/>
      </c>
      <c r="AF48" s="45">
        <f>IFERROR(IF($A48="","",($Q48/60)*'Assumptions'!$B$8),"")</f>
        <v/>
      </c>
      <c r="AG48" s="45">
        <f>IFERROR(IF($A48="","",$P48+$AE48+$AF48),"")</f>
        <v/>
      </c>
      <c r="AH48" s="45">
        <f>IFERROR(IF($A48="","",$M48+$O48),"")</f>
        <v/>
      </c>
      <c r="AI48" s="46">
        <f>IFERROR(IF($A48="","",IFERROR($AH48/$W48,0)),"")</f>
        <v/>
      </c>
      <c r="AJ48" s="45">
        <f>IFERROR(IF($A48="","",$W48-$AH48-$AD48+$AG48),"")</f>
        <v/>
      </c>
      <c r="AK48" s="47">
        <f>IFERROR(IF($A48="","",IF(OR($S48="Collected",$S48="Waived",$S48="Uncollectible",$S48="No Charge Due"),"",IF($T48="",$B48+'Assumptions'!$B$9,$T48+'Assumptions'!$B$9))),"")</f>
        <v/>
      </c>
      <c r="AL48" s="48">
        <f>IFERROR(IF($A48="","",IF(OR($S48="Collected",$S48="Waived",$S48="Uncollectible",$S48="No Charge Due"),"Closed",IF($AK48&lt;TODAY(),"Overdue",IF($AK48=TODAY(),"Due","Open")))),"")</f>
        <v/>
      </c>
      <c r="AM48" s="49">
        <f>IFERROR(IF($A48="","",IF(COUNTIF($A$5:$A$504,$A48)&gt;1,"Duplicate reservation ID",IF($C48&lt;=$B48,"Check stay dates",IF($G48&gt;$F48,"Resold nights exceed booked nights",IF($M48+$N48&gt;$AA48+0.01,"Collection exceeds expected amount",IF(AND($S48="Collected",$M48=0),"Collected status has no amount",IF($AJ48&gt;='Assumptions'!$B$10,"High-cost review","OK"))))))),"")</f>
        <v/>
      </c>
    </row>
    <row r="49">
      <c r="A49" s="38" t="n"/>
      <c r="B49" s="39" t="n"/>
      <c r="C49" s="39" t="n"/>
      <c r="D49" s="38" t="n"/>
      <c r="E49" s="38" t="n"/>
      <c r="F49" s="40" t="n"/>
      <c r="G49" s="40" t="n"/>
      <c r="H49" s="41" t="n"/>
      <c r="I49" s="41" t="n"/>
      <c r="J49" s="42" t="n"/>
      <c r="K49" s="42" t="n"/>
      <c r="L49" s="42" t="n"/>
      <c r="M49" s="41" t="n"/>
      <c r="N49" s="41" t="n"/>
      <c r="O49" s="41" t="n"/>
      <c r="P49" s="41" t="n"/>
      <c r="Q49" s="40" t="n"/>
      <c r="R49" s="38" t="n"/>
      <c r="S49" s="38" t="n"/>
      <c r="T49" s="39" t="n"/>
      <c r="U49" s="43" t="n"/>
      <c r="V49" s="44">
        <f>IFERROR(IF($A49="","",MAX($F49-$G49,0)),"")</f>
        <v/>
      </c>
      <c r="W49" s="45">
        <f>IFERROR(IF($A49="","",$H49+$I49),"")</f>
        <v/>
      </c>
      <c r="X49" s="45">
        <f>IFERROR(IF($A49="","",$H49*IF($J49="",'Assumptions'!$B$4,$J49)),"")</f>
        <v/>
      </c>
      <c r="Y49" s="45">
        <f>IFERROR(IF($A49="","",$X49*IF($K49="",'Assumptions'!$B$12,$K49)),"")</f>
        <v/>
      </c>
      <c r="Z49" s="45">
        <f>IFERROR(IF($A49="","",($X49+$Y49)*IF($L49="",'Assumptions'!$B$13,$L49)),"")</f>
        <v/>
      </c>
      <c r="AA49" s="45">
        <f>IFERROR(IF($A49="","",$X49+$Y49+$Z49),"")</f>
        <v/>
      </c>
      <c r="AB49" s="45">
        <f>IFERROR(IF($A49="","",$V49*'Assumptions'!$B$5),"")</f>
        <v/>
      </c>
      <c r="AC49" s="45">
        <f>IFERROR(IF($A49="","",$I49*'Assumptions'!$B$6),"")</f>
        <v/>
      </c>
      <c r="AD49" s="45">
        <f>IFERROR(IF($A49="","",$AB49+$AC49),"")</f>
        <v/>
      </c>
      <c r="AE49" s="45">
        <f>IFERROR(IF($A49="","",($M49+$N49)*'Assumptions'!$B$7),"")</f>
        <v/>
      </c>
      <c r="AF49" s="45">
        <f>IFERROR(IF($A49="","",($Q49/60)*'Assumptions'!$B$8),"")</f>
        <v/>
      </c>
      <c r="AG49" s="45">
        <f>IFERROR(IF($A49="","",$P49+$AE49+$AF49),"")</f>
        <v/>
      </c>
      <c r="AH49" s="45">
        <f>IFERROR(IF($A49="","",$M49+$O49),"")</f>
        <v/>
      </c>
      <c r="AI49" s="46">
        <f>IFERROR(IF($A49="","",IFERROR($AH49/$W49,0)),"")</f>
        <v/>
      </c>
      <c r="AJ49" s="45">
        <f>IFERROR(IF($A49="","",$W49-$AH49-$AD49+$AG49),"")</f>
        <v/>
      </c>
      <c r="AK49" s="47">
        <f>IFERROR(IF($A49="","",IF(OR($S49="Collected",$S49="Waived",$S49="Uncollectible",$S49="No Charge Due"),"",IF($T49="",$B49+'Assumptions'!$B$9,$T49+'Assumptions'!$B$9))),"")</f>
        <v/>
      </c>
      <c r="AL49" s="48">
        <f>IFERROR(IF($A49="","",IF(OR($S49="Collected",$S49="Waived",$S49="Uncollectible",$S49="No Charge Due"),"Closed",IF($AK49&lt;TODAY(),"Overdue",IF($AK49=TODAY(),"Due","Open")))),"")</f>
        <v/>
      </c>
      <c r="AM49" s="49">
        <f>IFERROR(IF($A49="","",IF(COUNTIF($A$5:$A$504,$A49)&gt;1,"Duplicate reservation ID",IF($C49&lt;=$B49,"Check stay dates",IF($G49&gt;$F49,"Resold nights exceed booked nights",IF($M49+$N49&gt;$AA49+0.01,"Collection exceeds expected amount",IF(AND($S49="Collected",$M49=0),"Collected status has no amount",IF($AJ49&gt;='Assumptions'!$B$10,"High-cost review","OK"))))))),"")</f>
        <v/>
      </c>
    </row>
    <row r="50">
      <c r="A50" s="38" t="n"/>
      <c r="B50" s="39" t="n"/>
      <c r="C50" s="39" t="n"/>
      <c r="D50" s="38" t="n"/>
      <c r="E50" s="38" t="n"/>
      <c r="F50" s="40" t="n"/>
      <c r="G50" s="40" t="n"/>
      <c r="H50" s="41" t="n"/>
      <c r="I50" s="41" t="n"/>
      <c r="J50" s="42" t="n"/>
      <c r="K50" s="42" t="n"/>
      <c r="L50" s="42" t="n"/>
      <c r="M50" s="41" t="n"/>
      <c r="N50" s="41" t="n"/>
      <c r="O50" s="41" t="n"/>
      <c r="P50" s="41" t="n"/>
      <c r="Q50" s="40" t="n"/>
      <c r="R50" s="38" t="n"/>
      <c r="S50" s="38" t="n"/>
      <c r="T50" s="39" t="n"/>
      <c r="U50" s="43" t="n"/>
      <c r="V50" s="44">
        <f>IFERROR(IF($A50="","",MAX($F50-$G50,0)),"")</f>
        <v/>
      </c>
      <c r="W50" s="45">
        <f>IFERROR(IF($A50="","",$H50+$I50),"")</f>
        <v/>
      </c>
      <c r="X50" s="45">
        <f>IFERROR(IF($A50="","",$H50*IF($J50="",'Assumptions'!$B$4,$J50)),"")</f>
        <v/>
      </c>
      <c r="Y50" s="45">
        <f>IFERROR(IF($A50="","",$X50*IF($K50="",'Assumptions'!$B$12,$K50)),"")</f>
        <v/>
      </c>
      <c r="Z50" s="45">
        <f>IFERROR(IF($A50="","",($X50+$Y50)*IF($L50="",'Assumptions'!$B$13,$L50)),"")</f>
        <v/>
      </c>
      <c r="AA50" s="45">
        <f>IFERROR(IF($A50="","",$X50+$Y50+$Z50),"")</f>
        <v/>
      </c>
      <c r="AB50" s="45">
        <f>IFERROR(IF($A50="","",$V50*'Assumptions'!$B$5),"")</f>
        <v/>
      </c>
      <c r="AC50" s="45">
        <f>IFERROR(IF($A50="","",$I50*'Assumptions'!$B$6),"")</f>
        <v/>
      </c>
      <c r="AD50" s="45">
        <f>IFERROR(IF($A50="","",$AB50+$AC50),"")</f>
        <v/>
      </c>
      <c r="AE50" s="45">
        <f>IFERROR(IF($A50="","",($M50+$N50)*'Assumptions'!$B$7),"")</f>
        <v/>
      </c>
      <c r="AF50" s="45">
        <f>IFERROR(IF($A50="","",($Q50/60)*'Assumptions'!$B$8),"")</f>
        <v/>
      </c>
      <c r="AG50" s="45">
        <f>IFERROR(IF($A50="","",$P50+$AE50+$AF50),"")</f>
        <v/>
      </c>
      <c r="AH50" s="45">
        <f>IFERROR(IF($A50="","",$M50+$O50),"")</f>
        <v/>
      </c>
      <c r="AI50" s="46">
        <f>IFERROR(IF($A50="","",IFERROR($AH50/$W50,0)),"")</f>
        <v/>
      </c>
      <c r="AJ50" s="45">
        <f>IFERROR(IF($A50="","",$W50-$AH50-$AD50+$AG50),"")</f>
        <v/>
      </c>
      <c r="AK50" s="47">
        <f>IFERROR(IF($A50="","",IF(OR($S50="Collected",$S50="Waived",$S50="Uncollectible",$S50="No Charge Due"),"",IF($T50="",$B50+'Assumptions'!$B$9,$T50+'Assumptions'!$B$9))),"")</f>
        <v/>
      </c>
      <c r="AL50" s="48">
        <f>IFERROR(IF($A50="","",IF(OR($S50="Collected",$S50="Waived",$S50="Uncollectible",$S50="No Charge Due"),"Closed",IF($AK50&lt;TODAY(),"Overdue",IF($AK50=TODAY(),"Due","Open")))),"")</f>
        <v/>
      </c>
      <c r="AM50" s="49">
        <f>IFERROR(IF($A50="","",IF(COUNTIF($A$5:$A$504,$A50)&gt;1,"Duplicate reservation ID",IF($C50&lt;=$B50,"Check stay dates",IF($G50&gt;$F50,"Resold nights exceed booked nights",IF($M50+$N50&gt;$AA50+0.01,"Collection exceeds expected amount",IF(AND($S50="Collected",$M50=0),"Collected status has no amount",IF($AJ50&gt;='Assumptions'!$B$10,"High-cost review","OK"))))))),"")</f>
        <v/>
      </c>
    </row>
    <row r="51">
      <c r="A51" s="38" t="n"/>
      <c r="B51" s="39" t="n"/>
      <c r="C51" s="39" t="n"/>
      <c r="D51" s="38" t="n"/>
      <c r="E51" s="38" t="n"/>
      <c r="F51" s="40" t="n"/>
      <c r="G51" s="40" t="n"/>
      <c r="H51" s="41" t="n"/>
      <c r="I51" s="41" t="n"/>
      <c r="J51" s="42" t="n"/>
      <c r="K51" s="42" t="n"/>
      <c r="L51" s="42" t="n"/>
      <c r="M51" s="41" t="n"/>
      <c r="N51" s="41" t="n"/>
      <c r="O51" s="41" t="n"/>
      <c r="P51" s="41" t="n"/>
      <c r="Q51" s="40" t="n"/>
      <c r="R51" s="38" t="n"/>
      <c r="S51" s="38" t="n"/>
      <c r="T51" s="39" t="n"/>
      <c r="U51" s="43" t="n"/>
      <c r="V51" s="44">
        <f>IFERROR(IF($A51="","",MAX($F51-$G51,0)),"")</f>
        <v/>
      </c>
      <c r="W51" s="45">
        <f>IFERROR(IF($A51="","",$H51+$I51),"")</f>
        <v/>
      </c>
      <c r="X51" s="45">
        <f>IFERROR(IF($A51="","",$H51*IF($J51="",'Assumptions'!$B$4,$J51)),"")</f>
        <v/>
      </c>
      <c r="Y51" s="45">
        <f>IFERROR(IF($A51="","",$X51*IF($K51="",'Assumptions'!$B$12,$K51)),"")</f>
        <v/>
      </c>
      <c r="Z51" s="45">
        <f>IFERROR(IF($A51="","",($X51+$Y51)*IF($L51="",'Assumptions'!$B$13,$L51)),"")</f>
        <v/>
      </c>
      <c r="AA51" s="45">
        <f>IFERROR(IF($A51="","",$X51+$Y51+$Z51),"")</f>
        <v/>
      </c>
      <c r="AB51" s="45">
        <f>IFERROR(IF($A51="","",$V51*'Assumptions'!$B$5),"")</f>
        <v/>
      </c>
      <c r="AC51" s="45">
        <f>IFERROR(IF($A51="","",$I51*'Assumptions'!$B$6),"")</f>
        <v/>
      </c>
      <c r="AD51" s="45">
        <f>IFERROR(IF($A51="","",$AB51+$AC51),"")</f>
        <v/>
      </c>
      <c r="AE51" s="45">
        <f>IFERROR(IF($A51="","",($M51+$N51)*'Assumptions'!$B$7),"")</f>
        <v/>
      </c>
      <c r="AF51" s="45">
        <f>IFERROR(IF($A51="","",($Q51/60)*'Assumptions'!$B$8),"")</f>
        <v/>
      </c>
      <c r="AG51" s="45">
        <f>IFERROR(IF($A51="","",$P51+$AE51+$AF51),"")</f>
        <v/>
      </c>
      <c r="AH51" s="45">
        <f>IFERROR(IF($A51="","",$M51+$O51),"")</f>
        <v/>
      </c>
      <c r="AI51" s="46">
        <f>IFERROR(IF($A51="","",IFERROR($AH51/$W51,0)),"")</f>
        <v/>
      </c>
      <c r="AJ51" s="45">
        <f>IFERROR(IF($A51="","",$W51-$AH51-$AD51+$AG51),"")</f>
        <v/>
      </c>
      <c r="AK51" s="47">
        <f>IFERROR(IF($A51="","",IF(OR($S51="Collected",$S51="Waived",$S51="Uncollectible",$S51="No Charge Due"),"",IF($T51="",$B51+'Assumptions'!$B$9,$T51+'Assumptions'!$B$9))),"")</f>
        <v/>
      </c>
      <c r="AL51" s="48">
        <f>IFERROR(IF($A51="","",IF(OR($S51="Collected",$S51="Waived",$S51="Uncollectible",$S51="No Charge Due"),"Closed",IF($AK51&lt;TODAY(),"Overdue",IF($AK51=TODAY(),"Due","Open")))),"")</f>
        <v/>
      </c>
      <c r="AM51" s="49">
        <f>IFERROR(IF($A51="","",IF(COUNTIF($A$5:$A$504,$A51)&gt;1,"Duplicate reservation ID",IF($C51&lt;=$B51,"Check stay dates",IF($G51&gt;$F51,"Resold nights exceed booked nights",IF($M51+$N51&gt;$AA51+0.01,"Collection exceeds expected amount",IF(AND($S51="Collected",$M51=0),"Collected status has no amount",IF($AJ51&gt;='Assumptions'!$B$10,"High-cost review","OK"))))))),"")</f>
        <v/>
      </c>
    </row>
    <row r="52">
      <c r="A52" s="38" t="n"/>
      <c r="B52" s="39" t="n"/>
      <c r="C52" s="39" t="n"/>
      <c r="D52" s="38" t="n"/>
      <c r="E52" s="38" t="n"/>
      <c r="F52" s="40" t="n"/>
      <c r="G52" s="40" t="n"/>
      <c r="H52" s="41" t="n"/>
      <c r="I52" s="41" t="n"/>
      <c r="J52" s="42" t="n"/>
      <c r="K52" s="42" t="n"/>
      <c r="L52" s="42" t="n"/>
      <c r="M52" s="41" t="n"/>
      <c r="N52" s="41" t="n"/>
      <c r="O52" s="41" t="n"/>
      <c r="P52" s="41" t="n"/>
      <c r="Q52" s="40" t="n"/>
      <c r="R52" s="38" t="n"/>
      <c r="S52" s="38" t="n"/>
      <c r="T52" s="39" t="n"/>
      <c r="U52" s="43" t="n"/>
      <c r="V52" s="44">
        <f>IFERROR(IF($A52="","",MAX($F52-$G52,0)),"")</f>
        <v/>
      </c>
      <c r="W52" s="45">
        <f>IFERROR(IF($A52="","",$H52+$I52),"")</f>
        <v/>
      </c>
      <c r="X52" s="45">
        <f>IFERROR(IF($A52="","",$H52*IF($J52="",'Assumptions'!$B$4,$J52)),"")</f>
        <v/>
      </c>
      <c r="Y52" s="45">
        <f>IFERROR(IF($A52="","",$X52*IF($K52="",'Assumptions'!$B$12,$K52)),"")</f>
        <v/>
      </c>
      <c r="Z52" s="45">
        <f>IFERROR(IF($A52="","",($X52+$Y52)*IF($L52="",'Assumptions'!$B$13,$L52)),"")</f>
        <v/>
      </c>
      <c r="AA52" s="45">
        <f>IFERROR(IF($A52="","",$X52+$Y52+$Z52),"")</f>
        <v/>
      </c>
      <c r="AB52" s="45">
        <f>IFERROR(IF($A52="","",$V52*'Assumptions'!$B$5),"")</f>
        <v/>
      </c>
      <c r="AC52" s="45">
        <f>IFERROR(IF($A52="","",$I52*'Assumptions'!$B$6),"")</f>
        <v/>
      </c>
      <c r="AD52" s="45">
        <f>IFERROR(IF($A52="","",$AB52+$AC52),"")</f>
        <v/>
      </c>
      <c r="AE52" s="45">
        <f>IFERROR(IF($A52="","",($M52+$N52)*'Assumptions'!$B$7),"")</f>
        <v/>
      </c>
      <c r="AF52" s="45">
        <f>IFERROR(IF($A52="","",($Q52/60)*'Assumptions'!$B$8),"")</f>
        <v/>
      </c>
      <c r="AG52" s="45">
        <f>IFERROR(IF($A52="","",$P52+$AE52+$AF52),"")</f>
        <v/>
      </c>
      <c r="AH52" s="45">
        <f>IFERROR(IF($A52="","",$M52+$O52),"")</f>
        <v/>
      </c>
      <c r="AI52" s="46">
        <f>IFERROR(IF($A52="","",IFERROR($AH52/$W52,0)),"")</f>
        <v/>
      </c>
      <c r="AJ52" s="45">
        <f>IFERROR(IF($A52="","",$W52-$AH52-$AD52+$AG52),"")</f>
        <v/>
      </c>
      <c r="AK52" s="47">
        <f>IFERROR(IF($A52="","",IF(OR($S52="Collected",$S52="Waived",$S52="Uncollectible",$S52="No Charge Due"),"",IF($T52="",$B52+'Assumptions'!$B$9,$T52+'Assumptions'!$B$9))),"")</f>
        <v/>
      </c>
      <c r="AL52" s="48">
        <f>IFERROR(IF($A52="","",IF(OR($S52="Collected",$S52="Waived",$S52="Uncollectible",$S52="No Charge Due"),"Closed",IF($AK52&lt;TODAY(),"Overdue",IF($AK52=TODAY(),"Due","Open")))),"")</f>
        <v/>
      </c>
      <c r="AM52" s="49">
        <f>IFERROR(IF($A52="","",IF(COUNTIF($A$5:$A$504,$A52)&gt;1,"Duplicate reservation ID",IF($C52&lt;=$B52,"Check stay dates",IF($G52&gt;$F52,"Resold nights exceed booked nights",IF($M52+$N52&gt;$AA52+0.01,"Collection exceeds expected amount",IF(AND($S52="Collected",$M52=0),"Collected status has no amount",IF($AJ52&gt;='Assumptions'!$B$10,"High-cost review","OK"))))))),"")</f>
        <v/>
      </c>
    </row>
    <row r="53">
      <c r="A53" s="38" t="n"/>
      <c r="B53" s="39" t="n"/>
      <c r="C53" s="39" t="n"/>
      <c r="D53" s="38" t="n"/>
      <c r="E53" s="38" t="n"/>
      <c r="F53" s="40" t="n"/>
      <c r="G53" s="40" t="n"/>
      <c r="H53" s="41" t="n"/>
      <c r="I53" s="41" t="n"/>
      <c r="J53" s="42" t="n"/>
      <c r="K53" s="42" t="n"/>
      <c r="L53" s="42" t="n"/>
      <c r="M53" s="41" t="n"/>
      <c r="N53" s="41" t="n"/>
      <c r="O53" s="41" t="n"/>
      <c r="P53" s="41" t="n"/>
      <c r="Q53" s="40" t="n"/>
      <c r="R53" s="38" t="n"/>
      <c r="S53" s="38" t="n"/>
      <c r="T53" s="39" t="n"/>
      <c r="U53" s="43" t="n"/>
      <c r="V53" s="44">
        <f>IFERROR(IF($A53="","",MAX($F53-$G53,0)),"")</f>
        <v/>
      </c>
      <c r="W53" s="45">
        <f>IFERROR(IF($A53="","",$H53+$I53),"")</f>
        <v/>
      </c>
      <c r="X53" s="45">
        <f>IFERROR(IF($A53="","",$H53*IF($J53="",'Assumptions'!$B$4,$J53)),"")</f>
        <v/>
      </c>
      <c r="Y53" s="45">
        <f>IFERROR(IF($A53="","",$X53*IF($K53="",'Assumptions'!$B$12,$K53)),"")</f>
        <v/>
      </c>
      <c r="Z53" s="45">
        <f>IFERROR(IF($A53="","",($X53+$Y53)*IF($L53="",'Assumptions'!$B$13,$L53)),"")</f>
        <v/>
      </c>
      <c r="AA53" s="45">
        <f>IFERROR(IF($A53="","",$X53+$Y53+$Z53),"")</f>
        <v/>
      </c>
      <c r="AB53" s="45">
        <f>IFERROR(IF($A53="","",$V53*'Assumptions'!$B$5),"")</f>
        <v/>
      </c>
      <c r="AC53" s="45">
        <f>IFERROR(IF($A53="","",$I53*'Assumptions'!$B$6),"")</f>
        <v/>
      </c>
      <c r="AD53" s="45">
        <f>IFERROR(IF($A53="","",$AB53+$AC53),"")</f>
        <v/>
      </c>
      <c r="AE53" s="45">
        <f>IFERROR(IF($A53="","",($M53+$N53)*'Assumptions'!$B$7),"")</f>
        <v/>
      </c>
      <c r="AF53" s="45">
        <f>IFERROR(IF($A53="","",($Q53/60)*'Assumptions'!$B$8),"")</f>
        <v/>
      </c>
      <c r="AG53" s="45">
        <f>IFERROR(IF($A53="","",$P53+$AE53+$AF53),"")</f>
        <v/>
      </c>
      <c r="AH53" s="45">
        <f>IFERROR(IF($A53="","",$M53+$O53),"")</f>
        <v/>
      </c>
      <c r="AI53" s="46">
        <f>IFERROR(IF($A53="","",IFERROR($AH53/$W53,0)),"")</f>
        <v/>
      </c>
      <c r="AJ53" s="45">
        <f>IFERROR(IF($A53="","",$W53-$AH53-$AD53+$AG53),"")</f>
        <v/>
      </c>
      <c r="AK53" s="47">
        <f>IFERROR(IF($A53="","",IF(OR($S53="Collected",$S53="Waived",$S53="Uncollectible",$S53="No Charge Due"),"",IF($T53="",$B53+'Assumptions'!$B$9,$T53+'Assumptions'!$B$9))),"")</f>
        <v/>
      </c>
      <c r="AL53" s="48">
        <f>IFERROR(IF($A53="","",IF(OR($S53="Collected",$S53="Waived",$S53="Uncollectible",$S53="No Charge Due"),"Closed",IF($AK53&lt;TODAY(),"Overdue",IF($AK53=TODAY(),"Due","Open")))),"")</f>
        <v/>
      </c>
      <c r="AM53" s="49">
        <f>IFERROR(IF($A53="","",IF(COUNTIF($A$5:$A$504,$A53)&gt;1,"Duplicate reservation ID",IF($C53&lt;=$B53,"Check stay dates",IF($G53&gt;$F53,"Resold nights exceed booked nights",IF($M53+$N53&gt;$AA53+0.01,"Collection exceeds expected amount",IF(AND($S53="Collected",$M53=0),"Collected status has no amount",IF($AJ53&gt;='Assumptions'!$B$10,"High-cost review","OK"))))))),"")</f>
        <v/>
      </c>
    </row>
    <row r="54">
      <c r="A54" s="38" t="n"/>
      <c r="B54" s="39" t="n"/>
      <c r="C54" s="39" t="n"/>
      <c r="D54" s="38" t="n"/>
      <c r="E54" s="38" t="n"/>
      <c r="F54" s="40" t="n"/>
      <c r="G54" s="40" t="n"/>
      <c r="H54" s="41" t="n"/>
      <c r="I54" s="41" t="n"/>
      <c r="J54" s="42" t="n"/>
      <c r="K54" s="42" t="n"/>
      <c r="L54" s="42" t="n"/>
      <c r="M54" s="41" t="n"/>
      <c r="N54" s="41" t="n"/>
      <c r="O54" s="41" t="n"/>
      <c r="P54" s="41" t="n"/>
      <c r="Q54" s="40" t="n"/>
      <c r="R54" s="38" t="n"/>
      <c r="S54" s="38" t="n"/>
      <c r="T54" s="39" t="n"/>
      <c r="U54" s="43" t="n"/>
      <c r="V54" s="44">
        <f>IFERROR(IF($A54="","",MAX($F54-$G54,0)),"")</f>
        <v/>
      </c>
      <c r="W54" s="45">
        <f>IFERROR(IF($A54="","",$H54+$I54),"")</f>
        <v/>
      </c>
      <c r="X54" s="45">
        <f>IFERROR(IF($A54="","",$H54*IF($J54="",'Assumptions'!$B$4,$J54)),"")</f>
        <v/>
      </c>
      <c r="Y54" s="45">
        <f>IFERROR(IF($A54="","",$X54*IF($K54="",'Assumptions'!$B$12,$K54)),"")</f>
        <v/>
      </c>
      <c r="Z54" s="45">
        <f>IFERROR(IF($A54="","",($X54+$Y54)*IF($L54="",'Assumptions'!$B$13,$L54)),"")</f>
        <v/>
      </c>
      <c r="AA54" s="45">
        <f>IFERROR(IF($A54="","",$X54+$Y54+$Z54),"")</f>
        <v/>
      </c>
      <c r="AB54" s="45">
        <f>IFERROR(IF($A54="","",$V54*'Assumptions'!$B$5),"")</f>
        <v/>
      </c>
      <c r="AC54" s="45">
        <f>IFERROR(IF($A54="","",$I54*'Assumptions'!$B$6),"")</f>
        <v/>
      </c>
      <c r="AD54" s="45">
        <f>IFERROR(IF($A54="","",$AB54+$AC54),"")</f>
        <v/>
      </c>
      <c r="AE54" s="45">
        <f>IFERROR(IF($A54="","",($M54+$N54)*'Assumptions'!$B$7),"")</f>
        <v/>
      </c>
      <c r="AF54" s="45">
        <f>IFERROR(IF($A54="","",($Q54/60)*'Assumptions'!$B$8),"")</f>
        <v/>
      </c>
      <c r="AG54" s="45">
        <f>IFERROR(IF($A54="","",$P54+$AE54+$AF54),"")</f>
        <v/>
      </c>
      <c r="AH54" s="45">
        <f>IFERROR(IF($A54="","",$M54+$O54),"")</f>
        <v/>
      </c>
      <c r="AI54" s="46">
        <f>IFERROR(IF($A54="","",IFERROR($AH54/$W54,0)),"")</f>
        <v/>
      </c>
      <c r="AJ54" s="45">
        <f>IFERROR(IF($A54="","",$W54-$AH54-$AD54+$AG54),"")</f>
        <v/>
      </c>
      <c r="AK54" s="47">
        <f>IFERROR(IF($A54="","",IF(OR($S54="Collected",$S54="Waived",$S54="Uncollectible",$S54="No Charge Due"),"",IF($T54="",$B54+'Assumptions'!$B$9,$T54+'Assumptions'!$B$9))),"")</f>
        <v/>
      </c>
      <c r="AL54" s="48">
        <f>IFERROR(IF($A54="","",IF(OR($S54="Collected",$S54="Waived",$S54="Uncollectible",$S54="No Charge Due"),"Closed",IF($AK54&lt;TODAY(),"Overdue",IF($AK54=TODAY(),"Due","Open")))),"")</f>
        <v/>
      </c>
      <c r="AM54" s="49">
        <f>IFERROR(IF($A54="","",IF(COUNTIF($A$5:$A$504,$A54)&gt;1,"Duplicate reservation ID",IF($C54&lt;=$B54,"Check stay dates",IF($G54&gt;$F54,"Resold nights exceed booked nights",IF($M54+$N54&gt;$AA54+0.01,"Collection exceeds expected amount",IF(AND($S54="Collected",$M54=0),"Collected status has no amount",IF($AJ54&gt;='Assumptions'!$B$10,"High-cost review","OK"))))))),"")</f>
        <v/>
      </c>
    </row>
    <row r="55">
      <c r="A55" s="38" t="n"/>
      <c r="B55" s="39" t="n"/>
      <c r="C55" s="39" t="n"/>
      <c r="D55" s="38" t="n"/>
      <c r="E55" s="38" t="n"/>
      <c r="F55" s="40" t="n"/>
      <c r="G55" s="40" t="n"/>
      <c r="H55" s="41" t="n"/>
      <c r="I55" s="41" t="n"/>
      <c r="J55" s="42" t="n"/>
      <c r="K55" s="42" t="n"/>
      <c r="L55" s="42" t="n"/>
      <c r="M55" s="41" t="n"/>
      <c r="N55" s="41" t="n"/>
      <c r="O55" s="41" t="n"/>
      <c r="P55" s="41" t="n"/>
      <c r="Q55" s="40" t="n"/>
      <c r="R55" s="38" t="n"/>
      <c r="S55" s="38" t="n"/>
      <c r="T55" s="39" t="n"/>
      <c r="U55" s="43" t="n"/>
      <c r="V55" s="44">
        <f>IFERROR(IF($A55="","",MAX($F55-$G55,0)),"")</f>
        <v/>
      </c>
      <c r="W55" s="45">
        <f>IFERROR(IF($A55="","",$H55+$I55),"")</f>
        <v/>
      </c>
      <c r="X55" s="45">
        <f>IFERROR(IF($A55="","",$H55*IF($J55="",'Assumptions'!$B$4,$J55)),"")</f>
        <v/>
      </c>
      <c r="Y55" s="45">
        <f>IFERROR(IF($A55="","",$X55*IF($K55="",'Assumptions'!$B$12,$K55)),"")</f>
        <v/>
      </c>
      <c r="Z55" s="45">
        <f>IFERROR(IF($A55="","",($X55+$Y55)*IF($L55="",'Assumptions'!$B$13,$L55)),"")</f>
        <v/>
      </c>
      <c r="AA55" s="45">
        <f>IFERROR(IF($A55="","",$X55+$Y55+$Z55),"")</f>
        <v/>
      </c>
      <c r="AB55" s="45">
        <f>IFERROR(IF($A55="","",$V55*'Assumptions'!$B$5),"")</f>
        <v/>
      </c>
      <c r="AC55" s="45">
        <f>IFERROR(IF($A55="","",$I55*'Assumptions'!$B$6),"")</f>
        <v/>
      </c>
      <c r="AD55" s="45">
        <f>IFERROR(IF($A55="","",$AB55+$AC55),"")</f>
        <v/>
      </c>
      <c r="AE55" s="45">
        <f>IFERROR(IF($A55="","",($M55+$N55)*'Assumptions'!$B$7),"")</f>
        <v/>
      </c>
      <c r="AF55" s="45">
        <f>IFERROR(IF($A55="","",($Q55/60)*'Assumptions'!$B$8),"")</f>
        <v/>
      </c>
      <c r="AG55" s="45">
        <f>IFERROR(IF($A55="","",$P55+$AE55+$AF55),"")</f>
        <v/>
      </c>
      <c r="AH55" s="45">
        <f>IFERROR(IF($A55="","",$M55+$O55),"")</f>
        <v/>
      </c>
      <c r="AI55" s="46">
        <f>IFERROR(IF($A55="","",IFERROR($AH55/$W55,0)),"")</f>
        <v/>
      </c>
      <c r="AJ55" s="45">
        <f>IFERROR(IF($A55="","",$W55-$AH55-$AD55+$AG55),"")</f>
        <v/>
      </c>
      <c r="AK55" s="47">
        <f>IFERROR(IF($A55="","",IF(OR($S55="Collected",$S55="Waived",$S55="Uncollectible",$S55="No Charge Due"),"",IF($T55="",$B55+'Assumptions'!$B$9,$T55+'Assumptions'!$B$9))),"")</f>
        <v/>
      </c>
      <c r="AL55" s="48">
        <f>IFERROR(IF($A55="","",IF(OR($S55="Collected",$S55="Waived",$S55="Uncollectible",$S55="No Charge Due"),"Closed",IF($AK55&lt;TODAY(),"Overdue",IF($AK55=TODAY(),"Due","Open")))),"")</f>
        <v/>
      </c>
      <c r="AM55" s="49">
        <f>IFERROR(IF($A55="","",IF(COUNTIF($A$5:$A$504,$A55)&gt;1,"Duplicate reservation ID",IF($C55&lt;=$B55,"Check stay dates",IF($G55&gt;$F55,"Resold nights exceed booked nights",IF($M55+$N55&gt;$AA55+0.01,"Collection exceeds expected amount",IF(AND($S55="Collected",$M55=0),"Collected status has no amount",IF($AJ55&gt;='Assumptions'!$B$10,"High-cost review","OK"))))))),"")</f>
        <v/>
      </c>
    </row>
    <row r="56">
      <c r="A56" s="38" t="n"/>
      <c r="B56" s="39" t="n"/>
      <c r="C56" s="39" t="n"/>
      <c r="D56" s="38" t="n"/>
      <c r="E56" s="38" t="n"/>
      <c r="F56" s="40" t="n"/>
      <c r="G56" s="40" t="n"/>
      <c r="H56" s="41" t="n"/>
      <c r="I56" s="41" t="n"/>
      <c r="J56" s="42" t="n"/>
      <c r="K56" s="42" t="n"/>
      <c r="L56" s="42" t="n"/>
      <c r="M56" s="41" t="n"/>
      <c r="N56" s="41" t="n"/>
      <c r="O56" s="41" t="n"/>
      <c r="P56" s="41" t="n"/>
      <c r="Q56" s="40" t="n"/>
      <c r="R56" s="38" t="n"/>
      <c r="S56" s="38" t="n"/>
      <c r="T56" s="39" t="n"/>
      <c r="U56" s="43" t="n"/>
      <c r="V56" s="44">
        <f>IFERROR(IF($A56="","",MAX($F56-$G56,0)),"")</f>
        <v/>
      </c>
      <c r="W56" s="45">
        <f>IFERROR(IF($A56="","",$H56+$I56),"")</f>
        <v/>
      </c>
      <c r="X56" s="45">
        <f>IFERROR(IF($A56="","",$H56*IF($J56="",'Assumptions'!$B$4,$J56)),"")</f>
        <v/>
      </c>
      <c r="Y56" s="45">
        <f>IFERROR(IF($A56="","",$X56*IF($K56="",'Assumptions'!$B$12,$K56)),"")</f>
        <v/>
      </c>
      <c r="Z56" s="45">
        <f>IFERROR(IF($A56="","",($X56+$Y56)*IF($L56="",'Assumptions'!$B$13,$L56)),"")</f>
        <v/>
      </c>
      <c r="AA56" s="45">
        <f>IFERROR(IF($A56="","",$X56+$Y56+$Z56),"")</f>
        <v/>
      </c>
      <c r="AB56" s="45">
        <f>IFERROR(IF($A56="","",$V56*'Assumptions'!$B$5),"")</f>
        <v/>
      </c>
      <c r="AC56" s="45">
        <f>IFERROR(IF($A56="","",$I56*'Assumptions'!$B$6),"")</f>
        <v/>
      </c>
      <c r="AD56" s="45">
        <f>IFERROR(IF($A56="","",$AB56+$AC56),"")</f>
        <v/>
      </c>
      <c r="AE56" s="45">
        <f>IFERROR(IF($A56="","",($M56+$N56)*'Assumptions'!$B$7),"")</f>
        <v/>
      </c>
      <c r="AF56" s="45">
        <f>IFERROR(IF($A56="","",($Q56/60)*'Assumptions'!$B$8),"")</f>
        <v/>
      </c>
      <c r="AG56" s="45">
        <f>IFERROR(IF($A56="","",$P56+$AE56+$AF56),"")</f>
        <v/>
      </c>
      <c r="AH56" s="45">
        <f>IFERROR(IF($A56="","",$M56+$O56),"")</f>
        <v/>
      </c>
      <c r="AI56" s="46">
        <f>IFERROR(IF($A56="","",IFERROR($AH56/$W56,0)),"")</f>
        <v/>
      </c>
      <c r="AJ56" s="45">
        <f>IFERROR(IF($A56="","",$W56-$AH56-$AD56+$AG56),"")</f>
        <v/>
      </c>
      <c r="AK56" s="47">
        <f>IFERROR(IF($A56="","",IF(OR($S56="Collected",$S56="Waived",$S56="Uncollectible",$S56="No Charge Due"),"",IF($T56="",$B56+'Assumptions'!$B$9,$T56+'Assumptions'!$B$9))),"")</f>
        <v/>
      </c>
      <c r="AL56" s="48">
        <f>IFERROR(IF($A56="","",IF(OR($S56="Collected",$S56="Waived",$S56="Uncollectible",$S56="No Charge Due"),"Closed",IF($AK56&lt;TODAY(),"Overdue",IF($AK56=TODAY(),"Due","Open")))),"")</f>
        <v/>
      </c>
      <c r="AM56" s="49">
        <f>IFERROR(IF($A56="","",IF(COUNTIF($A$5:$A$504,$A56)&gt;1,"Duplicate reservation ID",IF($C56&lt;=$B56,"Check stay dates",IF($G56&gt;$F56,"Resold nights exceed booked nights",IF($M56+$N56&gt;$AA56+0.01,"Collection exceeds expected amount",IF(AND($S56="Collected",$M56=0),"Collected status has no amount",IF($AJ56&gt;='Assumptions'!$B$10,"High-cost review","OK"))))))),"")</f>
        <v/>
      </c>
    </row>
    <row r="57">
      <c r="A57" s="38" t="n"/>
      <c r="B57" s="39" t="n"/>
      <c r="C57" s="39" t="n"/>
      <c r="D57" s="38" t="n"/>
      <c r="E57" s="38" t="n"/>
      <c r="F57" s="40" t="n"/>
      <c r="G57" s="40" t="n"/>
      <c r="H57" s="41" t="n"/>
      <c r="I57" s="41" t="n"/>
      <c r="J57" s="42" t="n"/>
      <c r="K57" s="42" t="n"/>
      <c r="L57" s="42" t="n"/>
      <c r="M57" s="41" t="n"/>
      <c r="N57" s="41" t="n"/>
      <c r="O57" s="41" t="n"/>
      <c r="P57" s="41" t="n"/>
      <c r="Q57" s="40" t="n"/>
      <c r="R57" s="38" t="n"/>
      <c r="S57" s="38" t="n"/>
      <c r="T57" s="39" t="n"/>
      <c r="U57" s="43" t="n"/>
      <c r="V57" s="44">
        <f>IFERROR(IF($A57="","",MAX($F57-$G57,0)),"")</f>
        <v/>
      </c>
      <c r="W57" s="45">
        <f>IFERROR(IF($A57="","",$H57+$I57),"")</f>
        <v/>
      </c>
      <c r="X57" s="45">
        <f>IFERROR(IF($A57="","",$H57*IF($J57="",'Assumptions'!$B$4,$J57)),"")</f>
        <v/>
      </c>
      <c r="Y57" s="45">
        <f>IFERROR(IF($A57="","",$X57*IF($K57="",'Assumptions'!$B$12,$K57)),"")</f>
        <v/>
      </c>
      <c r="Z57" s="45">
        <f>IFERROR(IF($A57="","",($X57+$Y57)*IF($L57="",'Assumptions'!$B$13,$L57)),"")</f>
        <v/>
      </c>
      <c r="AA57" s="45">
        <f>IFERROR(IF($A57="","",$X57+$Y57+$Z57),"")</f>
        <v/>
      </c>
      <c r="AB57" s="45">
        <f>IFERROR(IF($A57="","",$V57*'Assumptions'!$B$5),"")</f>
        <v/>
      </c>
      <c r="AC57" s="45">
        <f>IFERROR(IF($A57="","",$I57*'Assumptions'!$B$6),"")</f>
        <v/>
      </c>
      <c r="AD57" s="45">
        <f>IFERROR(IF($A57="","",$AB57+$AC57),"")</f>
        <v/>
      </c>
      <c r="AE57" s="45">
        <f>IFERROR(IF($A57="","",($M57+$N57)*'Assumptions'!$B$7),"")</f>
        <v/>
      </c>
      <c r="AF57" s="45">
        <f>IFERROR(IF($A57="","",($Q57/60)*'Assumptions'!$B$8),"")</f>
        <v/>
      </c>
      <c r="AG57" s="45">
        <f>IFERROR(IF($A57="","",$P57+$AE57+$AF57),"")</f>
        <v/>
      </c>
      <c r="AH57" s="45">
        <f>IFERROR(IF($A57="","",$M57+$O57),"")</f>
        <v/>
      </c>
      <c r="AI57" s="46">
        <f>IFERROR(IF($A57="","",IFERROR($AH57/$W57,0)),"")</f>
        <v/>
      </c>
      <c r="AJ57" s="45">
        <f>IFERROR(IF($A57="","",$W57-$AH57-$AD57+$AG57),"")</f>
        <v/>
      </c>
      <c r="AK57" s="47">
        <f>IFERROR(IF($A57="","",IF(OR($S57="Collected",$S57="Waived",$S57="Uncollectible",$S57="No Charge Due"),"",IF($T57="",$B57+'Assumptions'!$B$9,$T57+'Assumptions'!$B$9))),"")</f>
        <v/>
      </c>
      <c r="AL57" s="48">
        <f>IFERROR(IF($A57="","",IF(OR($S57="Collected",$S57="Waived",$S57="Uncollectible",$S57="No Charge Due"),"Closed",IF($AK57&lt;TODAY(),"Overdue",IF($AK57=TODAY(),"Due","Open")))),"")</f>
        <v/>
      </c>
      <c r="AM57" s="49">
        <f>IFERROR(IF($A57="","",IF(COUNTIF($A$5:$A$504,$A57)&gt;1,"Duplicate reservation ID",IF($C57&lt;=$B57,"Check stay dates",IF($G57&gt;$F57,"Resold nights exceed booked nights",IF($M57+$N57&gt;$AA57+0.01,"Collection exceeds expected amount",IF(AND($S57="Collected",$M57=0),"Collected status has no amount",IF($AJ57&gt;='Assumptions'!$B$10,"High-cost review","OK"))))))),"")</f>
        <v/>
      </c>
    </row>
    <row r="58">
      <c r="A58" s="38" t="n"/>
      <c r="B58" s="39" t="n"/>
      <c r="C58" s="39" t="n"/>
      <c r="D58" s="38" t="n"/>
      <c r="E58" s="38" t="n"/>
      <c r="F58" s="40" t="n"/>
      <c r="G58" s="40" t="n"/>
      <c r="H58" s="41" t="n"/>
      <c r="I58" s="41" t="n"/>
      <c r="J58" s="42" t="n"/>
      <c r="K58" s="42" t="n"/>
      <c r="L58" s="42" t="n"/>
      <c r="M58" s="41" t="n"/>
      <c r="N58" s="41" t="n"/>
      <c r="O58" s="41" t="n"/>
      <c r="P58" s="41" t="n"/>
      <c r="Q58" s="40" t="n"/>
      <c r="R58" s="38" t="n"/>
      <c r="S58" s="38" t="n"/>
      <c r="T58" s="39" t="n"/>
      <c r="U58" s="43" t="n"/>
      <c r="V58" s="44">
        <f>IFERROR(IF($A58="","",MAX($F58-$G58,0)),"")</f>
        <v/>
      </c>
      <c r="W58" s="45">
        <f>IFERROR(IF($A58="","",$H58+$I58),"")</f>
        <v/>
      </c>
      <c r="X58" s="45">
        <f>IFERROR(IF($A58="","",$H58*IF($J58="",'Assumptions'!$B$4,$J58)),"")</f>
        <v/>
      </c>
      <c r="Y58" s="45">
        <f>IFERROR(IF($A58="","",$X58*IF($K58="",'Assumptions'!$B$12,$K58)),"")</f>
        <v/>
      </c>
      <c r="Z58" s="45">
        <f>IFERROR(IF($A58="","",($X58+$Y58)*IF($L58="",'Assumptions'!$B$13,$L58)),"")</f>
        <v/>
      </c>
      <c r="AA58" s="45">
        <f>IFERROR(IF($A58="","",$X58+$Y58+$Z58),"")</f>
        <v/>
      </c>
      <c r="AB58" s="45">
        <f>IFERROR(IF($A58="","",$V58*'Assumptions'!$B$5),"")</f>
        <v/>
      </c>
      <c r="AC58" s="45">
        <f>IFERROR(IF($A58="","",$I58*'Assumptions'!$B$6),"")</f>
        <v/>
      </c>
      <c r="AD58" s="45">
        <f>IFERROR(IF($A58="","",$AB58+$AC58),"")</f>
        <v/>
      </c>
      <c r="AE58" s="45">
        <f>IFERROR(IF($A58="","",($M58+$N58)*'Assumptions'!$B$7),"")</f>
        <v/>
      </c>
      <c r="AF58" s="45">
        <f>IFERROR(IF($A58="","",($Q58/60)*'Assumptions'!$B$8),"")</f>
        <v/>
      </c>
      <c r="AG58" s="45">
        <f>IFERROR(IF($A58="","",$P58+$AE58+$AF58),"")</f>
        <v/>
      </c>
      <c r="AH58" s="45">
        <f>IFERROR(IF($A58="","",$M58+$O58),"")</f>
        <v/>
      </c>
      <c r="AI58" s="46">
        <f>IFERROR(IF($A58="","",IFERROR($AH58/$W58,0)),"")</f>
        <v/>
      </c>
      <c r="AJ58" s="45">
        <f>IFERROR(IF($A58="","",$W58-$AH58-$AD58+$AG58),"")</f>
        <v/>
      </c>
      <c r="AK58" s="47">
        <f>IFERROR(IF($A58="","",IF(OR($S58="Collected",$S58="Waived",$S58="Uncollectible",$S58="No Charge Due"),"",IF($T58="",$B58+'Assumptions'!$B$9,$T58+'Assumptions'!$B$9))),"")</f>
        <v/>
      </c>
      <c r="AL58" s="48">
        <f>IFERROR(IF($A58="","",IF(OR($S58="Collected",$S58="Waived",$S58="Uncollectible",$S58="No Charge Due"),"Closed",IF($AK58&lt;TODAY(),"Overdue",IF($AK58=TODAY(),"Due","Open")))),"")</f>
        <v/>
      </c>
      <c r="AM58" s="49">
        <f>IFERROR(IF($A58="","",IF(COUNTIF($A$5:$A$504,$A58)&gt;1,"Duplicate reservation ID",IF($C58&lt;=$B58,"Check stay dates",IF($G58&gt;$F58,"Resold nights exceed booked nights",IF($M58+$N58&gt;$AA58+0.01,"Collection exceeds expected amount",IF(AND($S58="Collected",$M58=0),"Collected status has no amount",IF($AJ58&gt;='Assumptions'!$B$10,"High-cost review","OK"))))))),"")</f>
        <v/>
      </c>
    </row>
    <row r="59">
      <c r="A59" s="38" t="n"/>
      <c r="B59" s="39" t="n"/>
      <c r="C59" s="39" t="n"/>
      <c r="D59" s="38" t="n"/>
      <c r="E59" s="38" t="n"/>
      <c r="F59" s="40" t="n"/>
      <c r="G59" s="40" t="n"/>
      <c r="H59" s="41" t="n"/>
      <c r="I59" s="41" t="n"/>
      <c r="J59" s="42" t="n"/>
      <c r="K59" s="42" t="n"/>
      <c r="L59" s="42" t="n"/>
      <c r="M59" s="41" t="n"/>
      <c r="N59" s="41" t="n"/>
      <c r="O59" s="41" t="n"/>
      <c r="P59" s="41" t="n"/>
      <c r="Q59" s="40" t="n"/>
      <c r="R59" s="38" t="n"/>
      <c r="S59" s="38" t="n"/>
      <c r="T59" s="39" t="n"/>
      <c r="U59" s="43" t="n"/>
      <c r="V59" s="44">
        <f>IFERROR(IF($A59="","",MAX($F59-$G59,0)),"")</f>
        <v/>
      </c>
      <c r="W59" s="45">
        <f>IFERROR(IF($A59="","",$H59+$I59),"")</f>
        <v/>
      </c>
      <c r="X59" s="45">
        <f>IFERROR(IF($A59="","",$H59*IF($J59="",'Assumptions'!$B$4,$J59)),"")</f>
        <v/>
      </c>
      <c r="Y59" s="45">
        <f>IFERROR(IF($A59="","",$X59*IF($K59="",'Assumptions'!$B$12,$K59)),"")</f>
        <v/>
      </c>
      <c r="Z59" s="45">
        <f>IFERROR(IF($A59="","",($X59+$Y59)*IF($L59="",'Assumptions'!$B$13,$L59)),"")</f>
        <v/>
      </c>
      <c r="AA59" s="45">
        <f>IFERROR(IF($A59="","",$X59+$Y59+$Z59),"")</f>
        <v/>
      </c>
      <c r="AB59" s="45">
        <f>IFERROR(IF($A59="","",$V59*'Assumptions'!$B$5),"")</f>
        <v/>
      </c>
      <c r="AC59" s="45">
        <f>IFERROR(IF($A59="","",$I59*'Assumptions'!$B$6),"")</f>
        <v/>
      </c>
      <c r="AD59" s="45">
        <f>IFERROR(IF($A59="","",$AB59+$AC59),"")</f>
        <v/>
      </c>
      <c r="AE59" s="45">
        <f>IFERROR(IF($A59="","",($M59+$N59)*'Assumptions'!$B$7),"")</f>
        <v/>
      </c>
      <c r="AF59" s="45">
        <f>IFERROR(IF($A59="","",($Q59/60)*'Assumptions'!$B$8),"")</f>
        <v/>
      </c>
      <c r="AG59" s="45">
        <f>IFERROR(IF($A59="","",$P59+$AE59+$AF59),"")</f>
        <v/>
      </c>
      <c r="AH59" s="45">
        <f>IFERROR(IF($A59="","",$M59+$O59),"")</f>
        <v/>
      </c>
      <c r="AI59" s="46">
        <f>IFERROR(IF($A59="","",IFERROR($AH59/$W59,0)),"")</f>
        <v/>
      </c>
      <c r="AJ59" s="45">
        <f>IFERROR(IF($A59="","",$W59-$AH59-$AD59+$AG59),"")</f>
        <v/>
      </c>
      <c r="AK59" s="47">
        <f>IFERROR(IF($A59="","",IF(OR($S59="Collected",$S59="Waived",$S59="Uncollectible",$S59="No Charge Due"),"",IF($T59="",$B59+'Assumptions'!$B$9,$T59+'Assumptions'!$B$9))),"")</f>
        <v/>
      </c>
      <c r="AL59" s="48">
        <f>IFERROR(IF($A59="","",IF(OR($S59="Collected",$S59="Waived",$S59="Uncollectible",$S59="No Charge Due"),"Closed",IF($AK59&lt;TODAY(),"Overdue",IF($AK59=TODAY(),"Due","Open")))),"")</f>
        <v/>
      </c>
      <c r="AM59" s="49">
        <f>IFERROR(IF($A59="","",IF(COUNTIF($A$5:$A$504,$A59)&gt;1,"Duplicate reservation ID",IF($C59&lt;=$B59,"Check stay dates",IF($G59&gt;$F59,"Resold nights exceed booked nights",IF($M59+$N59&gt;$AA59+0.01,"Collection exceeds expected amount",IF(AND($S59="Collected",$M59=0),"Collected status has no amount",IF($AJ59&gt;='Assumptions'!$B$10,"High-cost review","OK"))))))),"")</f>
        <v/>
      </c>
    </row>
    <row r="60">
      <c r="A60" s="38" t="n"/>
      <c r="B60" s="39" t="n"/>
      <c r="C60" s="39" t="n"/>
      <c r="D60" s="38" t="n"/>
      <c r="E60" s="38" t="n"/>
      <c r="F60" s="40" t="n"/>
      <c r="G60" s="40" t="n"/>
      <c r="H60" s="41" t="n"/>
      <c r="I60" s="41" t="n"/>
      <c r="J60" s="42" t="n"/>
      <c r="K60" s="42" t="n"/>
      <c r="L60" s="42" t="n"/>
      <c r="M60" s="41" t="n"/>
      <c r="N60" s="41" t="n"/>
      <c r="O60" s="41" t="n"/>
      <c r="P60" s="41" t="n"/>
      <c r="Q60" s="40" t="n"/>
      <c r="R60" s="38" t="n"/>
      <c r="S60" s="38" t="n"/>
      <c r="T60" s="39" t="n"/>
      <c r="U60" s="43" t="n"/>
      <c r="V60" s="44">
        <f>IFERROR(IF($A60="","",MAX($F60-$G60,0)),"")</f>
        <v/>
      </c>
      <c r="W60" s="45">
        <f>IFERROR(IF($A60="","",$H60+$I60),"")</f>
        <v/>
      </c>
      <c r="X60" s="45">
        <f>IFERROR(IF($A60="","",$H60*IF($J60="",'Assumptions'!$B$4,$J60)),"")</f>
        <v/>
      </c>
      <c r="Y60" s="45">
        <f>IFERROR(IF($A60="","",$X60*IF($K60="",'Assumptions'!$B$12,$K60)),"")</f>
        <v/>
      </c>
      <c r="Z60" s="45">
        <f>IFERROR(IF($A60="","",($X60+$Y60)*IF($L60="",'Assumptions'!$B$13,$L60)),"")</f>
        <v/>
      </c>
      <c r="AA60" s="45">
        <f>IFERROR(IF($A60="","",$X60+$Y60+$Z60),"")</f>
        <v/>
      </c>
      <c r="AB60" s="45">
        <f>IFERROR(IF($A60="","",$V60*'Assumptions'!$B$5),"")</f>
        <v/>
      </c>
      <c r="AC60" s="45">
        <f>IFERROR(IF($A60="","",$I60*'Assumptions'!$B$6),"")</f>
        <v/>
      </c>
      <c r="AD60" s="45">
        <f>IFERROR(IF($A60="","",$AB60+$AC60),"")</f>
        <v/>
      </c>
      <c r="AE60" s="45">
        <f>IFERROR(IF($A60="","",($M60+$N60)*'Assumptions'!$B$7),"")</f>
        <v/>
      </c>
      <c r="AF60" s="45">
        <f>IFERROR(IF($A60="","",($Q60/60)*'Assumptions'!$B$8),"")</f>
        <v/>
      </c>
      <c r="AG60" s="45">
        <f>IFERROR(IF($A60="","",$P60+$AE60+$AF60),"")</f>
        <v/>
      </c>
      <c r="AH60" s="45">
        <f>IFERROR(IF($A60="","",$M60+$O60),"")</f>
        <v/>
      </c>
      <c r="AI60" s="46">
        <f>IFERROR(IF($A60="","",IFERROR($AH60/$W60,0)),"")</f>
        <v/>
      </c>
      <c r="AJ60" s="45">
        <f>IFERROR(IF($A60="","",$W60-$AH60-$AD60+$AG60),"")</f>
        <v/>
      </c>
      <c r="AK60" s="47">
        <f>IFERROR(IF($A60="","",IF(OR($S60="Collected",$S60="Waived",$S60="Uncollectible",$S60="No Charge Due"),"",IF($T60="",$B60+'Assumptions'!$B$9,$T60+'Assumptions'!$B$9))),"")</f>
        <v/>
      </c>
      <c r="AL60" s="48">
        <f>IFERROR(IF($A60="","",IF(OR($S60="Collected",$S60="Waived",$S60="Uncollectible",$S60="No Charge Due"),"Closed",IF($AK60&lt;TODAY(),"Overdue",IF($AK60=TODAY(),"Due","Open")))),"")</f>
        <v/>
      </c>
      <c r="AM60" s="49">
        <f>IFERROR(IF($A60="","",IF(COUNTIF($A$5:$A$504,$A60)&gt;1,"Duplicate reservation ID",IF($C60&lt;=$B60,"Check stay dates",IF($G60&gt;$F60,"Resold nights exceed booked nights",IF($M60+$N60&gt;$AA60+0.01,"Collection exceeds expected amount",IF(AND($S60="Collected",$M60=0),"Collected status has no amount",IF($AJ60&gt;='Assumptions'!$B$10,"High-cost review","OK"))))))),"")</f>
        <v/>
      </c>
    </row>
    <row r="61">
      <c r="A61" s="38" t="n"/>
      <c r="B61" s="39" t="n"/>
      <c r="C61" s="39" t="n"/>
      <c r="D61" s="38" t="n"/>
      <c r="E61" s="38" t="n"/>
      <c r="F61" s="40" t="n"/>
      <c r="G61" s="40" t="n"/>
      <c r="H61" s="41" t="n"/>
      <c r="I61" s="41" t="n"/>
      <c r="J61" s="42" t="n"/>
      <c r="K61" s="42" t="n"/>
      <c r="L61" s="42" t="n"/>
      <c r="M61" s="41" t="n"/>
      <c r="N61" s="41" t="n"/>
      <c r="O61" s="41" t="n"/>
      <c r="P61" s="41" t="n"/>
      <c r="Q61" s="40" t="n"/>
      <c r="R61" s="38" t="n"/>
      <c r="S61" s="38" t="n"/>
      <c r="T61" s="39" t="n"/>
      <c r="U61" s="43" t="n"/>
      <c r="V61" s="44">
        <f>IFERROR(IF($A61="","",MAX($F61-$G61,0)),"")</f>
        <v/>
      </c>
      <c r="W61" s="45">
        <f>IFERROR(IF($A61="","",$H61+$I61),"")</f>
        <v/>
      </c>
      <c r="X61" s="45">
        <f>IFERROR(IF($A61="","",$H61*IF($J61="",'Assumptions'!$B$4,$J61)),"")</f>
        <v/>
      </c>
      <c r="Y61" s="45">
        <f>IFERROR(IF($A61="","",$X61*IF($K61="",'Assumptions'!$B$12,$K61)),"")</f>
        <v/>
      </c>
      <c r="Z61" s="45">
        <f>IFERROR(IF($A61="","",($X61+$Y61)*IF($L61="",'Assumptions'!$B$13,$L61)),"")</f>
        <v/>
      </c>
      <c r="AA61" s="45">
        <f>IFERROR(IF($A61="","",$X61+$Y61+$Z61),"")</f>
        <v/>
      </c>
      <c r="AB61" s="45">
        <f>IFERROR(IF($A61="","",$V61*'Assumptions'!$B$5),"")</f>
        <v/>
      </c>
      <c r="AC61" s="45">
        <f>IFERROR(IF($A61="","",$I61*'Assumptions'!$B$6),"")</f>
        <v/>
      </c>
      <c r="AD61" s="45">
        <f>IFERROR(IF($A61="","",$AB61+$AC61),"")</f>
        <v/>
      </c>
      <c r="AE61" s="45">
        <f>IFERROR(IF($A61="","",($M61+$N61)*'Assumptions'!$B$7),"")</f>
        <v/>
      </c>
      <c r="AF61" s="45">
        <f>IFERROR(IF($A61="","",($Q61/60)*'Assumptions'!$B$8),"")</f>
        <v/>
      </c>
      <c r="AG61" s="45">
        <f>IFERROR(IF($A61="","",$P61+$AE61+$AF61),"")</f>
        <v/>
      </c>
      <c r="AH61" s="45">
        <f>IFERROR(IF($A61="","",$M61+$O61),"")</f>
        <v/>
      </c>
      <c r="AI61" s="46">
        <f>IFERROR(IF($A61="","",IFERROR($AH61/$W61,0)),"")</f>
        <v/>
      </c>
      <c r="AJ61" s="45">
        <f>IFERROR(IF($A61="","",$W61-$AH61-$AD61+$AG61),"")</f>
        <v/>
      </c>
      <c r="AK61" s="47">
        <f>IFERROR(IF($A61="","",IF(OR($S61="Collected",$S61="Waived",$S61="Uncollectible",$S61="No Charge Due"),"",IF($T61="",$B61+'Assumptions'!$B$9,$T61+'Assumptions'!$B$9))),"")</f>
        <v/>
      </c>
      <c r="AL61" s="48">
        <f>IFERROR(IF($A61="","",IF(OR($S61="Collected",$S61="Waived",$S61="Uncollectible",$S61="No Charge Due"),"Closed",IF($AK61&lt;TODAY(),"Overdue",IF($AK61=TODAY(),"Due","Open")))),"")</f>
        <v/>
      </c>
      <c r="AM61" s="49">
        <f>IFERROR(IF($A61="","",IF(COUNTIF($A$5:$A$504,$A61)&gt;1,"Duplicate reservation ID",IF($C61&lt;=$B61,"Check stay dates",IF($G61&gt;$F61,"Resold nights exceed booked nights",IF($M61+$N61&gt;$AA61+0.01,"Collection exceeds expected amount",IF(AND($S61="Collected",$M61=0),"Collected status has no amount",IF($AJ61&gt;='Assumptions'!$B$10,"High-cost review","OK"))))))),"")</f>
        <v/>
      </c>
    </row>
    <row r="62">
      <c r="A62" s="38" t="n"/>
      <c r="B62" s="39" t="n"/>
      <c r="C62" s="39" t="n"/>
      <c r="D62" s="38" t="n"/>
      <c r="E62" s="38" t="n"/>
      <c r="F62" s="40" t="n"/>
      <c r="G62" s="40" t="n"/>
      <c r="H62" s="41" t="n"/>
      <c r="I62" s="41" t="n"/>
      <c r="J62" s="42" t="n"/>
      <c r="K62" s="42" t="n"/>
      <c r="L62" s="42" t="n"/>
      <c r="M62" s="41" t="n"/>
      <c r="N62" s="41" t="n"/>
      <c r="O62" s="41" t="n"/>
      <c r="P62" s="41" t="n"/>
      <c r="Q62" s="40" t="n"/>
      <c r="R62" s="38" t="n"/>
      <c r="S62" s="38" t="n"/>
      <c r="T62" s="39" t="n"/>
      <c r="U62" s="43" t="n"/>
      <c r="V62" s="44">
        <f>IFERROR(IF($A62="","",MAX($F62-$G62,0)),"")</f>
        <v/>
      </c>
      <c r="W62" s="45">
        <f>IFERROR(IF($A62="","",$H62+$I62),"")</f>
        <v/>
      </c>
      <c r="X62" s="45">
        <f>IFERROR(IF($A62="","",$H62*IF($J62="",'Assumptions'!$B$4,$J62)),"")</f>
        <v/>
      </c>
      <c r="Y62" s="45">
        <f>IFERROR(IF($A62="","",$X62*IF($K62="",'Assumptions'!$B$12,$K62)),"")</f>
        <v/>
      </c>
      <c r="Z62" s="45">
        <f>IFERROR(IF($A62="","",($X62+$Y62)*IF($L62="",'Assumptions'!$B$13,$L62)),"")</f>
        <v/>
      </c>
      <c r="AA62" s="45">
        <f>IFERROR(IF($A62="","",$X62+$Y62+$Z62),"")</f>
        <v/>
      </c>
      <c r="AB62" s="45">
        <f>IFERROR(IF($A62="","",$V62*'Assumptions'!$B$5),"")</f>
        <v/>
      </c>
      <c r="AC62" s="45">
        <f>IFERROR(IF($A62="","",$I62*'Assumptions'!$B$6),"")</f>
        <v/>
      </c>
      <c r="AD62" s="45">
        <f>IFERROR(IF($A62="","",$AB62+$AC62),"")</f>
        <v/>
      </c>
      <c r="AE62" s="45">
        <f>IFERROR(IF($A62="","",($M62+$N62)*'Assumptions'!$B$7),"")</f>
        <v/>
      </c>
      <c r="AF62" s="45">
        <f>IFERROR(IF($A62="","",($Q62/60)*'Assumptions'!$B$8),"")</f>
        <v/>
      </c>
      <c r="AG62" s="45">
        <f>IFERROR(IF($A62="","",$P62+$AE62+$AF62),"")</f>
        <v/>
      </c>
      <c r="AH62" s="45">
        <f>IFERROR(IF($A62="","",$M62+$O62),"")</f>
        <v/>
      </c>
      <c r="AI62" s="46">
        <f>IFERROR(IF($A62="","",IFERROR($AH62/$W62,0)),"")</f>
        <v/>
      </c>
      <c r="AJ62" s="45">
        <f>IFERROR(IF($A62="","",$W62-$AH62-$AD62+$AG62),"")</f>
        <v/>
      </c>
      <c r="AK62" s="47">
        <f>IFERROR(IF($A62="","",IF(OR($S62="Collected",$S62="Waived",$S62="Uncollectible",$S62="No Charge Due"),"",IF($T62="",$B62+'Assumptions'!$B$9,$T62+'Assumptions'!$B$9))),"")</f>
        <v/>
      </c>
      <c r="AL62" s="48">
        <f>IFERROR(IF($A62="","",IF(OR($S62="Collected",$S62="Waived",$S62="Uncollectible",$S62="No Charge Due"),"Closed",IF($AK62&lt;TODAY(),"Overdue",IF($AK62=TODAY(),"Due","Open")))),"")</f>
        <v/>
      </c>
      <c r="AM62" s="49">
        <f>IFERROR(IF($A62="","",IF(COUNTIF($A$5:$A$504,$A62)&gt;1,"Duplicate reservation ID",IF($C62&lt;=$B62,"Check stay dates",IF($G62&gt;$F62,"Resold nights exceed booked nights",IF($M62+$N62&gt;$AA62+0.01,"Collection exceeds expected amount",IF(AND($S62="Collected",$M62=0),"Collected status has no amount",IF($AJ62&gt;='Assumptions'!$B$10,"High-cost review","OK"))))))),"")</f>
        <v/>
      </c>
    </row>
    <row r="63">
      <c r="A63" s="38" t="n"/>
      <c r="B63" s="39" t="n"/>
      <c r="C63" s="39" t="n"/>
      <c r="D63" s="38" t="n"/>
      <c r="E63" s="38" t="n"/>
      <c r="F63" s="40" t="n"/>
      <c r="G63" s="40" t="n"/>
      <c r="H63" s="41" t="n"/>
      <c r="I63" s="41" t="n"/>
      <c r="J63" s="42" t="n"/>
      <c r="K63" s="42" t="n"/>
      <c r="L63" s="42" t="n"/>
      <c r="M63" s="41" t="n"/>
      <c r="N63" s="41" t="n"/>
      <c r="O63" s="41" t="n"/>
      <c r="P63" s="41" t="n"/>
      <c r="Q63" s="40" t="n"/>
      <c r="R63" s="38" t="n"/>
      <c r="S63" s="38" t="n"/>
      <c r="T63" s="39" t="n"/>
      <c r="U63" s="43" t="n"/>
      <c r="V63" s="44">
        <f>IFERROR(IF($A63="","",MAX($F63-$G63,0)),"")</f>
        <v/>
      </c>
      <c r="W63" s="45">
        <f>IFERROR(IF($A63="","",$H63+$I63),"")</f>
        <v/>
      </c>
      <c r="X63" s="45">
        <f>IFERROR(IF($A63="","",$H63*IF($J63="",'Assumptions'!$B$4,$J63)),"")</f>
        <v/>
      </c>
      <c r="Y63" s="45">
        <f>IFERROR(IF($A63="","",$X63*IF($K63="",'Assumptions'!$B$12,$K63)),"")</f>
        <v/>
      </c>
      <c r="Z63" s="45">
        <f>IFERROR(IF($A63="","",($X63+$Y63)*IF($L63="",'Assumptions'!$B$13,$L63)),"")</f>
        <v/>
      </c>
      <c r="AA63" s="45">
        <f>IFERROR(IF($A63="","",$X63+$Y63+$Z63),"")</f>
        <v/>
      </c>
      <c r="AB63" s="45">
        <f>IFERROR(IF($A63="","",$V63*'Assumptions'!$B$5),"")</f>
        <v/>
      </c>
      <c r="AC63" s="45">
        <f>IFERROR(IF($A63="","",$I63*'Assumptions'!$B$6),"")</f>
        <v/>
      </c>
      <c r="AD63" s="45">
        <f>IFERROR(IF($A63="","",$AB63+$AC63),"")</f>
        <v/>
      </c>
      <c r="AE63" s="45">
        <f>IFERROR(IF($A63="","",($M63+$N63)*'Assumptions'!$B$7),"")</f>
        <v/>
      </c>
      <c r="AF63" s="45">
        <f>IFERROR(IF($A63="","",($Q63/60)*'Assumptions'!$B$8),"")</f>
        <v/>
      </c>
      <c r="AG63" s="45">
        <f>IFERROR(IF($A63="","",$P63+$AE63+$AF63),"")</f>
        <v/>
      </c>
      <c r="AH63" s="45">
        <f>IFERROR(IF($A63="","",$M63+$O63),"")</f>
        <v/>
      </c>
      <c r="AI63" s="46">
        <f>IFERROR(IF($A63="","",IFERROR($AH63/$W63,0)),"")</f>
        <v/>
      </c>
      <c r="AJ63" s="45">
        <f>IFERROR(IF($A63="","",$W63-$AH63-$AD63+$AG63),"")</f>
        <v/>
      </c>
      <c r="AK63" s="47">
        <f>IFERROR(IF($A63="","",IF(OR($S63="Collected",$S63="Waived",$S63="Uncollectible",$S63="No Charge Due"),"",IF($T63="",$B63+'Assumptions'!$B$9,$T63+'Assumptions'!$B$9))),"")</f>
        <v/>
      </c>
      <c r="AL63" s="48">
        <f>IFERROR(IF($A63="","",IF(OR($S63="Collected",$S63="Waived",$S63="Uncollectible",$S63="No Charge Due"),"Closed",IF($AK63&lt;TODAY(),"Overdue",IF($AK63=TODAY(),"Due","Open")))),"")</f>
        <v/>
      </c>
      <c r="AM63" s="49">
        <f>IFERROR(IF($A63="","",IF(COUNTIF($A$5:$A$504,$A63)&gt;1,"Duplicate reservation ID",IF($C63&lt;=$B63,"Check stay dates",IF($G63&gt;$F63,"Resold nights exceed booked nights",IF($M63+$N63&gt;$AA63+0.01,"Collection exceeds expected amount",IF(AND($S63="Collected",$M63=0),"Collected status has no amount",IF($AJ63&gt;='Assumptions'!$B$10,"High-cost review","OK"))))))),"")</f>
        <v/>
      </c>
    </row>
    <row r="64">
      <c r="A64" s="38" t="n"/>
      <c r="B64" s="39" t="n"/>
      <c r="C64" s="39" t="n"/>
      <c r="D64" s="38" t="n"/>
      <c r="E64" s="38" t="n"/>
      <c r="F64" s="40" t="n"/>
      <c r="G64" s="40" t="n"/>
      <c r="H64" s="41" t="n"/>
      <c r="I64" s="41" t="n"/>
      <c r="J64" s="42" t="n"/>
      <c r="K64" s="42" t="n"/>
      <c r="L64" s="42" t="n"/>
      <c r="M64" s="41" t="n"/>
      <c r="N64" s="41" t="n"/>
      <c r="O64" s="41" t="n"/>
      <c r="P64" s="41" t="n"/>
      <c r="Q64" s="40" t="n"/>
      <c r="R64" s="38" t="n"/>
      <c r="S64" s="38" t="n"/>
      <c r="T64" s="39" t="n"/>
      <c r="U64" s="43" t="n"/>
      <c r="V64" s="44">
        <f>IFERROR(IF($A64="","",MAX($F64-$G64,0)),"")</f>
        <v/>
      </c>
      <c r="W64" s="45">
        <f>IFERROR(IF($A64="","",$H64+$I64),"")</f>
        <v/>
      </c>
      <c r="X64" s="45">
        <f>IFERROR(IF($A64="","",$H64*IF($J64="",'Assumptions'!$B$4,$J64)),"")</f>
        <v/>
      </c>
      <c r="Y64" s="45">
        <f>IFERROR(IF($A64="","",$X64*IF($K64="",'Assumptions'!$B$12,$K64)),"")</f>
        <v/>
      </c>
      <c r="Z64" s="45">
        <f>IFERROR(IF($A64="","",($X64+$Y64)*IF($L64="",'Assumptions'!$B$13,$L64)),"")</f>
        <v/>
      </c>
      <c r="AA64" s="45">
        <f>IFERROR(IF($A64="","",$X64+$Y64+$Z64),"")</f>
        <v/>
      </c>
      <c r="AB64" s="45">
        <f>IFERROR(IF($A64="","",$V64*'Assumptions'!$B$5),"")</f>
        <v/>
      </c>
      <c r="AC64" s="45">
        <f>IFERROR(IF($A64="","",$I64*'Assumptions'!$B$6),"")</f>
        <v/>
      </c>
      <c r="AD64" s="45">
        <f>IFERROR(IF($A64="","",$AB64+$AC64),"")</f>
        <v/>
      </c>
      <c r="AE64" s="45">
        <f>IFERROR(IF($A64="","",($M64+$N64)*'Assumptions'!$B$7),"")</f>
        <v/>
      </c>
      <c r="AF64" s="45">
        <f>IFERROR(IF($A64="","",($Q64/60)*'Assumptions'!$B$8),"")</f>
        <v/>
      </c>
      <c r="AG64" s="45">
        <f>IFERROR(IF($A64="","",$P64+$AE64+$AF64),"")</f>
        <v/>
      </c>
      <c r="AH64" s="45">
        <f>IFERROR(IF($A64="","",$M64+$O64),"")</f>
        <v/>
      </c>
      <c r="AI64" s="46">
        <f>IFERROR(IF($A64="","",IFERROR($AH64/$W64,0)),"")</f>
        <v/>
      </c>
      <c r="AJ64" s="45">
        <f>IFERROR(IF($A64="","",$W64-$AH64-$AD64+$AG64),"")</f>
        <v/>
      </c>
      <c r="AK64" s="47">
        <f>IFERROR(IF($A64="","",IF(OR($S64="Collected",$S64="Waived",$S64="Uncollectible",$S64="No Charge Due"),"",IF($T64="",$B64+'Assumptions'!$B$9,$T64+'Assumptions'!$B$9))),"")</f>
        <v/>
      </c>
      <c r="AL64" s="48">
        <f>IFERROR(IF($A64="","",IF(OR($S64="Collected",$S64="Waived",$S64="Uncollectible",$S64="No Charge Due"),"Closed",IF($AK64&lt;TODAY(),"Overdue",IF($AK64=TODAY(),"Due","Open")))),"")</f>
        <v/>
      </c>
      <c r="AM64" s="49">
        <f>IFERROR(IF($A64="","",IF(COUNTIF($A$5:$A$504,$A64)&gt;1,"Duplicate reservation ID",IF($C64&lt;=$B64,"Check stay dates",IF($G64&gt;$F64,"Resold nights exceed booked nights",IF($M64+$N64&gt;$AA64+0.01,"Collection exceeds expected amount",IF(AND($S64="Collected",$M64=0),"Collected status has no amount",IF($AJ64&gt;='Assumptions'!$B$10,"High-cost review","OK"))))))),"")</f>
        <v/>
      </c>
    </row>
    <row r="65">
      <c r="A65" s="38" t="n"/>
      <c r="B65" s="39" t="n"/>
      <c r="C65" s="39" t="n"/>
      <c r="D65" s="38" t="n"/>
      <c r="E65" s="38" t="n"/>
      <c r="F65" s="40" t="n"/>
      <c r="G65" s="40" t="n"/>
      <c r="H65" s="41" t="n"/>
      <c r="I65" s="41" t="n"/>
      <c r="J65" s="42" t="n"/>
      <c r="K65" s="42" t="n"/>
      <c r="L65" s="42" t="n"/>
      <c r="M65" s="41" t="n"/>
      <c r="N65" s="41" t="n"/>
      <c r="O65" s="41" t="n"/>
      <c r="P65" s="41" t="n"/>
      <c r="Q65" s="40" t="n"/>
      <c r="R65" s="38" t="n"/>
      <c r="S65" s="38" t="n"/>
      <c r="T65" s="39" t="n"/>
      <c r="U65" s="43" t="n"/>
      <c r="V65" s="44">
        <f>IFERROR(IF($A65="","",MAX($F65-$G65,0)),"")</f>
        <v/>
      </c>
      <c r="W65" s="45">
        <f>IFERROR(IF($A65="","",$H65+$I65),"")</f>
        <v/>
      </c>
      <c r="X65" s="45">
        <f>IFERROR(IF($A65="","",$H65*IF($J65="",'Assumptions'!$B$4,$J65)),"")</f>
        <v/>
      </c>
      <c r="Y65" s="45">
        <f>IFERROR(IF($A65="","",$X65*IF($K65="",'Assumptions'!$B$12,$K65)),"")</f>
        <v/>
      </c>
      <c r="Z65" s="45">
        <f>IFERROR(IF($A65="","",($X65+$Y65)*IF($L65="",'Assumptions'!$B$13,$L65)),"")</f>
        <v/>
      </c>
      <c r="AA65" s="45">
        <f>IFERROR(IF($A65="","",$X65+$Y65+$Z65),"")</f>
        <v/>
      </c>
      <c r="AB65" s="45">
        <f>IFERROR(IF($A65="","",$V65*'Assumptions'!$B$5),"")</f>
        <v/>
      </c>
      <c r="AC65" s="45">
        <f>IFERROR(IF($A65="","",$I65*'Assumptions'!$B$6),"")</f>
        <v/>
      </c>
      <c r="AD65" s="45">
        <f>IFERROR(IF($A65="","",$AB65+$AC65),"")</f>
        <v/>
      </c>
      <c r="AE65" s="45">
        <f>IFERROR(IF($A65="","",($M65+$N65)*'Assumptions'!$B$7),"")</f>
        <v/>
      </c>
      <c r="AF65" s="45">
        <f>IFERROR(IF($A65="","",($Q65/60)*'Assumptions'!$B$8),"")</f>
        <v/>
      </c>
      <c r="AG65" s="45">
        <f>IFERROR(IF($A65="","",$P65+$AE65+$AF65),"")</f>
        <v/>
      </c>
      <c r="AH65" s="45">
        <f>IFERROR(IF($A65="","",$M65+$O65),"")</f>
        <v/>
      </c>
      <c r="AI65" s="46">
        <f>IFERROR(IF($A65="","",IFERROR($AH65/$W65,0)),"")</f>
        <v/>
      </c>
      <c r="AJ65" s="45">
        <f>IFERROR(IF($A65="","",$W65-$AH65-$AD65+$AG65),"")</f>
        <v/>
      </c>
      <c r="AK65" s="47">
        <f>IFERROR(IF($A65="","",IF(OR($S65="Collected",$S65="Waived",$S65="Uncollectible",$S65="No Charge Due"),"",IF($T65="",$B65+'Assumptions'!$B$9,$T65+'Assumptions'!$B$9))),"")</f>
        <v/>
      </c>
      <c r="AL65" s="48">
        <f>IFERROR(IF($A65="","",IF(OR($S65="Collected",$S65="Waived",$S65="Uncollectible",$S65="No Charge Due"),"Closed",IF($AK65&lt;TODAY(),"Overdue",IF($AK65=TODAY(),"Due","Open")))),"")</f>
        <v/>
      </c>
      <c r="AM65" s="49">
        <f>IFERROR(IF($A65="","",IF(COUNTIF($A$5:$A$504,$A65)&gt;1,"Duplicate reservation ID",IF($C65&lt;=$B65,"Check stay dates",IF($G65&gt;$F65,"Resold nights exceed booked nights",IF($M65+$N65&gt;$AA65+0.01,"Collection exceeds expected amount",IF(AND($S65="Collected",$M65=0),"Collected status has no amount",IF($AJ65&gt;='Assumptions'!$B$10,"High-cost review","OK"))))))),"")</f>
        <v/>
      </c>
    </row>
    <row r="66">
      <c r="A66" s="38" t="n"/>
      <c r="B66" s="39" t="n"/>
      <c r="C66" s="39" t="n"/>
      <c r="D66" s="38" t="n"/>
      <c r="E66" s="38" t="n"/>
      <c r="F66" s="40" t="n"/>
      <c r="G66" s="40" t="n"/>
      <c r="H66" s="41" t="n"/>
      <c r="I66" s="41" t="n"/>
      <c r="J66" s="42" t="n"/>
      <c r="K66" s="42" t="n"/>
      <c r="L66" s="42" t="n"/>
      <c r="M66" s="41" t="n"/>
      <c r="N66" s="41" t="n"/>
      <c r="O66" s="41" t="n"/>
      <c r="P66" s="41" t="n"/>
      <c r="Q66" s="40" t="n"/>
      <c r="R66" s="38" t="n"/>
      <c r="S66" s="38" t="n"/>
      <c r="T66" s="39" t="n"/>
      <c r="U66" s="43" t="n"/>
      <c r="V66" s="44">
        <f>IFERROR(IF($A66="","",MAX($F66-$G66,0)),"")</f>
        <v/>
      </c>
      <c r="W66" s="45">
        <f>IFERROR(IF($A66="","",$H66+$I66),"")</f>
        <v/>
      </c>
      <c r="X66" s="45">
        <f>IFERROR(IF($A66="","",$H66*IF($J66="",'Assumptions'!$B$4,$J66)),"")</f>
        <v/>
      </c>
      <c r="Y66" s="45">
        <f>IFERROR(IF($A66="","",$X66*IF($K66="",'Assumptions'!$B$12,$K66)),"")</f>
        <v/>
      </c>
      <c r="Z66" s="45">
        <f>IFERROR(IF($A66="","",($X66+$Y66)*IF($L66="",'Assumptions'!$B$13,$L66)),"")</f>
        <v/>
      </c>
      <c r="AA66" s="45">
        <f>IFERROR(IF($A66="","",$X66+$Y66+$Z66),"")</f>
        <v/>
      </c>
      <c r="AB66" s="45">
        <f>IFERROR(IF($A66="","",$V66*'Assumptions'!$B$5),"")</f>
        <v/>
      </c>
      <c r="AC66" s="45">
        <f>IFERROR(IF($A66="","",$I66*'Assumptions'!$B$6),"")</f>
        <v/>
      </c>
      <c r="AD66" s="45">
        <f>IFERROR(IF($A66="","",$AB66+$AC66),"")</f>
        <v/>
      </c>
      <c r="AE66" s="45">
        <f>IFERROR(IF($A66="","",($M66+$N66)*'Assumptions'!$B$7),"")</f>
        <v/>
      </c>
      <c r="AF66" s="45">
        <f>IFERROR(IF($A66="","",($Q66/60)*'Assumptions'!$B$8),"")</f>
        <v/>
      </c>
      <c r="AG66" s="45">
        <f>IFERROR(IF($A66="","",$P66+$AE66+$AF66),"")</f>
        <v/>
      </c>
      <c r="AH66" s="45">
        <f>IFERROR(IF($A66="","",$M66+$O66),"")</f>
        <v/>
      </c>
      <c r="AI66" s="46">
        <f>IFERROR(IF($A66="","",IFERROR($AH66/$W66,0)),"")</f>
        <v/>
      </c>
      <c r="AJ66" s="45">
        <f>IFERROR(IF($A66="","",$W66-$AH66-$AD66+$AG66),"")</f>
        <v/>
      </c>
      <c r="AK66" s="47">
        <f>IFERROR(IF($A66="","",IF(OR($S66="Collected",$S66="Waived",$S66="Uncollectible",$S66="No Charge Due"),"",IF($T66="",$B66+'Assumptions'!$B$9,$T66+'Assumptions'!$B$9))),"")</f>
        <v/>
      </c>
      <c r="AL66" s="48">
        <f>IFERROR(IF($A66="","",IF(OR($S66="Collected",$S66="Waived",$S66="Uncollectible",$S66="No Charge Due"),"Closed",IF($AK66&lt;TODAY(),"Overdue",IF($AK66=TODAY(),"Due","Open")))),"")</f>
        <v/>
      </c>
      <c r="AM66" s="49">
        <f>IFERROR(IF($A66="","",IF(COUNTIF($A$5:$A$504,$A66)&gt;1,"Duplicate reservation ID",IF($C66&lt;=$B66,"Check stay dates",IF($G66&gt;$F66,"Resold nights exceed booked nights",IF($M66+$N66&gt;$AA66+0.01,"Collection exceeds expected amount",IF(AND($S66="Collected",$M66=0),"Collected status has no amount",IF($AJ66&gt;='Assumptions'!$B$10,"High-cost review","OK"))))))),"")</f>
        <v/>
      </c>
    </row>
    <row r="67">
      <c r="A67" s="38" t="n"/>
      <c r="B67" s="39" t="n"/>
      <c r="C67" s="39" t="n"/>
      <c r="D67" s="38" t="n"/>
      <c r="E67" s="38" t="n"/>
      <c r="F67" s="40" t="n"/>
      <c r="G67" s="40" t="n"/>
      <c r="H67" s="41" t="n"/>
      <c r="I67" s="41" t="n"/>
      <c r="J67" s="42" t="n"/>
      <c r="K67" s="42" t="n"/>
      <c r="L67" s="42" t="n"/>
      <c r="M67" s="41" t="n"/>
      <c r="N67" s="41" t="n"/>
      <c r="O67" s="41" t="n"/>
      <c r="P67" s="41" t="n"/>
      <c r="Q67" s="40" t="n"/>
      <c r="R67" s="38" t="n"/>
      <c r="S67" s="38" t="n"/>
      <c r="T67" s="39" t="n"/>
      <c r="U67" s="43" t="n"/>
      <c r="V67" s="44">
        <f>IFERROR(IF($A67="","",MAX($F67-$G67,0)),"")</f>
        <v/>
      </c>
      <c r="W67" s="45">
        <f>IFERROR(IF($A67="","",$H67+$I67),"")</f>
        <v/>
      </c>
      <c r="X67" s="45">
        <f>IFERROR(IF($A67="","",$H67*IF($J67="",'Assumptions'!$B$4,$J67)),"")</f>
        <v/>
      </c>
      <c r="Y67" s="45">
        <f>IFERROR(IF($A67="","",$X67*IF($K67="",'Assumptions'!$B$12,$K67)),"")</f>
        <v/>
      </c>
      <c r="Z67" s="45">
        <f>IFERROR(IF($A67="","",($X67+$Y67)*IF($L67="",'Assumptions'!$B$13,$L67)),"")</f>
        <v/>
      </c>
      <c r="AA67" s="45">
        <f>IFERROR(IF($A67="","",$X67+$Y67+$Z67),"")</f>
        <v/>
      </c>
      <c r="AB67" s="45">
        <f>IFERROR(IF($A67="","",$V67*'Assumptions'!$B$5),"")</f>
        <v/>
      </c>
      <c r="AC67" s="45">
        <f>IFERROR(IF($A67="","",$I67*'Assumptions'!$B$6),"")</f>
        <v/>
      </c>
      <c r="AD67" s="45">
        <f>IFERROR(IF($A67="","",$AB67+$AC67),"")</f>
        <v/>
      </c>
      <c r="AE67" s="45">
        <f>IFERROR(IF($A67="","",($M67+$N67)*'Assumptions'!$B$7),"")</f>
        <v/>
      </c>
      <c r="AF67" s="45">
        <f>IFERROR(IF($A67="","",($Q67/60)*'Assumptions'!$B$8),"")</f>
        <v/>
      </c>
      <c r="AG67" s="45">
        <f>IFERROR(IF($A67="","",$P67+$AE67+$AF67),"")</f>
        <v/>
      </c>
      <c r="AH67" s="45">
        <f>IFERROR(IF($A67="","",$M67+$O67),"")</f>
        <v/>
      </c>
      <c r="AI67" s="46">
        <f>IFERROR(IF($A67="","",IFERROR($AH67/$W67,0)),"")</f>
        <v/>
      </c>
      <c r="AJ67" s="45">
        <f>IFERROR(IF($A67="","",$W67-$AH67-$AD67+$AG67),"")</f>
        <v/>
      </c>
      <c r="AK67" s="47">
        <f>IFERROR(IF($A67="","",IF(OR($S67="Collected",$S67="Waived",$S67="Uncollectible",$S67="No Charge Due"),"",IF($T67="",$B67+'Assumptions'!$B$9,$T67+'Assumptions'!$B$9))),"")</f>
        <v/>
      </c>
      <c r="AL67" s="48">
        <f>IFERROR(IF($A67="","",IF(OR($S67="Collected",$S67="Waived",$S67="Uncollectible",$S67="No Charge Due"),"Closed",IF($AK67&lt;TODAY(),"Overdue",IF($AK67=TODAY(),"Due","Open")))),"")</f>
        <v/>
      </c>
      <c r="AM67" s="49">
        <f>IFERROR(IF($A67="","",IF(COUNTIF($A$5:$A$504,$A67)&gt;1,"Duplicate reservation ID",IF($C67&lt;=$B67,"Check stay dates",IF($G67&gt;$F67,"Resold nights exceed booked nights",IF($M67+$N67&gt;$AA67+0.01,"Collection exceeds expected amount",IF(AND($S67="Collected",$M67=0),"Collected status has no amount",IF($AJ67&gt;='Assumptions'!$B$10,"High-cost review","OK"))))))),"")</f>
        <v/>
      </c>
    </row>
    <row r="68">
      <c r="A68" s="38" t="n"/>
      <c r="B68" s="39" t="n"/>
      <c r="C68" s="39" t="n"/>
      <c r="D68" s="38" t="n"/>
      <c r="E68" s="38" t="n"/>
      <c r="F68" s="40" t="n"/>
      <c r="G68" s="40" t="n"/>
      <c r="H68" s="41" t="n"/>
      <c r="I68" s="41" t="n"/>
      <c r="J68" s="42" t="n"/>
      <c r="K68" s="42" t="n"/>
      <c r="L68" s="42" t="n"/>
      <c r="M68" s="41" t="n"/>
      <c r="N68" s="41" t="n"/>
      <c r="O68" s="41" t="n"/>
      <c r="P68" s="41" t="n"/>
      <c r="Q68" s="40" t="n"/>
      <c r="R68" s="38" t="n"/>
      <c r="S68" s="38" t="n"/>
      <c r="T68" s="39" t="n"/>
      <c r="U68" s="43" t="n"/>
      <c r="V68" s="44">
        <f>IFERROR(IF($A68="","",MAX($F68-$G68,0)),"")</f>
        <v/>
      </c>
      <c r="W68" s="45">
        <f>IFERROR(IF($A68="","",$H68+$I68),"")</f>
        <v/>
      </c>
      <c r="X68" s="45">
        <f>IFERROR(IF($A68="","",$H68*IF($J68="",'Assumptions'!$B$4,$J68)),"")</f>
        <v/>
      </c>
      <c r="Y68" s="45">
        <f>IFERROR(IF($A68="","",$X68*IF($K68="",'Assumptions'!$B$12,$K68)),"")</f>
        <v/>
      </c>
      <c r="Z68" s="45">
        <f>IFERROR(IF($A68="","",($X68+$Y68)*IF($L68="",'Assumptions'!$B$13,$L68)),"")</f>
        <v/>
      </c>
      <c r="AA68" s="45">
        <f>IFERROR(IF($A68="","",$X68+$Y68+$Z68),"")</f>
        <v/>
      </c>
      <c r="AB68" s="45">
        <f>IFERROR(IF($A68="","",$V68*'Assumptions'!$B$5),"")</f>
        <v/>
      </c>
      <c r="AC68" s="45">
        <f>IFERROR(IF($A68="","",$I68*'Assumptions'!$B$6),"")</f>
        <v/>
      </c>
      <c r="AD68" s="45">
        <f>IFERROR(IF($A68="","",$AB68+$AC68),"")</f>
        <v/>
      </c>
      <c r="AE68" s="45">
        <f>IFERROR(IF($A68="","",($M68+$N68)*'Assumptions'!$B$7),"")</f>
        <v/>
      </c>
      <c r="AF68" s="45">
        <f>IFERROR(IF($A68="","",($Q68/60)*'Assumptions'!$B$8),"")</f>
        <v/>
      </c>
      <c r="AG68" s="45">
        <f>IFERROR(IF($A68="","",$P68+$AE68+$AF68),"")</f>
        <v/>
      </c>
      <c r="AH68" s="45">
        <f>IFERROR(IF($A68="","",$M68+$O68),"")</f>
        <v/>
      </c>
      <c r="AI68" s="46">
        <f>IFERROR(IF($A68="","",IFERROR($AH68/$W68,0)),"")</f>
        <v/>
      </c>
      <c r="AJ68" s="45">
        <f>IFERROR(IF($A68="","",$W68-$AH68-$AD68+$AG68),"")</f>
        <v/>
      </c>
      <c r="AK68" s="47">
        <f>IFERROR(IF($A68="","",IF(OR($S68="Collected",$S68="Waived",$S68="Uncollectible",$S68="No Charge Due"),"",IF($T68="",$B68+'Assumptions'!$B$9,$T68+'Assumptions'!$B$9))),"")</f>
        <v/>
      </c>
      <c r="AL68" s="48">
        <f>IFERROR(IF($A68="","",IF(OR($S68="Collected",$S68="Waived",$S68="Uncollectible",$S68="No Charge Due"),"Closed",IF($AK68&lt;TODAY(),"Overdue",IF($AK68=TODAY(),"Due","Open")))),"")</f>
        <v/>
      </c>
      <c r="AM68" s="49">
        <f>IFERROR(IF($A68="","",IF(COUNTIF($A$5:$A$504,$A68)&gt;1,"Duplicate reservation ID",IF($C68&lt;=$B68,"Check stay dates",IF($G68&gt;$F68,"Resold nights exceed booked nights",IF($M68+$N68&gt;$AA68+0.01,"Collection exceeds expected amount",IF(AND($S68="Collected",$M68=0),"Collected status has no amount",IF($AJ68&gt;='Assumptions'!$B$10,"High-cost review","OK"))))))),"")</f>
        <v/>
      </c>
    </row>
    <row r="69">
      <c r="A69" s="38" t="n"/>
      <c r="B69" s="39" t="n"/>
      <c r="C69" s="39" t="n"/>
      <c r="D69" s="38" t="n"/>
      <c r="E69" s="38" t="n"/>
      <c r="F69" s="40" t="n"/>
      <c r="G69" s="40" t="n"/>
      <c r="H69" s="41" t="n"/>
      <c r="I69" s="41" t="n"/>
      <c r="J69" s="42" t="n"/>
      <c r="K69" s="42" t="n"/>
      <c r="L69" s="42" t="n"/>
      <c r="M69" s="41" t="n"/>
      <c r="N69" s="41" t="n"/>
      <c r="O69" s="41" t="n"/>
      <c r="P69" s="41" t="n"/>
      <c r="Q69" s="40" t="n"/>
      <c r="R69" s="38" t="n"/>
      <c r="S69" s="38" t="n"/>
      <c r="T69" s="39" t="n"/>
      <c r="U69" s="43" t="n"/>
      <c r="V69" s="44">
        <f>IFERROR(IF($A69="","",MAX($F69-$G69,0)),"")</f>
        <v/>
      </c>
      <c r="W69" s="45">
        <f>IFERROR(IF($A69="","",$H69+$I69),"")</f>
        <v/>
      </c>
      <c r="X69" s="45">
        <f>IFERROR(IF($A69="","",$H69*IF($J69="",'Assumptions'!$B$4,$J69)),"")</f>
        <v/>
      </c>
      <c r="Y69" s="45">
        <f>IFERROR(IF($A69="","",$X69*IF($K69="",'Assumptions'!$B$12,$K69)),"")</f>
        <v/>
      </c>
      <c r="Z69" s="45">
        <f>IFERROR(IF($A69="","",($X69+$Y69)*IF($L69="",'Assumptions'!$B$13,$L69)),"")</f>
        <v/>
      </c>
      <c r="AA69" s="45">
        <f>IFERROR(IF($A69="","",$X69+$Y69+$Z69),"")</f>
        <v/>
      </c>
      <c r="AB69" s="45">
        <f>IFERROR(IF($A69="","",$V69*'Assumptions'!$B$5),"")</f>
        <v/>
      </c>
      <c r="AC69" s="45">
        <f>IFERROR(IF($A69="","",$I69*'Assumptions'!$B$6),"")</f>
        <v/>
      </c>
      <c r="AD69" s="45">
        <f>IFERROR(IF($A69="","",$AB69+$AC69),"")</f>
        <v/>
      </c>
      <c r="AE69" s="45">
        <f>IFERROR(IF($A69="","",($M69+$N69)*'Assumptions'!$B$7),"")</f>
        <v/>
      </c>
      <c r="AF69" s="45">
        <f>IFERROR(IF($A69="","",($Q69/60)*'Assumptions'!$B$8),"")</f>
        <v/>
      </c>
      <c r="AG69" s="45">
        <f>IFERROR(IF($A69="","",$P69+$AE69+$AF69),"")</f>
        <v/>
      </c>
      <c r="AH69" s="45">
        <f>IFERROR(IF($A69="","",$M69+$O69),"")</f>
        <v/>
      </c>
      <c r="AI69" s="46">
        <f>IFERROR(IF($A69="","",IFERROR($AH69/$W69,0)),"")</f>
        <v/>
      </c>
      <c r="AJ69" s="45">
        <f>IFERROR(IF($A69="","",$W69-$AH69-$AD69+$AG69),"")</f>
        <v/>
      </c>
      <c r="AK69" s="47">
        <f>IFERROR(IF($A69="","",IF(OR($S69="Collected",$S69="Waived",$S69="Uncollectible",$S69="No Charge Due"),"",IF($T69="",$B69+'Assumptions'!$B$9,$T69+'Assumptions'!$B$9))),"")</f>
        <v/>
      </c>
      <c r="AL69" s="48">
        <f>IFERROR(IF($A69="","",IF(OR($S69="Collected",$S69="Waived",$S69="Uncollectible",$S69="No Charge Due"),"Closed",IF($AK69&lt;TODAY(),"Overdue",IF($AK69=TODAY(),"Due","Open")))),"")</f>
        <v/>
      </c>
      <c r="AM69" s="49">
        <f>IFERROR(IF($A69="","",IF(COUNTIF($A$5:$A$504,$A69)&gt;1,"Duplicate reservation ID",IF($C69&lt;=$B69,"Check stay dates",IF($G69&gt;$F69,"Resold nights exceed booked nights",IF($M69+$N69&gt;$AA69+0.01,"Collection exceeds expected amount",IF(AND($S69="Collected",$M69=0),"Collected status has no amount",IF($AJ69&gt;='Assumptions'!$B$10,"High-cost review","OK"))))))),"")</f>
        <v/>
      </c>
    </row>
    <row r="70">
      <c r="A70" s="38" t="n"/>
      <c r="B70" s="39" t="n"/>
      <c r="C70" s="39" t="n"/>
      <c r="D70" s="38" t="n"/>
      <c r="E70" s="38" t="n"/>
      <c r="F70" s="40" t="n"/>
      <c r="G70" s="40" t="n"/>
      <c r="H70" s="41" t="n"/>
      <c r="I70" s="41" t="n"/>
      <c r="J70" s="42" t="n"/>
      <c r="K70" s="42" t="n"/>
      <c r="L70" s="42" t="n"/>
      <c r="M70" s="41" t="n"/>
      <c r="N70" s="41" t="n"/>
      <c r="O70" s="41" t="n"/>
      <c r="P70" s="41" t="n"/>
      <c r="Q70" s="40" t="n"/>
      <c r="R70" s="38" t="n"/>
      <c r="S70" s="38" t="n"/>
      <c r="T70" s="39" t="n"/>
      <c r="U70" s="43" t="n"/>
      <c r="V70" s="44">
        <f>IFERROR(IF($A70="","",MAX($F70-$G70,0)),"")</f>
        <v/>
      </c>
      <c r="W70" s="45">
        <f>IFERROR(IF($A70="","",$H70+$I70),"")</f>
        <v/>
      </c>
      <c r="X70" s="45">
        <f>IFERROR(IF($A70="","",$H70*IF($J70="",'Assumptions'!$B$4,$J70)),"")</f>
        <v/>
      </c>
      <c r="Y70" s="45">
        <f>IFERROR(IF($A70="","",$X70*IF($K70="",'Assumptions'!$B$12,$K70)),"")</f>
        <v/>
      </c>
      <c r="Z70" s="45">
        <f>IFERROR(IF($A70="","",($X70+$Y70)*IF($L70="",'Assumptions'!$B$13,$L70)),"")</f>
        <v/>
      </c>
      <c r="AA70" s="45">
        <f>IFERROR(IF($A70="","",$X70+$Y70+$Z70),"")</f>
        <v/>
      </c>
      <c r="AB70" s="45">
        <f>IFERROR(IF($A70="","",$V70*'Assumptions'!$B$5),"")</f>
        <v/>
      </c>
      <c r="AC70" s="45">
        <f>IFERROR(IF($A70="","",$I70*'Assumptions'!$B$6),"")</f>
        <v/>
      </c>
      <c r="AD70" s="45">
        <f>IFERROR(IF($A70="","",$AB70+$AC70),"")</f>
        <v/>
      </c>
      <c r="AE70" s="45">
        <f>IFERROR(IF($A70="","",($M70+$N70)*'Assumptions'!$B$7),"")</f>
        <v/>
      </c>
      <c r="AF70" s="45">
        <f>IFERROR(IF($A70="","",($Q70/60)*'Assumptions'!$B$8),"")</f>
        <v/>
      </c>
      <c r="AG70" s="45">
        <f>IFERROR(IF($A70="","",$P70+$AE70+$AF70),"")</f>
        <v/>
      </c>
      <c r="AH70" s="45">
        <f>IFERROR(IF($A70="","",$M70+$O70),"")</f>
        <v/>
      </c>
      <c r="AI70" s="46">
        <f>IFERROR(IF($A70="","",IFERROR($AH70/$W70,0)),"")</f>
        <v/>
      </c>
      <c r="AJ70" s="45">
        <f>IFERROR(IF($A70="","",$W70-$AH70-$AD70+$AG70),"")</f>
        <v/>
      </c>
      <c r="AK70" s="47">
        <f>IFERROR(IF($A70="","",IF(OR($S70="Collected",$S70="Waived",$S70="Uncollectible",$S70="No Charge Due"),"",IF($T70="",$B70+'Assumptions'!$B$9,$T70+'Assumptions'!$B$9))),"")</f>
        <v/>
      </c>
      <c r="AL70" s="48">
        <f>IFERROR(IF($A70="","",IF(OR($S70="Collected",$S70="Waived",$S70="Uncollectible",$S70="No Charge Due"),"Closed",IF($AK70&lt;TODAY(),"Overdue",IF($AK70=TODAY(),"Due","Open")))),"")</f>
        <v/>
      </c>
      <c r="AM70" s="49">
        <f>IFERROR(IF($A70="","",IF(COUNTIF($A$5:$A$504,$A70)&gt;1,"Duplicate reservation ID",IF($C70&lt;=$B70,"Check stay dates",IF($G70&gt;$F70,"Resold nights exceed booked nights",IF($M70+$N70&gt;$AA70+0.01,"Collection exceeds expected amount",IF(AND($S70="Collected",$M70=0),"Collected status has no amount",IF($AJ70&gt;='Assumptions'!$B$10,"High-cost review","OK"))))))),"")</f>
        <v/>
      </c>
    </row>
    <row r="71">
      <c r="A71" s="38" t="n"/>
      <c r="B71" s="39" t="n"/>
      <c r="C71" s="39" t="n"/>
      <c r="D71" s="38" t="n"/>
      <c r="E71" s="38" t="n"/>
      <c r="F71" s="40" t="n"/>
      <c r="G71" s="40" t="n"/>
      <c r="H71" s="41" t="n"/>
      <c r="I71" s="41" t="n"/>
      <c r="J71" s="42" t="n"/>
      <c r="K71" s="42" t="n"/>
      <c r="L71" s="42" t="n"/>
      <c r="M71" s="41" t="n"/>
      <c r="N71" s="41" t="n"/>
      <c r="O71" s="41" t="n"/>
      <c r="P71" s="41" t="n"/>
      <c r="Q71" s="40" t="n"/>
      <c r="R71" s="38" t="n"/>
      <c r="S71" s="38" t="n"/>
      <c r="T71" s="39" t="n"/>
      <c r="U71" s="43" t="n"/>
      <c r="V71" s="44">
        <f>IFERROR(IF($A71="","",MAX($F71-$G71,0)),"")</f>
        <v/>
      </c>
      <c r="W71" s="45">
        <f>IFERROR(IF($A71="","",$H71+$I71),"")</f>
        <v/>
      </c>
      <c r="X71" s="45">
        <f>IFERROR(IF($A71="","",$H71*IF($J71="",'Assumptions'!$B$4,$J71)),"")</f>
        <v/>
      </c>
      <c r="Y71" s="45">
        <f>IFERROR(IF($A71="","",$X71*IF($K71="",'Assumptions'!$B$12,$K71)),"")</f>
        <v/>
      </c>
      <c r="Z71" s="45">
        <f>IFERROR(IF($A71="","",($X71+$Y71)*IF($L71="",'Assumptions'!$B$13,$L71)),"")</f>
        <v/>
      </c>
      <c r="AA71" s="45">
        <f>IFERROR(IF($A71="","",$X71+$Y71+$Z71),"")</f>
        <v/>
      </c>
      <c r="AB71" s="45">
        <f>IFERROR(IF($A71="","",$V71*'Assumptions'!$B$5),"")</f>
        <v/>
      </c>
      <c r="AC71" s="45">
        <f>IFERROR(IF($A71="","",$I71*'Assumptions'!$B$6),"")</f>
        <v/>
      </c>
      <c r="AD71" s="45">
        <f>IFERROR(IF($A71="","",$AB71+$AC71),"")</f>
        <v/>
      </c>
      <c r="AE71" s="45">
        <f>IFERROR(IF($A71="","",($M71+$N71)*'Assumptions'!$B$7),"")</f>
        <v/>
      </c>
      <c r="AF71" s="45">
        <f>IFERROR(IF($A71="","",($Q71/60)*'Assumptions'!$B$8),"")</f>
        <v/>
      </c>
      <c r="AG71" s="45">
        <f>IFERROR(IF($A71="","",$P71+$AE71+$AF71),"")</f>
        <v/>
      </c>
      <c r="AH71" s="45">
        <f>IFERROR(IF($A71="","",$M71+$O71),"")</f>
        <v/>
      </c>
      <c r="AI71" s="46">
        <f>IFERROR(IF($A71="","",IFERROR($AH71/$W71,0)),"")</f>
        <v/>
      </c>
      <c r="AJ71" s="45">
        <f>IFERROR(IF($A71="","",$W71-$AH71-$AD71+$AG71),"")</f>
        <v/>
      </c>
      <c r="AK71" s="47">
        <f>IFERROR(IF($A71="","",IF(OR($S71="Collected",$S71="Waived",$S71="Uncollectible",$S71="No Charge Due"),"",IF($T71="",$B71+'Assumptions'!$B$9,$T71+'Assumptions'!$B$9))),"")</f>
        <v/>
      </c>
      <c r="AL71" s="48">
        <f>IFERROR(IF($A71="","",IF(OR($S71="Collected",$S71="Waived",$S71="Uncollectible",$S71="No Charge Due"),"Closed",IF($AK71&lt;TODAY(),"Overdue",IF($AK71=TODAY(),"Due","Open")))),"")</f>
        <v/>
      </c>
      <c r="AM71" s="49">
        <f>IFERROR(IF($A71="","",IF(COUNTIF($A$5:$A$504,$A71)&gt;1,"Duplicate reservation ID",IF($C71&lt;=$B71,"Check stay dates",IF($G71&gt;$F71,"Resold nights exceed booked nights",IF($M71+$N71&gt;$AA71+0.01,"Collection exceeds expected amount",IF(AND($S71="Collected",$M71=0),"Collected status has no amount",IF($AJ71&gt;='Assumptions'!$B$10,"High-cost review","OK"))))))),"")</f>
        <v/>
      </c>
    </row>
    <row r="72">
      <c r="A72" s="38" t="n"/>
      <c r="B72" s="39" t="n"/>
      <c r="C72" s="39" t="n"/>
      <c r="D72" s="38" t="n"/>
      <c r="E72" s="38" t="n"/>
      <c r="F72" s="40" t="n"/>
      <c r="G72" s="40" t="n"/>
      <c r="H72" s="41" t="n"/>
      <c r="I72" s="41" t="n"/>
      <c r="J72" s="42" t="n"/>
      <c r="K72" s="42" t="n"/>
      <c r="L72" s="42" t="n"/>
      <c r="M72" s="41" t="n"/>
      <c r="N72" s="41" t="n"/>
      <c r="O72" s="41" t="n"/>
      <c r="P72" s="41" t="n"/>
      <c r="Q72" s="40" t="n"/>
      <c r="R72" s="38" t="n"/>
      <c r="S72" s="38" t="n"/>
      <c r="T72" s="39" t="n"/>
      <c r="U72" s="43" t="n"/>
      <c r="V72" s="44">
        <f>IFERROR(IF($A72="","",MAX($F72-$G72,0)),"")</f>
        <v/>
      </c>
      <c r="W72" s="45">
        <f>IFERROR(IF($A72="","",$H72+$I72),"")</f>
        <v/>
      </c>
      <c r="X72" s="45">
        <f>IFERROR(IF($A72="","",$H72*IF($J72="",'Assumptions'!$B$4,$J72)),"")</f>
        <v/>
      </c>
      <c r="Y72" s="45">
        <f>IFERROR(IF($A72="","",$X72*IF($K72="",'Assumptions'!$B$12,$K72)),"")</f>
        <v/>
      </c>
      <c r="Z72" s="45">
        <f>IFERROR(IF($A72="","",($X72+$Y72)*IF($L72="",'Assumptions'!$B$13,$L72)),"")</f>
        <v/>
      </c>
      <c r="AA72" s="45">
        <f>IFERROR(IF($A72="","",$X72+$Y72+$Z72),"")</f>
        <v/>
      </c>
      <c r="AB72" s="45">
        <f>IFERROR(IF($A72="","",$V72*'Assumptions'!$B$5),"")</f>
        <v/>
      </c>
      <c r="AC72" s="45">
        <f>IFERROR(IF($A72="","",$I72*'Assumptions'!$B$6),"")</f>
        <v/>
      </c>
      <c r="AD72" s="45">
        <f>IFERROR(IF($A72="","",$AB72+$AC72),"")</f>
        <v/>
      </c>
      <c r="AE72" s="45">
        <f>IFERROR(IF($A72="","",($M72+$N72)*'Assumptions'!$B$7),"")</f>
        <v/>
      </c>
      <c r="AF72" s="45">
        <f>IFERROR(IF($A72="","",($Q72/60)*'Assumptions'!$B$8),"")</f>
        <v/>
      </c>
      <c r="AG72" s="45">
        <f>IFERROR(IF($A72="","",$P72+$AE72+$AF72),"")</f>
        <v/>
      </c>
      <c r="AH72" s="45">
        <f>IFERROR(IF($A72="","",$M72+$O72),"")</f>
        <v/>
      </c>
      <c r="AI72" s="46">
        <f>IFERROR(IF($A72="","",IFERROR($AH72/$W72,0)),"")</f>
        <v/>
      </c>
      <c r="AJ72" s="45">
        <f>IFERROR(IF($A72="","",$W72-$AH72-$AD72+$AG72),"")</f>
        <v/>
      </c>
      <c r="AK72" s="47">
        <f>IFERROR(IF($A72="","",IF(OR($S72="Collected",$S72="Waived",$S72="Uncollectible",$S72="No Charge Due"),"",IF($T72="",$B72+'Assumptions'!$B$9,$T72+'Assumptions'!$B$9))),"")</f>
        <v/>
      </c>
      <c r="AL72" s="48">
        <f>IFERROR(IF($A72="","",IF(OR($S72="Collected",$S72="Waived",$S72="Uncollectible",$S72="No Charge Due"),"Closed",IF($AK72&lt;TODAY(),"Overdue",IF($AK72=TODAY(),"Due","Open")))),"")</f>
        <v/>
      </c>
      <c r="AM72" s="49">
        <f>IFERROR(IF($A72="","",IF(COUNTIF($A$5:$A$504,$A72)&gt;1,"Duplicate reservation ID",IF($C72&lt;=$B72,"Check stay dates",IF($G72&gt;$F72,"Resold nights exceed booked nights",IF($M72+$N72&gt;$AA72+0.01,"Collection exceeds expected amount",IF(AND($S72="Collected",$M72=0),"Collected status has no amount",IF($AJ72&gt;='Assumptions'!$B$10,"High-cost review","OK"))))))),"")</f>
        <v/>
      </c>
    </row>
    <row r="73">
      <c r="A73" s="38" t="n"/>
      <c r="B73" s="39" t="n"/>
      <c r="C73" s="39" t="n"/>
      <c r="D73" s="38" t="n"/>
      <c r="E73" s="38" t="n"/>
      <c r="F73" s="40" t="n"/>
      <c r="G73" s="40" t="n"/>
      <c r="H73" s="41" t="n"/>
      <c r="I73" s="41" t="n"/>
      <c r="J73" s="42" t="n"/>
      <c r="K73" s="42" t="n"/>
      <c r="L73" s="42" t="n"/>
      <c r="M73" s="41" t="n"/>
      <c r="N73" s="41" t="n"/>
      <c r="O73" s="41" t="n"/>
      <c r="P73" s="41" t="n"/>
      <c r="Q73" s="40" t="n"/>
      <c r="R73" s="38" t="n"/>
      <c r="S73" s="38" t="n"/>
      <c r="T73" s="39" t="n"/>
      <c r="U73" s="43" t="n"/>
      <c r="V73" s="44">
        <f>IFERROR(IF($A73="","",MAX($F73-$G73,0)),"")</f>
        <v/>
      </c>
      <c r="W73" s="45">
        <f>IFERROR(IF($A73="","",$H73+$I73),"")</f>
        <v/>
      </c>
      <c r="X73" s="45">
        <f>IFERROR(IF($A73="","",$H73*IF($J73="",'Assumptions'!$B$4,$J73)),"")</f>
        <v/>
      </c>
      <c r="Y73" s="45">
        <f>IFERROR(IF($A73="","",$X73*IF($K73="",'Assumptions'!$B$12,$K73)),"")</f>
        <v/>
      </c>
      <c r="Z73" s="45">
        <f>IFERROR(IF($A73="","",($X73+$Y73)*IF($L73="",'Assumptions'!$B$13,$L73)),"")</f>
        <v/>
      </c>
      <c r="AA73" s="45">
        <f>IFERROR(IF($A73="","",$X73+$Y73+$Z73),"")</f>
        <v/>
      </c>
      <c r="AB73" s="45">
        <f>IFERROR(IF($A73="","",$V73*'Assumptions'!$B$5),"")</f>
        <v/>
      </c>
      <c r="AC73" s="45">
        <f>IFERROR(IF($A73="","",$I73*'Assumptions'!$B$6),"")</f>
        <v/>
      </c>
      <c r="AD73" s="45">
        <f>IFERROR(IF($A73="","",$AB73+$AC73),"")</f>
        <v/>
      </c>
      <c r="AE73" s="45">
        <f>IFERROR(IF($A73="","",($M73+$N73)*'Assumptions'!$B$7),"")</f>
        <v/>
      </c>
      <c r="AF73" s="45">
        <f>IFERROR(IF($A73="","",($Q73/60)*'Assumptions'!$B$8),"")</f>
        <v/>
      </c>
      <c r="AG73" s="45">
        <f>IFERROR(IF($A73="","",$P73+$AE73+$AF73),"")</f>
        <v/>
      </c>
      <c r="AH73" s="45">
        <f>IFERROR(IF($A73="","",$M73+$O73),"")</f>
        <v/>
      </c>
      <c r="AI73" s="46">
        <f>IFERROR(IF($A73="","",IFERROR($AH73/$W73,0)),"")</f>
        <v/>
      </c>
      <c r="AJ73" s="45">
        <f>IFERROR(IF($A73="","",$W73-$AH73-$AD73+$AG73),"")</f>
        <v/>
      </c>
      <c r="AK73" s="47">
        <f>IFERROR(IF($A73="","",IF(OR($S73="Collected",$S73="Waived",$S73="Uncollectible",$S73="No Charge Due"),"",IF($T73="",$B73+'Assumptions'!$B$9,$T73+'Assumptions'!$B$9))),"")</f>
        <v/>
      </c>
      <c r="AL73" s="48">
        <f>IFERROR(IF($A73="","",IF(OR($S73="Collected",$S73="Waived",$S73="Uncollectible",$S73="No Charge Due"),"Closed",IF($AK73&lt;TODAY(),"Overdue",IF($AK73=TODAY(),"Due","Open")))),"")</f>
        <v/>
      </c>
      <c r="AM73" s="49">
        <f>IFERROR(IF($A73="","",IF(COUNTIF($A$5:$A$504,$A73)&gt;1,"Duplicate reservation ID",IF($C73&lt;=$B73,"Check stay dates",IF($G73&gt;$F73,"Resold nights exceed booked nights",IF($M73+$N73&gt;$AA73+0.01,"Collection exceeds expected amount",IF(AND($S73="Collected",$M73=0),"Collected status has no amount",IF($AJ73&gt;='Assumptions'!$B$10,"High-cost review","OK"))))))),"")</f>
        <v/>
      </c>
    </row>
    <row r="74">
      <c r="A74" s="38" t="n"/>
      <c r="B74" s="39" t="n"/>
      <c r="C74" s="39" t="n"/>
      <c r="D74" s="38" t="n"/>
      <c r="E74" s="38" t="n"/>
      <c r="F74" s="40" t="n"/>
      <c r="G74" s="40" t="n"/>
      <c r="H74" s="41" t="n"/>
      <c r="I74" s="41" t="n"/>
      <c r="J74" s="42" t="n"/>
      <c r="K74" s="42" t="n"/>
      <c r="L74" s="42" t="n"/>
      <c r="M74" s="41" t="n"/>
      <c r="N74" s="41" t="n"/>
      <c r="O74" s="41" t="n"/>
      <c r="P74" s="41" t="n"/>
      <c r="Q74" s="40" t="n"/>
      <c r="R74" s="38" t="n"/>
      <c r="S74" s="38" t="n"/>
      <c r="T74" s="39" t="n"/>
      <c r="U74" s="43" t="n"/>
      <c r="V74" s="44">
        <f>IFERROR(IF($A74="","",MAX($F74-$G74,0)),"")</f>
        <v/>
      </c>
      <c r="W74" s="45">
        <f>IFERROR(IF($A74="","",$H74+$I74),"")</f>
        <v/>
      </c>
      <c r="X74" s="45">
        <f>IFERROR(IF($A74="","",$H74*IF($J74="",'Assumptions'!$B$4,$J74)),"")</f>
        <v/>
      </c>
      <c r="Y74" s="45">
        <f>IFERROR(IF($A74="","",$X74*IF($K74="",'Assumptions'!$B$12,$K74)),"")</f>
        <v/>
      </c>
      <c r="Z74" s="45">
        <f>IFERROR(IF($A74="","",($X74+$Y74)*IF($L74="",'Assumptions'!$B$13,$L74)),"")</f>
        <v/>
      </c>
      <c r="AA74" s="45">
        <f>IFERROR(IF($A74="","",$X74+$Y74+$Z74),"")</f>
        <v/>
      </c>
      <c r="AB74" s="45">
        <f>IFERROR(IF($A74="","",$V74*'Assumptions'!$B$5),"")</f>
        <v/>
      </c>
      <c r="AC74" s="45">
        <f>IFERROR(IF($A74="","",$I74*'Assumptions'!$B$6),"")</f>
        <v/>
      </c>
      <c r="AD74" s="45">
        <f>IFERROR(IF($A74="","",$AB74+$AC74),"")</f>
        <v/>
      </c>
      <c r="AE74" s="45">
        <f>IFERROR(IF($A74="","",($M74+$N74)*'Assumptions'!$B$7),"")</f>
        <v/>
      </c>
      <c r="AF74" s="45">
        <f>IFERROR(IF($A74="","",($Q74/60)*'Assumptions'!$B$8),"")</f>
        <v/>
      </c>
      <c r="AG74" s="45">
        <f>IFERROR(IF($A74="","",$P74+$AE74+$AF74),"")</f>
        <v/>
      </c>
      <c r="AH74" s="45">
        <f>IFERROR(IF($A74="","",$M74+$O74),"")</f>
        <v/>
      </c>
      <c r="AI74" s="46">
        <f>IFERROR(IF($A74="","",IFERROR($AH74/$W74,0)),"")</f>
        <v/>
      </c>
      <c r="AJ74" s="45">
        <f>IFERROR(IF($A74="","",$W74-$AH74-$AD74+$AG74),"")</f>
        <v/>
      </c>
      <c r="AK74" s="47">
        <f>IFERROR(IF($A74="","",IF(OR($S74="Collected",$S74="Waived",$S74="Uncollectible",$S74="No Charge Due"),"",IF($T74="",$B74+'Assumptions'!$B$9,$T74+'Assumptions'!$B$9))),"")</f>
        <v/>
      </c>
      <c r="AL74" s="48">
        <f>IFERROR(IF($A74="","",IF(OR($S74="Collected",$S74="Waived",$S74="Uncollectible",$S74="No Charge Due"),"Closed",IF($AK74&lt;TODAY(),"Overdue",IF($AK74=TODAY(),"Due","Open")))),"")</f>
        <v/>
      </c>
      <c r="AM74" s="49">
        <f>IFERROR(IF($A74="","",IF(COUNTIF($A$5:$A$504,$A74)&gt;1,"Duplicate reservation ID",IF($C74&lt;=$B74,"Check stay dates",IF($G74&gt;$F74,"Resold nights exceed booked nights",IF($M74+$N74&gt;$AA74+0.01,"Collection exceeds expected amount",IF(AND($S74="Collected",$M74=0),"Collected status has no amount",IF($AJ74&gt;='Assumptions'!$B$10,"High-cost review","OK"))))))),"")</f>
        <v/>
      </c>
    </row>
    <row r="75">
      <c r="A75" s="38" t="n"/>
      <c r="B75" s="39" t="n"/>
      <c r="C75" s="39" t="n"/>
      <c r="D75" s="38" t="n"/>
      <c r="E75" s="38" t="n"/>
      <c r="F75" s="40" t="n"/>
      <c r="G75" s="40" t="n"/>
      <c r="H75" s="41" t="n"/>
      <c r="I75" s="41" t="n"/>
      <c r="J75" s="42" t="n"/>
      <c r="K75" s="42" t="n"/>
      <c r="L75" s="42" t="n"/>
      <c r="M75" s="41" t="n"/>
      <c r="N75" s="41" t="n"/>
      <c r="O75" s="41" t="n"/>
      <c r="P75" s="41" t="n"/>
      <c r="Q75" s="40" t="n"/>
      <c r="R75" s="38" t="n"/>
      <c r="S75" s="38" t="n"/>
      <c r="T75" s="39" t="n"/>
      <c r="U75" s="43" t="n"/>
      <c r="V75" s="44">
        <f>IFERROR(IF($A75="","",MAX($F75-$G75,0)),"")</f>
        <v/>
      </c>
      <c r="W75" s="45">
        <f>IFERROR(IF($A75="","",$H75+$I75),"")</f>
        <v/>
      </c>
      <c r="X75" s="45">
        <f>IFERROR(IF($A75="","",$H75*IF($J75="",'Assumptions'!$B$4,$J75)),"")</f>
        <v/>
      </c>
      <c r="Y75" s="45">
        <f>IFERROR(IF($A75="","",$X75*IF($K75="",'Assumptions'!$B$12,$K75)),"")</f>
        <v/>
      </c>
      <c r="Z75" s="45">
        <f>IFERROR(IF($A75="","",($X75+$Y75)*IF($L75="",'Assumptions'!$B$13,$L75)),"")</f>
        <v/>
      </c>
      <c r="AA75" s="45">
        <f>IFERROR(IF($A75="","",$X75+$Y75+$Z75),"")</f>
        <v/>
      </c>
      <c r="AB75" s="45">
        <f>IFERROR(IF($A75="","",$V75*'Assumptions'!$B$5),"")</f>
        <v/>
      </c>
      <c r="AC75" s="45">
        <f>IFERROR(IF($A75="","",$I75*'Assumptions'!$B$6),"")</f>
        <v/>
      </c>
      <c r="AD75" s="45">
        <f>IFERROR(IF($A75="","",$AB75+$AC75),"")</f>
        <v/>
      </c>
      <c r="AE75" s="45">
        <f>IFERROR(IF($A75="","",($M75+$N75)*'Assumptions'!$B$7),"")</f>
        <v/>
      </c>
      <c r="AF75" s="45">
        <f>IFERROR(IF($A75="","",($Q75/60)*'Assumptions'!$B$8),"")</f>
        <v/>
      </c>
      <c r="AG75" s="45">
        <f>IFERROR(IF($A75="","",$P75+$AE75+$AF75),"")</f>
        <v/>
      </c>
      <c r="AH75" s="45">
        <f>IFERROR(IF($A75="","",$M75+$O75),"")</f>
        <v/>
      </c>
      <c r="AI75" s="46">
        <f>IFERROR(IF($A75="","",IFERROR($AH75/$W75,0)),"")</f>
        <v/>
      </c>
      <c r="AJ75" s="45">
        <f>IFERROR(IF($A75="","",$W75-$AH75-$AD75+$AG75),"")</f>
        <v/>
      </c>
      <c r="AK75" s="47">
        <f>IFERROR(IF($A75="","",IF(OR($S75="Collected",$S75="Waived",$S75="Uncollectible",$S75="No Charge Due"),"",IF($T75="",$B75+'Assumptions'!$B$9,$T75+'Assumptions'!$B$9))),"")</f>
        <v/>
      </c>
      <c r="AL75" s="48">
        <f>IFERROR(IF($A75="","",IF(OR($S75="Collected",$S75="Waived",$S75="Uncollectible",$S75="No Charge Due"),"Closed",IF($AK75&lt;TODAY(),"Overdue",IF($AK75=TODAY(),"Due","Open")))),"")</f>
        <v/>
      </c>
      <c r="AM75" s="49">
        <f>IFERROR(IF($A75="","",IF(COUNTIF($A$5:$A$504,$A75)&gt;1,"Duplicate reservation ID",IF($C75&lt;=$B75,"Check stay dates",IF($G75&gt;$F75,"Resold nights exceed booked nights",IF($M75+$N75&gt;$AA75+0.01,"Collection exceeds expected amount",IF(AND($S75="Collected",$M75=0),"Collected status has no amount",IF($AJ75&gt;='Assumptions'!$B$10,"High-cost review","OK"))))))),"")</f>
        <v/>
      </c>
    </row>
    <row r="76">
      <c r="A76" s="38" t="n"/>
      <c r="B76" s="39" t="n"/>
      <c r="C76" s="39" t="n"/>
      <c r="D76" s="38" t="n"/>
      <c r="E76" s="38" t="n"/>
      <c r="F76" s="40" t="n"/>
      <c r="G76" s="40" t="n"/>
      <c r="H76" s="41" t="n"/>
      <c r="I76" s="41" t="n"/>
      <c r="J76" s="42" t="n"/>
      <c r="K76" s="42" t="n"/>
      <c r="L76" s="42" t="n"/>
      <c r="M76" s="41" t="n"/>
      <c r="N76" s="41" t="n"/>
      <c r="O76" s="41" t="n"/>
      <c r="P76" s="41" t="n"/>
      <c r="Q76" s="40" t="n"/>
      <c r="R76" s="38" t="n"/>
      <c r="S76" s="38" t="n"/>
      <c r="T76" s="39" t="n"/>
      <c r="U76" s="43" t="n"/>
      <c r="V76" s="44">
        <f>IFERROR(IF($A76="","",MAX($F76-$G76,0)),"")</f>
        <v/>
      </c>
      <c r="W76" s="45">
        <f>IFERROR(IF($A76="","",$H76+$I76),"")</f>
        <v/>
      </c>
      <c r="X76" s="45">
        <f>IFERROR(IF($A76="","",$H76*IF($J76="",'Assumptions'!$B$4,$J76)),"")</f>
        <v/>
      </c>
      <c r="Y76" s="45">
        <f>IFERROR(IF($A76="","",$X76*IF($K76="",'Assumptions'!$B$12,$K76)),"")</f>
        <v/>
      </c>
      <c r="Z76" s="45">
        <f>IFERROR(IF($A76="","",($X76+$Y76)*IF($L76="",'Assumptions'!$B$13,$L76)),"")</f>
        <v/>
      </c>
      <c r="AA76" s="45">
        <f>IFERROR(IF($A76="","",$X76+$Y76+$Z76),"")</f>
        <v/>
      </c>
      <c r="AB76" s="45">
        <f>IFERROR(IF($A76="","",$V76*'Assumptions'!$B$5),"")</f>
        <v/>
      </c>
      <c r="AC76" s="45">
        <f>IFERROR(IF($A76="","",$I76*'Assumptions'!$B$6),"")</f>
        <v/>
      </c>
      <c r="AD76" s="45">
        <f>IFERROR(IF($A76="","",$AB76+$AC76),"")</f>
        <v/>
      </c>
      <c r="AE76" s="45">
        <f>IFERROR(IF($A76="","",($M76+$N76)*'Assumptions'!$B$7),"")</f>
        <v/>
      </c>
      <c r="AF76" s="45">
        <f>IFERROR(IF($A76="","",($Q76/60)*'Assumptions'!$B$8),"")</f>
        <v/>
      </c>
      <c r="AG76" s="45">
        <f>IFERROR(IF($A76="","",$P76+$AE76+$AF76),"")</f>
        <v/>
      </c>
      <c r="AH76" s="45">
        <f>IFERROR(IF($A76="","",$M76+$O76),"")</f>
        <v/>
      </c>
      <c r="AI76" s="46">
        <f>IFERROR(IF($A76="","",IFERROR($AH76/$W76,0)),"")</f>
        <v/>
      </c>
      <c r="AJ76" s="45">
        <f>IFERROR(IF($A76="","",$W76-$AH76-$AD76+$AG76),"")</f>
        <v/>
      </c>
      <c r="AK76" s="47">
        <f>IFERROR(IF($A76="","",IF(OR($S76="Collected",$S76="Waived",$S76="Uncollectible",$S76="No Charge Due"),"",IF($T76="",$B76+'Assumptions'!$B$9,$T76+'Assumptions'!$B$9))),"")</f>
        <v/>
      </c>
      <c r="AL76" s="48">
        <f>IFERROR(IF($A76="","",IF(OR($S76="Collected",$S76="Waived",$S76="Uncollectible",$S76="No Charge Due"),"Closed",IF($AK76&lt;TODAY(),"Overdue",IF($AK76=TODAY(),"Due","Open")))),"")</f>
        <v/>
      </c>
      <c r="AM76" s="49">
        <f>IFERROR(IF($A76="","",IF(COUNTIF($A$5:$A$504,$A76)&gt;1,"Duplicate reservation ID",IF($C76&lt;=$B76,"Check stay dates",IF($G76&gt;$F76,"Resold nights exceed booked nights",IF($M76+$N76&gt;$AA76+0.01,"Collection exceeds expected amount",IF(AND($S76="Collected",$M76=0),"Collected status has no amount",IF($AJ76&gt;='Assumptions'!$B$10,"High-cost review","OK"))))))),"")</f>
        <v/>
      </c>
    </row>
    <row r="77">
      <c r="A77" s="38" t="n"/>
      <c r="B77" s="39" t="n"/>
      <c r="C77" s="39" t="n"/>
      <c r="D77" s="38" t="n"/>
      <c r="E77" s="38" t="n"/>
      <c r="F77" s="40" t="n"/>
      <c r="G77" s="40" t="n"/>
      <c r="H77" s="41" t="n"/>
      <c r="I77" s="41" t="n"/>
      <c r="J77" s="42" t="n"/>
      <c r="K77" s="42" t="n"/>
      <c r="L77" s="42" t="n"/>
      <c r="M77" s="41" t="n"/>
      <c r="N77" s="41" t="n"/>
      <c r="O77" s="41" t="n"/>
      <c r="P77" s="41" t="n"/>
      <c r="Q77" s="40" t="n"/>
      <c r="R77" s="38" t="n"/>
      <c r="S77" s="38" t="n"/>
      <c r="T77" s="39" t="n"/>
      <c r="U77" s="43" t="n"/>
      <c r="V77" s="44">
        <f>IFERROR(IF($A77="","",MAX($F77-$G77,0)),"")</f>
        <v/>
      </c>
      <c r="W77" s="45">
        <f>IFERROR(IF($A77="","",$H77+$I77),"")</f>
        <v/>
      </c>
      <c r="X77" s="45">
        <f>IFERROR(IF($A77="","",$H77*IF($J77="",'Assumptions'!$B$4,$J77)),"")</f>
        <v/>
      </c>
      <c r="Y77" s="45">
        <f>IFERROR(IF($A77="","",$X77*IF($K77="",'Assumptions'!$B$12,$K77)),"")</f>
        <v/>
      </c>
      <c r="Z77" s="45">
        <f>IFERROR(IF($A77="","",($X77+$Y77)*IF($L77="",'Assumptions'!$B$13,$L77)),"")</f>
        <v/>
      </c>
      <c r="AA77" s="45">
        <f>IFERROR(IF($A77="","",$X77+$Y77+$Z77),"")</f>
        <v/>
      </c>
      <c r="AB77" s="45">
        <f>IFERROR(IF($A77="","",$V77*'Assumptions'!$B$5),"")</f>
        <v/>
      </c>
      <c r="AC77" s="45">
        <f>IFERROR(IF($A77="","",$I77*'Assumptions'!$B$6),"")</f>
        <v/>
      </c>
      <c r="AD77" s="45">
        <f>IFERROR(IF($A77="","",$AB77+$AC77),"")</f>
        <v/>
      </c>
      <c r="AE77" s="45">
        <f>IFERROR(IF($A77="","",($M77+$N77)*'Assumptions'!$B$7),"")</f>
        <v/>
      </c>
      <c r="AF77" s="45">
        <f>IFERROR(IF($A77="","",($Q77/60)*'Assumptions'!$B$8),"")</f>
        <v/>
      </c>
      <c r="AG77" s="45">
        <f>IFERROR(IF($A77="","",$P77+$AE77+$AF77),"")</f>
        <v/>
      </c>
      <c r="AH77" s="45">
        <f>IFERROR(IF($A77="","",$M77+$O77),"")</f>
        <v/>
      </c>
      <c r="AI77" s="46">
        <f>IFERROR(IF($A77="","",IFERROR($AH77/$W77,0)),"")</f>
        <v/>
      </c>
      <c r="AJ77" s="45">
        <f>IFERROR(IF($A77="","",$W77-$AH77-$AD77+$AG77),"")</f>
        <v/>
      </c>
      <c r="AK77" s="47">
        <f>IFERROR(IF($A77="","",IF(OR($S77="Collected",$S77="Waived",$S77="Uncollectible",$S77="No Charge Due"),"",IF($T77="",$B77+'Assumptions'!$B$9,$T77+'Assumptions'!$B$9))),"")</f>
        <v/>
      </c>
      <c r="AL77" s="48">
        <f>IFERROR(IF($A77="","",IF(OR($S77="Collected",$S77="Waived",$S77="Uncollectible",$S77="No Charge Due"),"Closed",IF($AK77&lt;TODAY(),"Overdue",IF($AK77=TODAY(),"Due","Open")))),"")</f>
        <v/>
      </c>
      <c r="AM77" s="49">
        <f>IFERROR(IF($A77="","",IF(COUNTIF($A$5:$A$504,$A77)&gt;1,"Duplicate reservation ID",IF($C77&lt;=$B77,"Check stay dates",IF($G77&gt;$F77,"Resold nights exceed booked nights",IF($M77+$N77&gt;$AA77+0.01,"Collection exceeds expected amount",IF(AND($S77="Collected",$M77=0),"Collected status has no amount",IF($AJ77&gt;='Assumptions'!$B$10,"High-cost review","OK"))))))),"")</f>
        <v/>
      </c>
    </row>
    <row r="78">
      <c r="A78" s="38" t="n"/>
      <c r="B78" s="39" t="n"/>
      <c r="C78" s="39" t="n"/>
      <c r="D78" s="38" t="n"/>
      <c r="E78" s="38" t="n"/>
      <c r="F78" s="40" t="n"/>
      <c r="G78" s="40" t="n"/>
      <c r="H78" s="41" t="n"/>
      <c r="I78" s="41" t="n"/>
      <c r="J78" s="42" t="n"/>
      <c r="K78" s="42" t="n"/>
      <c r="L78" s="42" t="n"/>
      <c r="M78" s="41" t="n"/>
      <c r="N78" s="41" t="n"/>
      <c r="O78" s="41" t="n"/>
      <c r="P78" s="41" t="n"/>
      <c r="Q78" s="40" t="n"/>
      <c r="R78" s="38" t="n"/>
      <c r="S78" s="38" t="n"/>
      <c r="T78" s="39" t="n"/>
      <c r="U78" s="43" t="n"/>
      <c r="V78" s="44">
        <f>IFERROR(IF($A78="","",MAX($F78-$G78,0)),"")</f>
        <v/>
      </c>
      <c r="W78" s="45">
        <f>IFERROR(IF($A78="","",$H78+$I78),"")</f>
        <v/>
      </c>
      <c r="X78" s="45">
        <f>IFERROR(IF($A78="","",$H78*IF($J78="",'Assumptions'!$B$4,$J78)),"")</f>
        <v/>
      </c>
      <c r="Y78" s="45">
        <f>IFERROR(IF($A78="","",$X78*IF($K78="",'Assumptions'!$B$12,$K78)),"")</f>
        <v/>
      </c>
      <c r="Z78" s="45">
        <f>IFERROR(IF($A78="","",($X78+$Y78)*IF($L78="",'Assumptions'!$B$13,$L78)),"")</f>
        <v/>
      </c>
      <c r="AA78" s="45">
        <f>IFERROR(IF($A78="","",$X78+$Y78+$Z78),"")</f>
        <v/>
      </c>
      <c r="AB78" s="45">
        <f>IFERROR(IF($A78="","",$V78*'Assumptions'!$B$5),"")</f>
        <v/>
      </c>
      <c r="AC78" s="45">
        <f>IFERROR(IF($A78="","",$I78*'Assumptions'!$B$6),"")</f>
        <v/>
      </c>
      <c r="AD78" s="45">
        <f>IFERROR(IF($A78="","",$AB78+$AC78),"")</f>
        <v/>
      </c>
      <c r="AE78" s="45">
        <f>IFERROR(IF($A78="","",($M78+$N78)*'Assumptions'!$B$7),"")</f>
        <v/>
      </c>
      <c r="AF78" s="45">
        <f>IFERROR(IF($A78="","",($Q78/60)*'Assumptions'!$B$8),"")</f>
        <v/>
      </c>
      <c r="AG78" s="45">
        <f>IFERROR(IF($A78="","",$P78+$AE78+$AF78),"")</f>
        <v/>
      </c>
      <c r="AH78" s="45">
        <f>IFERROR(IF($A78="","",$M78+$O78),"")</f>
        <v/>
      </c>
      <c r="AI78" s="46">
        <f>IFERROR(IF($A78="","",IFERROR($AH78/$W78,0)),"")</f>
        <v/>
      </c>
      <c r="AJ78" s="45">
        <f>IFERROR(IF($A78="","",$W78-$AH78-$AD78+$AG78),"")</f>
        <v/>
      </c>
      <c r="AK78" s="47">
        <f>IFERROR(IF($A78="","",IF(OR($S78="Collected",$S78="Waived",$S78="Uncollectible",$S78="No Charge Due"),"",IF($T78="",$B78+'Assumptions'!$B$9,$T78+'Assumptions'!$B$9))),"")</f>
        <v/>
      </c>
      <c r="AL78" s="48">
        <f>IFERROR(IF($A78="","",IF(OR($S78="Collected",$S78="Waived",$S78="Uncollectible",$S78="No Charge Due"),"Closed",IF($AK78&lt;TODAY(),"Overdue",IF($AK78=TODAY(),"Due","Open")))),"")</f>
        <v/>
      </c>
      <c r="AM78" s="49">
        <f>IFERROR(IF($A78="","",IF(COUNTIF($A$5:$A$504,$A78)&gt;1,"Duplicate reservation ID",IF($C78&lt;=$B78,"Check stay dates",IF($G78&gt;$F78,"Resold nights exceed booked nights",IF($M78+$N78&gt;$AA78+0.01,"Collection exceeds expected amount",IF(AND($S78="Collected",$M78=0),"Collected status has no amount",IF($AJ78&gt;='Assumptions'!$B$10,"High-cost review","OK"))))))),"")</f>
        <v/>
      </c>
    </row>
    <row r="79">
      <c r="A79" s="38" t="n"/>
      <c r="B79" s="39" t="n"/>
      <c r="C79" s="39" t="n"/>
      <c r="D79" s="38" t="n"/>
      <c r="E79" s="38" t="n"/>
      <c r="F79" s="40" t="n"/>
      <c r="G79" s="40" t="n"/>
      <c r="H79" s="41" t="n"/>
      <c r="I79" s="41" t="n"/>
      <c r="J79" s="42" t="n"/>
      <c r="K79" s="42" t="n"/>
      <c r="L79" s="42" t="n"/>
      <c r="M79" s="41" t="n"/>
      <c r="N79" s="41" t="n"/>
      <c r="O79" s="41" t="n"/>
      <c r="P79" s="41" t="n"/>
      <c r="Q79" s="40" t="n"/>
      <c r="R79" s="38" t="n"/>
      <c r="S79" s="38" t="n"/>
      <c r="T79" s="39" t="n"/>
      <c r="U79" s="43" t="n"/>
      <c r="V79" s="44">
        <f>IFERROR(IF($A79="","",MAX($F79-$G79,0)),"")</f>
        <v/>
      </c>
      <c r="W79" s="45">
        <f>IFERROR(IF($A79="","",$H79+$I79),"")</f>
        <v/>
      </c>
      <c r="X79" s="45">
        <f>IFERROR(IF($A79="","",$H79*IF($J79="",'Assumptions'!$B$4,$J79)),"")</f>
        <v/>
      </c>
      <c r="Y79" s="45">
        <f>IFERROR(IF($A79="","",$X79*IF($K79="",'Assumptions'!$B$12,$K79)),"")</f>
        <v/>
      </c>
      <c r="Z79" s="45">
        <f>IFERROR(IF($A79="","",($X79+$Y79)*IF($L79="",'Assumptions'!$B$13,$L79)),"")</f>
        <v/>
      </c>
      <c r="AA79" s="45">
        <f>IFERROR(IF($A79="","",$X79+$Y79+$Z79),"")</f>
        <v/>
      </c>
      <c r="AB79" s="45">
        <f>IFERROR(IF($A79="","",$V79*'Assumptions'!$B$5),"")</f>
        <v/>
      </c>
      <c r="AC79" s="45">
        <f>IFERROR(IF($A79="","",$I79*'Assumptions'!$B$6),"")</f>
        <v/>
      </c>
      <c r="AD79" s="45">
        <f>IFERROR(IF($A79="","",$AB79+$AC79),"")</f>
        <v/>
      </c>
      <c r="AE79" s="45">
        <f>IFERROR(IF($A79="","",($M79+$N79)*'Assumptions'!$B$7),"")</f>
        <v/>
      </c>
      <c r="AF79" s="45">
        <f>IFERROR(IF($A79="","",($Q79/60)*'Assumptions'!$B$8),"")</f>
        <v/>
      </c>
      <c r="AG79" s="45">
        <f>IFERROR(IF($A79="","",$P79+$AE79+$AF79),"")</f>
        <v/>
      </c>
      <c r="AH79" s="45">
        <f>IFERROR(IF($A79="","",$M79+$O79),"")</f>
        <v/>
      </c>
      <c r="AI79" s="46">
        <f>IFERROR(IF($A79="","",IFERROR($AH79/$W79,0)),"")</f>
        <v/>
      </c>
      <c r="AJ79" s="45">
        <f>IFERROR(IF($A79="","",$W79-$AH79-$AD79+$AG79),"")</f>
        <v/>
      </c>
      <c r="AK79" s="47">
        <f>IFERROR(IF($A79="","",IF(OR($S79="Collected",$S79="Waived",$S79="Uncollectible",$S79="No Charge Due"),"",IF($T79="",$B79+'Assumptions'!$B$9,$T79+'Assumptions'!$B$9))),"")</f>
        <v/>
      </c>
      <c r="AL79" s="48">
        <f>IFERROR(IF($A79="","",IF(OR($S79="Collected",$S79="Waived",$S79="Uncollectible",$S79="No Charge Due"),"Closed",IF($AK79&lt;TODAY(),"Overdue",IF($AK79=TODAY(),"Due","Open")))),"")</f>
        <v/>
      </c>
      <c r="AM79" s="49">
        <f>IFERROR(IF($A79="","",IF(COUNTIF($A$5:$A$504,$A79)&gt;1,"Duplicate reservation ID",IF($C79&lt;=$B79,"Check stay dates",IF($G79&gt;$F79,"Resold nights exceed booked nights",IF($M79+$N79&gt;$AA79+0.01,"Collection exceeds expected amount",IF(AND($S79="Collected",$M79=0),"Collected status has no amount",IF($AJ79&gt;='Assumptions'!$B$10,"High-cost review","OK"))))))),"")</f>
        <v/>
      </c>
    </row>
    <row r="80">
      <c r="A80" s="38" t="n"/>
      <c r="B80" s="39" t="n"/>
      <c r="C80" s="39" t="n"/>
      <c r="D80" s="38" t="n"/>
      <c r="E80" s="38" t="n"/>
      <c r="F80" s="40" t="n"/>
      <c r="G80" s="40" t="n"/>
      <c r="H80" s="41" t="n"/>
      <c r="I80" s="41" t="n"/>
      <c r="J80" s="42" t="n"/>
      <c r="K80" s="42" t="n"/>
      <c r="L80" s="42" t="n"/>
      <c r="M80" s="41" t="n"/>
      <c r="N80" s="41" t="n"/>
      <c r="O80" s="41" t="n"/>
      <c r="P80" s="41" t="n"/>
      <c r="Q80" s="40" t="n"/>
      <c r="R80" s="38" t="n"/>
      <c r="S80" s="38" t="n"/>
      <c r="T80" s="39" t="n"/>
      <c r="U80" s="43" t="n"/>
      <c r="V80" s="44">
        <f>IFERROR(IF($A80="","",MAX($F80-$G80,0)),"")</f>
        <v/>
      </c>
      <c r="W80" s="45">
        <f>IFERROR(IF($A80="","",$H80+$I80),"")</f>
        <v/>
      </c>
      <c r="X80" s="45">
        <f>IFERROR(IF($A80="","",$H80*IF($J80="",'Assumptions'!$B$4,$J80)),"")</f>
        <v/>
      </c>
      <c r="Y80" s="45">
        <f>IFERROR(IF($A80="","",$X80*IF($K80="",'Assumptions'!$B$12,$K80)),"")</f>
        <v/>
      </c>
      <c r="Z80" s="45">
        <f>IFERROR(IF($A80="","",($X80+$Y80)*IF($L80="",'Assumptions'!$B$13,$L80)),"")</f>
        <v/>
      </c>
      <c r="AA80" s="45">
        <f>IFERROR(IF($A80="","",$X80+$Y80+$Z80),"")</f>
        <v/>
      </c>
      <c r="AB80" s="45">
        <f>IFERROR(IF($A80="","",$V80*'Assumptions'!$B$5),"")</f>
        <v/>
      </c>
      <c r="AC80" s="45">
        <f>IFERROR(IF($A80="","",$I80*'Assumptions'!$B$6),"")</f>
        <v/>
      </c>
      <c r="AD80" s="45">
        <f>IFERROR(IF($A80="","",$AB80+$AC80),"")</f>
        <v/>
      </c>
      <c r="AE80" s="45">
        <f>IFERROR(IF($A80="","",($M80+$N80)*'Assumptions'!$B$7),"")</f>
        <v/>
      </c>
      <c r="AF80" s="45">
        <f>IFERROR(IF($A80="","",($Q80/60)*'Assumptions'!$B$8),"")</f>
        <v/>
      </c>
      <c r="AG80" s="45">
        <f>IFERROR(IF($A80="","",$P80+$AE80+$AF80),"")</f>
        <v/>
      </c>
      <c r="AH80" s="45">
        <f>IFERROR(IF($A80="","",$M80+$O80),"")</f>
        <v/>
      </c>
      <c r="AI80" s="46">
        <f>IFERROR(IF($A80="","",IFERROR($AH80/$W80,0)),"")</f>
        <v/>
      </c>
      <c r="AJ80" s="45">
        <f>IFERROR(IF($A80="","",$W80-$AH80-$AD80+$AG80),"")</f>
        <v/>
      </c>
      <c r="AK80" s="47">
        <f>IFERROR(IF($A80="","",IF(OR($S80="Collected",$S80="Waived",$S80="Uncollectible",$S80="No Charge Due"),"",IF($T80="",$B80+'Assumptions'!$B$9,$T80+'Assumptions'!$B$9))),"")</f>
        <v/>
      </c>
      <c r="AL80" s="48">
        <f>IFERROR(IF($A80="","",IF(OR($S80="Collected",$S80="Waived",$S80="Uncollectible",$S80="No Charge Due"),"Closed",IF($AK80&lt;TODAY(),"Overdue",IF($AK80=TODAY(),"Due","Open")))),"")</f>
        <v/>
      </c>
      <c r="AM80" s="49">
        <f>IFERROR(IF($A80="","",IF(COUNTIF($A$5:$A$504,$A80)&gt;1,"Duplicate reservation ID",IF($C80&lt;=$B80,"Check stay dates",IF($G80&gt;$F80,"Resold nights exceed booked nights",IF($M80+$N80&gt;$AA80+0.01,"Collection exceeds expected amount",IF(AND($S80="Collected",$M80=0),"Collected status has no amount",IF($AJ80&gt;='Assumptions'!$B$10,"High-cost review","OK"))))))),"")</f>
        <v/>
      </c>
    </row>
    <row r="81">
      <c r="A81" s="38" t="n"/>
      <c r="B81" s="39" t="n"/>
      <c r="C81" s="39" t="n"/>
      <c r="D81" s="38" t="n"/>
      <c r="E81" s="38" t="n"/>
      <c r="F81" s="40" t="n"/>
      <c r="G81" s="40" t="n"/>
      <c r="H81" s="41" t="n"/>
      <c r="I81" s="41" t="n"/>
      <c r="J81" s="42" t="n"/>
      <c r="K81" s="42" t="n"/>
      <c r="L81" s="42" t="n"/>
      <c r="M81" s="41" t="n"/>
      <c r="N81" s="41" t="n"/>
      <c r="O81" s="41" t="n"/>
      <c r="P81" s="41" t="n"/>
      <c r="Q81" s="40" t="n"/>
      <c r="R81" s="38" t="n"/>
      <c r="S81" s="38" t="n"/>
      <c r="T81" s="39" t="n"/>
      <c r="U81" s="43" t="n"/>
      <c r="V81" s="44">
        <f>IFERROR(IF($A81="","",MAX($F81-$G81,0)),"")</f>
        <v/>
      </c>
      <c r="W81" s="45">
        <f>IFERROR(IF($A81="","",$H81+$I81),"")</f>
        <v/>
      </c>
      <c r="X81" s="45">
        <f>IFERROR(IF($A81="","",$H81*IF($J81="",'Assumptions'!$B$4,$J81)),"")</f>
        <v/>
      </c>
      <c r="Y81" s="45">
        <f>IFERROR(IF($A81="","",$X81*IF($K81="",'Assumptions'!$B$12,$K81)),"")</f>
        <v/>
      </c>
      <c r="Z81" s="45">
        <f>IFERROR(IF($A81="","",($X81+$Y81)*IF($L81="",'Assumptions'!$B$13,$L81)),"")</f>
        <v/>
      </c>
      <c r="AA81" s="45">
        <f>IFERROR(IF($A81="","",$X81+$Y81+$Z81),"")</f>
        <v/>
      </c>
      <c r="AB81" s="45">
        <f>IFERROR(IF($A81="","",$V81*'Assumptions'!$B$5),"")</f>
        <v/>
      </c>
      <c r="AC81" s="45">
        <f>IFERROR(IF($A81="","",$I81*'Assumptions'!$B$6),"")</f>
        <v/>
      </c>
      <c r="AD81" s="45">
        <f>IFERROR(IF($A81="","",$AB81+$AC81),"")</f>
        <v/>
      </c>
      <c r="AE81" s="45">
        <f>IFERROR(IF($A81="","",($M81+$N81)*'Assumptions'!$B$7),"")</f>
        <v/>
      </c>
      <c r="AF81" s="45">
        <f>IFERROR(IF($A81="","",($Q81/60)*'Assumptions'!$B$8),"")</f>
        <v/>
      </c>
      <c r="AG81" s="45">
        <f>IFERROR(IF($A81="","",$P81+$AE81+$AF81),"")</f>
        <v/>
      </c>
      <c r="AH81" s="45">
        <f>IFERROR(IF($A81="","",$M81+$O81),"")</f>
        <v/>
      </c>
      <c r="AI81" s="46">
        <f>IFERROR(IF($A81="","",IFERROR($AH81/$W81,0)),"")</f>
        <v/>
      </c>
      <c r="AJ81" s="45">
        <f>IFERROR(IF($A81="","",$W81-$AH81-$AD81+$AG81),"")</f>
        <v/>
      </c>
      <c r="AK81" s="47">
        <f>IFERROR(IF($A81="","",IF(OR($S81="Collected",$S81="Waived",$S81="Uncollectible",$S81="No Charge Due"),"",IF($T81="",$B81+'Assumptions'!$B$9,$T81+'Assumptions'!$B$9))),"")</f>
        <v/>
      </c>
      <c r="AL81" s="48">
        <f>IFERROR(IF($A81="","",IF(OR($S81="Collected",$S81="Waived",$S81="Uncollectible",$S81="No Charge Due"),"Closed",IF($AK81&lt;TODAY(),"Overdue",IF($AK81=TODAY(),"Due","Open")))),"")</f>
        <v/>
      </c>
      <c r="AM81" s="49">
        <f>IFERROR(IF($A81="","",IF(COUNTIF($A$5:$A$504,$A81)&gt;1,"Duplicate reservation ID",IF($C81&lt;=$B81,"Check stay dates",IF($G81&gt;$F81,"Resold nights exceed booked nights",IF($M81+$N81&gt;$AA81+0.01,"Collection exceeds expected amount",IF(AND($S81="Collected",$M81=0),"Collected status has no amount",IF($AJ81&gt;='Assumptions'!$B$10,"High-cost review","OK"))))))),"")</f>
        <v/>
      </c>
    </row>
    <row r="82">
      <c r="A82" s="38" t="n"/>
      <c r="B82" s="39" t="n"/>
      <c r="C82" s="39" t="n"/>
      <c r="D82" s="38" t="n"/>
      <c r="E82" s="38" t="n"/>
      <c r="F82" s="40" t="n"/>
      <c r="G82" s="40" t="n"/>
      <c r="H82" s="41" t="n"/>
      <c r="I82" s="41" t="n"/>
      <c r="J82" s="42" t="n"/>
      <c r="K82" s="42" t="n"/>
      <c r="L82" s="42" t="n"/>
      <c r="M82" s="41" t="n"/>
      <c r="N82" s="41" t="n"/>
      <c r="O82" s="41" t="n"/>
      <c r="P82" s="41" t="n"/>
      <c r="Q82" s="40" t="n"/>
      <c r="R82" s="38" t="n"/>
      <c r="S82" s="38" t="n"/>
      <c r="T82" s="39" t="n"/>
      <c r="U82" s="43" t="n"/>
      <c r="V82" s="44">
        <f>IFERROR(IF($A82="","",MAX($F82-$G82,0)),"")</f>
        <v/>
      </c>
      <c r="W82" s="45">
        <f>IFERROR(IF($A82="","",$H82+$I82),"")</f>
        <v/>
      </c>
      <c r="X82" s="45">
        <f>IFERROR(IF($A82="","",$H82*IF($J82="",'Assumptions'!$B$4,$J82)),"")</f>
        <v/>
      </c>
      <c r="Y82" s="45">
        <f>IFERROR(IF($A82="","",$X82*IF($K82="",'Assumptions'!$B$12,$K82)),"")</f>
        <v/>
      </c>
      <c r="Z82" s="45">
        <f>IFERROR(IF($A82="","",($X82+$Y82)*IF($L82="",'Assumptions'!$B$13,$L82)),"")</f>
        <v/>
      </c>
      <c r="AA82" s="45">
        <f>IFERROR(IF($A82="","",$X82+$Y82+$Z82),"")</f>
        <v/>
      </c>
      <c r="AB82" s="45">
        <f>IFERROR(IF($A82="","",$V82*'Assumptions'!$B$5),"")</f>
        <v/>
      </c>
      <c r="AC82" s="45">
        <f>IFERROR(IF($A82="","",$I82*'Assumptions'!$B$6),"")</f>
        <v/>
      </c>
      <c r="AD82" s="45">
        <f>IFERROR(IF($A82="","",$AB82+$AC82),"")</f>
        <v/>
      </c>
      <c r="AE82" s="45">
        <f>IFERROR(IF($A82="","",($M82+$N82)*'Assumptions'!$B$7),"")</f>
        <v/>
      </c>
      <c r="AF82" s="45">
        <f>IFERROR(IF($A82="","",($Q82/60)*'Assumptions'!$B$8),"")</f>
        <v/>
      </c>
      <c r="AG82" s="45">
        <f>IFERROR(IF($A82="","",$P82+$AE82+$AF82),"")</f>
        <v/>
      </c>
      <c r="AH82" s="45">
        <f>IFERROR(IF($A82="","",$M82+$O82),"")</f>
        <v/>
      </c>
      <c r="AI82" s="46">
        <f>IFERROR(IF($A82="","",IFERROR($AH82/$W82,0)),"")</f>
        <v/>
      </c>
      <c r="AJ82" s="45">
        <f>IFERROR(IF($A82="","",$W82-$AH82-$AD82+$AG82),"")</f>
        <v/>
      </c>
      <c r="AK82" s="47">
        <f>IFERROR(IF($A82="","",IF(OR($S82="Collected",$S82="Waived",$S82="Uncollectible",$S82="No Charge Due"),"",IF($T82="",$B82+'Assumptions'!$B$9,$T82+'Assumptions'!$B$9))),"")</f>
        <v/>
      </c>
      <c r="AL82" s="48">
        <f>IFERROR(IF($A82="","",IF(OR($S82="Collected",$S82="Waived",$S82="Uncollectible",$S82="No Charge Due"),"Closed",IF($AK82&lt;TODAY(),"Overdue",IF($AK82=TODAY(),"Due","Open")))),"")</f>
        <v/>
      </c>
      <c r="AM82" s="49">
        <f>IFERROR(IF($A82="","",IF(COUNTIF($A$5:$A$504,$A82)&gt;1,"Duplicate reservation ID",IF($C82&lt;=$B82,"Check stay dates",IF($G82&gt;$F82,"Resold nights exceed booked nights",IF($M82+$N82&gt;$AA82+0.01,"Collection exceeds expected amount",IF(AND($S82="Collected",$M82=0),"Collected status has no amount",IF($AJ82&gt;='Assumptions'!$B$10,"High-cost review","OK"))))))),"")</f>
        <v/>
      </c>
    </row>
    <row r="83">
      <c r="A83" s="38" t="n"/>
      <c r="B83" s="39" t="n"/>
      <c r="C83" s="39" t="n"/>
      <c r="D83" s="38" t="n"/>
      <c r="E83" s="38" t="n"/>
      <c r="F83" s="40" t="n"/>
      <c r="G83" s="40" t="n"/>
      <c r="H83" s="41" t="n"/>
      <c r="I83" s="41" t="n"/>
      <c r="J83" s="42" t="n"/>
      <c r="K83" s="42" t="n"/>
      <c r="L83" s="42" t="n"/>
      <c r="M83" s="41" t="n"/>
      <c r="N83" s="41" t="n"/>
      <c r="O83" s="41" t="n"/>
      <c r="P83" s="41" t="n"/>
      <c r="Q83" s="40" t="n"/>
      <c r="R83" s="38" t="n"/>
      <c r="S83" s="38" t="n"/>
      <c r="T83" s="39" t="n"/>
      <c r="U83" s="43" t="n"/>
      <c r="V83" s="44">
        <f>IFERROR(IF($A83="","",MAX($F83-$G83,0)),"")</f>
        <v/>
      </c>
      <c r="W83" s="45">
        <f>IFERROR(IF($A83="","",$H83+$I83),"")</f>
        <v/>
      </c>
      <c r="X83" s="45">
        <f>IFERROR(IF($A83="","",$H83*IF($J83="",'Assumptions'!$B$4,$J83)),"")</f>
        <v/>
      </c>
      <c r="Y83" s="45">
        <f>IFERROR(IF($A83="","",$X83*IF($K83="",'Assumptions'!$B$12,$K83)),"")</f>
        <v/>
      </c>
      <c r="Z83" s="45">
        <f>IFERROR(IF($A83="","",($X83+$Y83)*IF($L83="",'Assumptions'!$B$13,$L83)),"")</f>
        <v/>
      </c>
      <c r="AA83" s="45">
        <f>IFERROR(IF($A83="","",$X83+$Y83+$Z83),"")</f>
        <v/>
      </c>
      <c r="AB83" s="45">
        <f>IFERROR(IF($A83="","",$V83*'Assumptions'!$B$5),"")</f>
        <v/>
      </c>
      <c r="AC83" s="45">
        <f>IFERROR(IF($A83="","",$I83*'Assumptions'!$B$6),"")</f>
        <v/>
      </c>
      <c r="AD83" s="45">
        <f>IFERROR(IF($A83="","",$AB83+$AC83),"")</f>
        <v/>
      </c>
      <c r="AE83" s="45">
        <f>IFERROR(IF($A83="","",($M83+$N83)*'Assumptions'!$B$7),"")</f>
        <v/>
      </c>
      <c r="AF83" s="45">
        <f>IFERROR(IF($A83="","",($Q83/60)*'Assumptions'!$B$8),"")</f>
        <v/>
      </c>
      <c r="AG83" s="45">
        <f>IFERROR(IF($A83="","",$P83+$AE83+$AF83),"")</f>
        <v/>
      </c>
      <c r="AH83" s="45">
        <f>IFERROR(IF($A83="","",$M83+$O83),"")</f>
        <v/>
      </c>
      <c r="AI83" s="46">
        <f>IFERROR(IF($A83="","",IFERROR($AH83/$W83,0)),"")</f>
        <v/>
      </c>
      <c r="AJ83" s="45">
        <f>IFERROR(IF($A83="","",$W83-$AH83-$AD83+$AG83),"")</f>
        <v/>
      </c>
      <c r="AK83" s="47">
        <f>IFERROR(IF($A83="","",IF(OR($S83="Collected",$S83="Waived",$S83="Uncollectible",$S83="No Charge Due"),"",IF($T83="",$B83+'Assumptions'!$B$9,$T83+'Assumptions'!$B$9))),"")</f>
        <v/>
      </c>
      <c r="AL83" s="48">
        <f>IFERROR(IF($A83="","",IF(OR($S83="Collected",$S83="Waived",$S83="Uncollectible",$S83="No Charge Due"),"Closed",IF($AK83&lt;TODAY(),"Overdue",IF($AK83=TODAY(),"Due","Open")))),"")</f>
        <v/>
      </c>
      <c r="AM83" s="49">
        <f>IFERROR(IF($A83="","",IF(COUNTIF($A$5:$A$504,$A83)&gt;1,"Duplicate reservation ID",IF($C83&lt;=$B83,"Check stay dates",IF($G83&gt;$F83,"Resold nights exceed booked nights",IF($M83+$N83&gt;$AA83+0.01,"Collection exceeds expected amount",IF(AND($S83="Collected",$M83=0),"Collected status has no amount",IF($AJ83&gt;='Assumptions'!$B$10,"High-cost review","OK"))))))),"")</f>
        <v/>
      </c>
    </row>
    <row r="84">
      <c r="A84" s="38" t="n"/>
      <c r="B84" s="39" t="n"/>
      <c r="C84" s="39" t="n"/>
      <c r="D84" s="38" t="n"/>
      <c r="E84" s="38" t="n"/>
      <c r="F84" s="40" t="n"/>
      <c r="G84" s="40" t="n"/>
      <c r="H84" s="41" t="n"/>
      <c r="I84" s="41" t="n"/>
      <c r="J84" s="42" t="n"/>
      <c r="K84" s="42" t="n"/>
      <c r="L84" s="42" t="n"/>
      <c r="M84" s="41" t="n"/>
      <c r="N84" s="41" t="n"/>
      <c r="O84" s="41" t="n"/>
      <c r="P84" s="41" t="n"/>
      <c r="Q84" s="40" t="n"/>
      <c r="R84" s="38" t="n"/>
      <c r="S84" s="38" t="n"/>
      <c r="T84" s="39" t="n"/>
      <c r="U84" s="43" t="n"/>
      <c r="V84" s="44">
        <f>IFERROR(IF($A84="","",MAX($F84-$G84,0)),"")</f>
        <v/>
      </c>
      <c r="W84" s="45">
        <f>IFERROR(IF($A84="","",$H84+$I84),"")</f>
        <v/>
      </c>
      <c r="X84" s="45">
        <f>IFERROR(IF($A84="","",$H84*IF($J84="",'Assumptions'!$B$4,$J84)),"")</f>
        <v/>
      </c>
      <c r="Y84" s="45">
        <f>IFERROR(IF($A84="","",$X84*IF($K84="",'Assumptions'!$B$12,$K84)),"")</f>
        <v/>
      </c>
      <c r="Z84" s="45">
        <f>IFERROR(IF($A84="","",($X84+$Y84)*IF($L84="",'Assumptions'!$B$13,$L84)),"")</f>
        <v/>
      </c>
      <c r="AA84" s="45">
        <f>IFERROR(IF($A84="","",$X84+$Y84+$Z84),"")</f>
        <v/>
      </c>
      <c r="AB84" s="45">
        <f>IFERROR(IF($A84="","",$V84*'Assumptions'!$B$5),"")</f>
        <v/>
      </c>
      <c r="AC84" s="45">
        <f>IFERROR(IF($A84="","",$I84*'Assumptions'!$B$6),"")</f>
        <v/>
      </c>
      <c r="AD84" s="45">
        <f>IFERROR(IF($A84="","",$AB84+$AC84),"")</f>
        <v/>
      </c>
      <c r="AE84" s="45">
        <f>IFERROR(IF($A84="","",($M84+$N84)*'Assumptions'!$B$7),"")</f>
        <v/>
      </c>
      <c r="AF84" s="45">
        <f>IFERROR(IF($A84="","",($Q84/60)*'Assumptions'!$B$8),"")</f>
        <v/>
      </c>
      <c r="AG84" s="45">
        <f>IFERROR(IF($A84="","",$P84+$AE84+$AF84),"")</f>
        <v/>
      </c>
      <c r="AH84" s="45">
        <f>IFERROR(IF($A84="","",$M84+$O84),"")</f>
        <v/>
      </c>
      <c r="AI84" s="46">
        <f>IFERROR(IF($A84="","",IFERROR($AH84/$W84,0)),"")</f>
        <v/>
      </c>
      <c r="AJ84" s="45">
        <f>IFERROR(IF($A84="","",$W84-$AH84-$AD84+$AG84),"")</f>
        <v/>
      </c>
      <c r="AK84" s="47">
        <f>IFERROR(IF($A84="","",IF(OR($S84="Collected",$S84="Waived",$S84="Uncollectible",$S84="No Charge Due"),"",IF($T84="",$B84+'Assumptions'!$B$9,$T84+'Assumptions'!$B$9))),"")</f>
        <v/>
      </c>
      <c r="AL84" s="48">
        <f>IFERROR(IF($A84="","",IF(OR($S84="Collected",$S84="Waived",$S84="Uncollectible",$S84="No Charge Due"),"Closed",IF($AK84&lt;TODAY(),"Overdue",IF($AK84=TODAY(),"Due","Open")))),"")</f>
        <v/>
      </c>
      <c r="AM84" s="49">
        <f>IFERROR(IF($A84="","",IF(COUNTIF($A$5:$A$504,$A84)&gt;1,"Duplicate reservation ID",IF($C84&lt;=$B84,"Check stay dates",IF($G84&gt;$F84,"Resold nights exceed booked nights",IF($M84+$N84&gt;$AA84+0.01,"Collection exceeds expected amount",IF(AND($S84="Collected",$M84=0),"Collected status has no amount",IF($AJ84&gt;='Assumptions'!$B$10,"High-cost review","OK"))))))),"")</f>
        <v/>
      </c>
    </row>
    <row r="85">
      <c r="A85" s="38" t="n"/>
      <c r="B85" s="39" t="n"/>
      <c r="C85" s="39" t="n"/>
      <c r="D85" s="38" t="n"/>
      <c r="E85" s="38" t="n"/>
      <c r="F85" s="40" t="n"/>
      <c r="G85" s="40" t="n"/>
      <c r="H85" s="41" t="n"/>
      <c r="I85" s="41" t="n"/>
      <c r="J85" s="42" t="n"/>
      <c r="K85" s="42" t="n"/>
      <c r="L85" s="42" t="n"/>
      <c r="M85" s="41" t="n"/>
      <c r="N85" s="41" t="n"/>
      <c r="O85" s="41" t="n"/>
      <c r="P85" s="41" t="n"/>
      <c r="Q85" s="40" t="n"/>
      <c r="R85" s="38" t="n"/>
      <c r="S85" s="38" t="n"/>
      <c r="T85" s="39" t="n"/>
      <c r="U85" s="43" t="n"/>
      <c r="V85" s="44">
        <f>IFERROR(IF($A85="","",MAX($F85-$G85,0)),"")</f>
        <v/>
      </c>
      <c r="W85" s="45">
        <f>IFERROR(IF($A85="","",$H85+$I85),"")</f>
        <v/>
      </c>
      <c r="X85" s="45">
        <f>IFERROR(IF($A85="","",$H85*IF($J85="",'Assumptions'!$B$4,$J85)),"")</f>
        <v/>
      </c>
      <c r="Y85" s="45">
        <f>IFERROR(IF($A85="","",$X85*IF($K85="",'Assumptions'!$B$12,$K85)),"")</f>
        <v/>
      </c>
      <c r="Z85" s="45">
        <f>IFERROR(IF($A85="","",($X85+$Y85)*IF($L85="",'Assumptions'!$B$13,$L85)),"")</f>
        <v/>
      </c>
      <c r="AA85" s="45">
        <f>IFERROR(IF($A85="","",$X85+$Y85+$Z85),"")</f>
        <v/>
      </c>
      <c r="AB85" s="45">
        <f>IFERROR(IF($A85="","",$V85*'Assumptions'!$B$5),"")</f>
        <v/>
      </c>
      <c r="AC85" s="45">
        <f>IFERROR(IF($A85="","",$I85*'Assumptions'!$B$6),"")</f>
        <v/>
      </c>
      <c r="AD85" s="45">
        <f>IFERROR(IF($A85="","",$AB85+$AC85),"")</f>
        <v/>
      </c>
      <c r="AE85" s="45">
        <f>IFERROR(IF($A85="","",($M85+$N85)*'Assumptions'!$B$7),"")</f>
        <v/>
      </c>
      <c r="AF85" s="45">
        <f>IFERROR(IF($A85="","",($Q85/60)*'Assumptions'!$B$8),"")</f>
        <v/>
      </c>
      <c r="AG85" s="45">
        <f>IFERROR(IF($A85="","",$P85+$AE85+$AF85),"")</f>
        <v/>
      </c>
      <c r="AH85" s="45">
        <f>IFERROR(IF($A85="","",$M85+$O85),"")</f>
        <v/>
      </c>
      <c r="AI85" s="46">
        <f>IFERROR(IF($A85="","",IFERROR($AH85/$W85,0)),"")</f>
        <v/>
      </c>
      <c r="AJ85" s="45">
        <f>IFERROR(IF($A85="","",$W85-$AH85-$AD85+$AG85),"")</f>
        <v/>
      </c>
      <c r="AK85" s="47">
        <f>IFERROR(IF($A85="","",IF(OR($S85="Collected",$S85="Waived",$S85="Uncollectible",$S85="No Charge Due"),"",IF($T85="",$B85+'Assumptions'!$B$9,$T85+'Assumptions'!$B$9))),"")</f>
        <v/>
      </c>
      <c r="AL85" s="48">
        <f>IFERROR(IF($A85="","",IF(OR($S85="Collected",$S85="Waived",$S85="Uncollectible",$S85="No Charge Due"),"Closed",IF($AK85&lt;TODAY(),"Overdue",IF($AK85=TODAY(),"Due","Open")))),"")</f>
        <v/>
      </c>
      <c r="AM85" s="49">
        <f>IFERROR(IF($A85="","",IF(COUNTIF($A$5:$A$504,$A85)&gt;1,"Duplicate reservation ID",IF($C85&lt;=$B85,"Check stay dates",IF($G85&gt;$F85,"Resold nights exceed booked nights",IF($M85+$N85&gt;$AA85+0.01,"Collection exceeds expected amount",IF(AND($S85="Collected",$M85=0),"Collected status has no amount",IF($AJ85&gt;='Assumptions'!$B$10,"High-cost review","OK"))))))),"")</f>
        <v/>
      </c>
    </row>
    <row r="86">
      <c r="A86" s="38" t="n"/>
      <c r="B86" s="39" t="n"/>
      <c r="C86" s="39" t="n"/>
      <c r="D86" s="38" t="n"/>
      <c r="E86" s="38" t="n"/>
      <c r="F86" s="40" t="n"/>
      <c r="G86" s="40" t="n"/>
      <c r="H86" s="41" t="n"/>
      <c r="I86" s="41" t="n"/>
      <c r="J86" s="42" t="n"/>
      <c r="K86" s="42" t="n"/>
      <c r="L86" s="42" t="n"/>
      <c r="M86" s="41" t="n"/>
      <c r="N86" s="41" t="n"/>
      <c r="O86" s="41" t="n"/>
      <c r="P86" s="41" t="n"/>
      <c r="Q86" s="40" t="n"/>
      <c r="R86" s="38" t="n"/>
      <c r="S86" s="38" t="n"/>
      <c r="T86" s="39" t="n"/>
      <c r="U86" s="43" t="n"/>
      <c r="V86" s="44">
        <f>IFERROR(IF($A86="","",MAX($F86-$G86,0)),"")</f>
        <v/>
      </c>
      <c r="W86" s="45">
        <f>IFERROR(IF($A86="","",$H86+$I86),"")</f>
        <v/>
      </c>
      <c r="X86" s="45">
        <f>IFERROR(IF($A86="","",$H86*IF($J86="",'Assumptions'!$B$4,$J86)),"")</f>
        <v/>
      </c>
      <c r="Y86" s="45">
        <f>IFERROR(IF($A86="","",$X86*IF($K86="",'Assumptions'!$B$12,$K86)),"")</f>
        <v/>
      </c>
      <c r="Z86" s="45">
        <f>IFERROR(IF($A86="","",($X86+$Y86)*IF($L86="",'Assumptions'!$B$13,$L86)),"")</f>
        <v/>
      </c>
      <c r="AA86" s="45">
        <f>IFERROR(IF($A86="","",$X86+$Y86+$Z86),"")</f>
        <v/>
      </c>
      <c r="AB86" s="45">
        <f>IFERROR(IF($A86="","",$V86*'Assumptions'!$B$5),"")</f>
        <v/>
      </c>
      <c r="AC86" s="45">
        <f>IFERROR(IF($A86="","",$I86*'Assumptions'!$B$6),"")</f>
        <v/>
      </c>
      <c r="AD86" s="45">
        <f>IFERROR(IF($A86="","",$AB86+$AC86),"")</f>
        <v/>
      </c>
      <c r="AE86" s="45">
        <f>IFERROR(IF($A86="","",($M86+$N86)*'Assumptions'!$B$7),"")</f>
        <v/>
      </c>
      <c r="AF86" s="45">
        <f>IFERROR(IF($A86="","",($Q86/60)*'Assumptions'!$B$8),"")</f>
        <v/>
      </c>
      <c r="AG86" s="45">
        <f>IFERROR(IF($A86="","",$P86+$AE86+$AF86),"")</f>
        <v/>
      </c>
      <c r="AH86" s="45">
        <f>IFERROR(IF($A86="","",$M86+$O86),"")</f>
        <v/>
      </c>
      <c r="AI86" s="46">
        <f>IFERROR(IF($A86="","",IFERROR($AH86/$W86,0)),"")</f>
        <v/>
      </c>
      <c r="AJ86" s="45">
        <f>IFERROR(IF($A86="","",$W86-$AH86-$AD86+$AG86),"")</f>
        <v/>
      </c>
      <c r="AK86" s="47">
        <f>IFERROR(IF($A86="","",IF(OR($S86="Collected",$S86="Waived",$S86="Uncollectible",$S86="No Charge Due"),"",IF($T86="",$B86+'Assumptions'!$B$9,$T86+'Assumptions'!$B$9))),"")</f>
        <v/>
      </c>
      <c r="AL86" s="48">
        <f>IFERROR(IF($A86="","",IF(OR($S86="Collected",$S86="Waived",$S86="Uncollectible",$S86="No Charge Due"),"Closed",IF($AK86&lt;TODAY(),"Overdue",IF($AK86=TODAY(),"Due","Open")))),"")</f>
        <v/>
      </c>
      <c r="AM86" s="49">
        <f>IFERROR(IF($A86="","",IF(COUNTIF($A$5:$A$504,$A86)&gt;1,"Duplicate reservation ID",IF($C86&lt;=$B86,"Check stay dates",IF($G86&gt;$F86,"Resold nights exceed booked nights",IF($M86+$N86&gt;$AA86+0.01,"Collection exceeds expected amount",IF(AND($S86="Collected",$M86=0),"Collected status has no amount",IF($AJ86&gt;='Assumptions'!$B$10,"High-cost review","OK"))))))),"")</f>
        <v/>
      </c>
    </row>
    <row r="87">
      <c r="A87" s="38" t="n"/>
      <c r="B87" s="39" t="n"/>
      <c r="C87" s="39" t="n"/>
      <c r="D87" s="38" t="n"/>
      <c r="E87" s="38" t="n"/>
      <c r="F87" s="40" t="n"/>
      <c r="G87" s="40" t="n"/>
      <c r="H87" s="41" t="n"/>
      <c r="I87" s="41" t="n"/>
      <c r="J87" s="42" t="n"/>
      <c r="K87" s="42" t="n"/>
      <c r="L87" s="42" t="n"/>
      <c r="M87" s="41" t="n"/>
      <c r="N87" s="41" t="n"/>
      <c r="O87" s="41" t="n"/>
      <c r="P87" s="41" t="n"/>
      <c r="Q87" s="40" t="n"/>
      <c r="R87" s="38" t="n"/>
      <c r="S87" s="38" t="n"/>
      <c r="T87" s="39" t="n"/>
      <c r="U87" s="43" t="n"/>
      <c r="V87" s="44">
        <f>IFERROR(IF($A87="","",MAX($F87-$G87,0)),"")</f>
        <v/>
      </c>
      <c r="W87" s="45">
        <f>IFERROR(IF($A87="","",$H87+$I87),"")</f>
        <v/>
      </c>
      <c r="X87" s="45">
        <f>IFERROR(IF($A87="","",$H87*IF($J87="",'Assumptions'!$B$4,$J87)),"")</f>
        <v/>
      </c>
      <c r="Y87" s="45">
        <f>IFERROR(IF($A87="","",$X87*IF($K87="",'Assumptions'!$B$12,$K87)),"")</f>
        <v/>
      </c>
      <c r="Z87" s="45">
        <f>IFERROR(IF($A87="","",($X87+$Y87)*IF($L87="",'Assumptions'!$B$13,$L87)),"")</f>
        <v/>
      </c>
      <c r="AA87" s="45">
        <f>IFERROR(IF($A87="","",$X87+$Y87+$Z87),"")</f>
        <v/>
      </c>
      <c r="AB87" s="45">
        <f>IFERROR(IF($A87="","",$V87*'Assumptions'!$B$5),"")</f>
        <v/>
      </c>
      <c r="AC87" s="45">
        <f>IFERROR(IF($A87="","",$I87*'Assumptions'!$B$6),"")</f>
        <v/>
      </c>
      <c r="AD87" s="45">
        <f>IFERROR(IF($A87="","",$AB87+$AC87),"")</f>
        <v/>
      </c>
      <c r="AE87" s="45">
        <f>IFERROR(IF($A87="","",($M87+$N87)*'Assumptions'!$B$7),"")</f>
        <v/>
      </c>
      <c r="AF87" s="45">
        <f>IFERROR(IF($A87="","",($Q87/60)*'Assumptions'!$B$8),"")</f>
        <v/>
      </c>
      <c r="AG87" s="45">
        <f>IFERROR(IF($A87="","",$P87+$AE87+$AF87),"")</f>
        <v/>
      </c>
      <c r="AH87" s="45">
        <f>IFERROR(IF($A87="","",$M87+$O87),"")</f>
        <v/>
      </c>
      <c r="AI87" s="46">
        <f>IFERROR(IF($A87="","",IFERROR($AH87/$W87,0)),"")</f>
        <v/>
      </c>
      <c r="AJ87" s="45">
        <f>IFERROR(IF($A87="","",$W87-$AH87-$AD87+$AG87),"")</f>
        <v/>
      </c>
      <c r="AK87" s="47">
        <f>IFERROR(IF($A87="","",IF(OR($S87="Collected",$S87="Waived",$S87="Uncollectible",$S87="No Charge Due"),"",IF($T87="",$B87+'Assumptions'!$B$9,$T87+'Assumptions'!$B$9))),"")</f>
        <v/>
      </c>
      <c r="AL87" s="48">
        <f>IFERROR(IF($A87="","",IF(OR($S87="Collected",$S87="Waived",$S87="Uncollectible",$S87="No Charge Due"),"Closed",IF($AK87&lt;TODAY(),"Overdue",IF($AK87=TODAY(),"Due","Open")))),"")</f>
        <v/>
      </c>
      <c r="AM87" s="49">
        <f>IFERROR(IF($A87="","",IF(COUNTIF($A$5:$A$504,$A87)&gt;1,"Duplicate reservation ID",IF($C87&lt;=$B87,"Check stay dates",IF($G87&gt;$F87,"Resold nights exceed booked nights",IF($M87+$N87&gt;$AA87+0.01,"Collection exceeds expected amount",IF(AND($S87="Collected",$M87=0),"Collected status has no amount",IF($AJ87&gt;='Assumptions'!$B$10,"High-cost review","OK"))))))),"")</f>
        <v/>
      </c>
    </row>
    <row r="88">
      <c r="A88" s="38" t="n"/>
      <c r="B88" s="39" t="n"/>
      <c r="C88" s="39" t="n"/>
      <c r="D88" s="38" t="n"/>
      <c r="E88" s="38" t="n"/>
      <c r="F88" s="40" t="n"/>
      <c r="G88" s="40" t="n"/>
      <c r="H88" s="41" t="n"/>
      <c r="I88" s="41" t="n"/>
      <c r="J88" s="42" t="n"/>
      <c r="K88" s="42" t="n"/>
      <c r="L88" s="42" t="n"/>
      <c r="M88" s="41" t="n"/>
      <c r="N88" s="41" t="n"/>
      <c r="O88" s="41" t="n"/>
      <c r="P88" s="41" t="n"/>
      <c r="Q88" s="40" t="n"/>
      <c r="R88" s="38" t="n"/>
      <c r="S88" s="38" t="n"/>
      <c r="T88" s="39" t="n"/>
      <c r="U88" s="43" t="n"/>
      <c r="V88" s="44">
        <f>IFERROR(IF($A88="","",MAX($F88-$G88,0)),"")</f>
        <v/>
      </c>
      <c r="W88" s="45">
        <f>IFERROR(IF($A88="","",$H88+$I88),"")</f>
        <v/>
      </c>
      <c r="X88" s="45">
        <f>IFERROR(IF($A88="","",$H88*IF($J88="",'Assumptions'!$B$4,$J88)),"")</f>
        <v/>
      </c>
      <c r="Y88" s="45">
        <f>IFERROR(IF($A88="","",$X88*IF($K88="",'Assumptions'!$B$12,$K88)),"")</f>
        <v/>
      </c>
      <c r="Z88" s="45">
        <f>IFERROR(IF($A88="","",($X88+$Y88)*IF($L88="",'Assumptions'!$B$13,$L88)),"")</f>
        <v/>
      </c>
      <c r="AA88" s="45">
        <f>IFERROR(IF($A88="","",$X88+$Y88+$Z88),"")</f>
        <v/>
      </c>
      <c r="AB88" s="45">
        <f>IFERROR(IF($A88="","",$V88*'Assumptions'!$B$5),"")</f>
        <v/>
      </c>
      <c r="AC88" s="45">
        <f>IFERROR(IF($A88="","",$I88*'Assumptions'!$B$6),"")</f>
        <v/>
      </c>
      <c r="AD88" s="45">
        <f>IFERROR(IF($A88="","",$AB88+$AC88),"")</f>
        <v/>
      </c>
      <c r="AE88" s="45">
        <f>IFERROR(IF($A88="","",($M88+$N88)*'Assumptions'!$B$7),"")</f>
        <v/>
      </c>
      <c r="AF88" s="45">
        <f>IFERROR(IF($A88="","",($Q88/60)*'Assumptions'!$B$8),"")</f>
        <v/>
      </c>
      <c r="AG88" s="45">
        <f>IFERROR(IF($A88="","",$P88+$AE88+$AF88),"")</f>
        <v/>
      </c>
      <c r="AH88" s="45">
        <f>IFERROR(IF($A88="","",$M88+$O88),"")</f>
        <v/>
      </c>
      <c r="AI88" s="46">
        <f>IFERROR(IF($A88="","",IFERROR($AH88/$W88,0)),"")</f>
        <v/>
      </c>
      <c r="AJ88" s="45">
        <f>IFERROR(IF($A88="","",$W88-$AH88-$AD88+$AG88),"")</f>
        <v/>
      </c>
      <c r="AK88" s="47">
        <f>IFERROR(IF($A88="","",IF(OR($S88="Collected",$S88="Waived",$S88="Uncollectible",$S88="No Charge Due"),"",IF($T88="",$B88+'Assumptions'!$B$9,$T88+'Assumptions'!$B$9))),"")</f>
        <v/>
      </c>
      <c r="AL88" s="48">
        <f>IFERROR(IF($A88="","",IF(OR($S88="Collected",$S88="Waived",$S88="Uncollectible",$S88="No Charge Due"),"Closed",IF($AK88&lt;TODAY(),"Overdue",IF($AK88=TODAY(),"Due","Open")))),"")</f>
        <v/>
      </c>
      <c r="AM88" s="49">
        <f>IFERROR(IF($A88="","",IF(COUNTIF($A$5:$A$504,$A88)&gt;1,"Duplicate reservation ID",IF($C88&lt;=$B88,"Check stay dates",IF($G88&gt;$F88,"Resold nights exceed booked nights",IF($M88+$N88&gt;$AA88+0.01,"Collection exceeds expected amount",IF(AND($S88="Collected",$M88=0),"Collected status has no amount",IF($AJ88&gt;='Assumptions'!$B$10,"High-cost review","OK"))))))),"")</f>
        <v/>
      </c>
    </row>
    <row r="89">
      <c r="A89" s="38" t="n"/>
      <c r="B89" s="39" t="n"/>
      <c r="C89" s="39" t="n"/>
      <c r="D89" s="38" t="n"/>
      <c r="E89" s="38" t="n"/>
      <c r="F89" s="40" t="n"/>
      <c r="G89" s="40" t="n"/>
      <c r="H89" s="41" t="n"/>
      <c r="I89" s="41" t="n"/>
      <c r="J89" s="42" t="n"/>
      <c r="K89" s="42" t="n"/>
      <c r="L89" s="42" t="n"/>
      <c r="M89" s="41" t="n"/>
      <c r="N89" s="41" t="n"/>
      <c r="O89" s="41" t="n"/>
      <c r="P89" s="41" t="n"/>
      <c r="Q89" s="40" t="n"/>
      <c r="R89" s="38" t="n"/>
      <c r="S89" s="38" t="n"/>
      <c r="T89" s="39" t="n"/>
      <c r="U89" s="43" t="n"/>
      <c r="V89" s="44">
        <f>IFERROR(IF($A89="","",MAX($F89-$G89,0)),"")</f>
        <v/>
      </c>
      <c r="W89" s="45">
        <f>IFERROR(IF($A89="","",$H89+$I89),"")</f>
        <v/>
      </c>
      <c r="X89" s="45">
        <f>IFERROR(IF($A89="","",$H89*IF($J89="",'Assumptions'!$B$4,$J89)),"")</f>
        <v/>
      </c>
      <c r="Y89" s="45">
        <f>IFERROR(IF($A89="","",$X89*IF($K89="",'Assumptions'!$B$12,$K89)),"")</f>
        <v/>
      </c>
      <c r="Z89" s="45">
        <f>IFERROR(IF($A89="","",($X89+$Y89)*IF($L89="",'Assumptions'!$B$13,$L89)),"")</f>
        <v/>
      </c>
      <c r="AA89" s="45">
        <f>IFERROR(IF($A89="","",$X89+$Y89+$Z89),"")</f>
        <v/>
      </c>
      <c r="AB89" s="45">
        <f>IFERROR(IF($A89="","",$V89*'Assumptions'!$B$5),"")</f>
        <v/>
      </c>
      <c r="AC89" s="45">
        <f>IFERROR(IF($A89="","",$I89*'Assumptions'!$B$6),"")</f>
        <v/>
      </c>
      <c r="AD89" s="45">
        <f>IFERROR(IF($A89="","",$AB89+$AC89),"")</f>
        <v/>
      </c>
      <c r="AE89" s="45">
        <f>IFERROR(IF($A89="","",($M89+$N89)*'Assumptions'!$B$7),"")</f>
        <v/>
      </c>
      <c r="AF89" s="45">
        <f>IFERROR(IF($A89="","",($Q89/60)*'Assumptions'!$B$8),"")</f>
        <v/>
      </c>
      <c r="AG89" s="45">
        <f>IFERROR(IF($A89="","",$P89+$AE89+$AF89),"")</f>
        <v/>
      </c>
      <c r="AH89" s="45">
        <f>IFERROR(IF($A89="","",$M89+$O89),"")</f>
        <v/>
      </c>
      <c r="AI89" s="46">
        <f>IFERROR(IF($A89="","",IFERROR($AH89/$W89,0)),"")</f>
        <v/>
      </c>
      <c r="AJ89" s="45">
        <f>IFERROR(IF($A89="","",$W89-$AH89-$AD89+$AG89),"")</f>
        <v/>
      </c>
      <c r="AK89" s="47">
        <f>IFERROR(IF($A89="","",IF(OR($S89="Collected",$S89="Waived",$S89="Uncollectible",$S89="No Charge Due"),"",IF($T89="",$B89+'Assumptions'!$B$9,$T89+'Assumptions'!$B$9))),"")</f>
        <v/>
      </c>
      <c r="AL89" s="48">
        <f>IFERROR(IF($A89="","",IF(OR($S89="Collected",$S89="Waived",$S89="Uncollectible",$S89="No Charge Due"),"Closed",IF($AK89&lt;TODAY(),"Overdue",IF($AK89=TODAY(),"Due","Open")))),"")</f>
        <v/>
      </c>
      <c r="AM89" s="49">
        <f>IFERROR(IF($A89="","",IF(COUNTIF($A$5:$A$504,$A89)&gt;1,"Duplicate reservation ID",IF($C89&lt;=$B89,"Check stay dates",IF($G89&gt;$F89,"Resold nights exceed booked nights",IF($M89+$N89&gt;$AA89+0.01,"Collection exceeds expected amount",IF(AND($S89="Collected",$M89=0),"Collected status has no amount",IF($AJ89&gt;='Assumptions'!$B$10,"High-cost review","OK"))))))),"")</f>
        <v/>
      </c>
    </row>
    <row r="90">
      <c r="A90" s="38" t="n"/>
      <c r="B90" s="39" t="n"/>
      <c r="C90" s="39" t="n"/>
      <c r="D90" s="38" t="n"/>
      <c r="E90" s="38" t="n"/>
      <c r="F90" s="40" t="n"/>
      <c r="G90" s="40" t="n"/>
      <c r="H90" s="41" t="n"/>
      <c r="I90" s="41" t="n"/>
      <c r="J90" s="42" t="n"/>
      <c r="K90" s="42" t="n"/>
      <c r="L90" s="42" t="n"/>
      <c r="M90" s="41" t="n"/>
      <c r="N90" s="41" t="n"/>
      <c r="O90" s="41" t="n"/>
      <c r="P90" s="41" t="n"/>
      <c r="Q90" s="40" t="n"/>
      <c r="R90" s="38" t="n"/>
      <c r="S90" s="38" t="n"/>
      <c r="T90" s="39" t="n"/>
      <c r="U90" s="43" t="n"/>
      <c r="V90" s="44">
        <f>IFERROR(IF($A90="","",MAX($F90-$G90,0)),"")</f>
        <v/>
      </c>
      <c r="W90" s="45">
        <f>IFERROR(IF($A90="","",$H90+$I90),"")</f>
        <v/>
      </c>
      <c r="X90" s="45">
        <f>IFERROR(IF($A90="","",$H90*IF($J90="",'Assumptions'!$B$4,$J90)),"")</f>
        <v/>
      </c>
      <c r="Y90" s="45">
        <f>IFERROR(IF($A90="","",$X90*IF($K90="",'Assumptions'!$B$12,$K90)),"")</f>
        <v/>
      </c>
      <c r="Z90" s="45">
        <f>IFERROR(IF($A90="","",($X90+$Y90)*IF($L90="",'Assumptions'!$B$13,$L90)),"")</f>
        <v/>
      </c>
      <c r="AA90" s="45">
        <f>IFERROR(IF($A90="","",$X90+$Y90+$Z90),"")</f>
        <v/>
      </c>
      <c r="AB90" s="45">
        <f>IFERROR(IF($A90="","",$V90*'Assumptions'!$B$5),"")</f>
        <v/>
      </c>
      <c r="AC90" s="45">
        <f>IFERROR(IF($A90="","",$I90*'Assumptions'!$B$6),"")</f>
        <v/>
      </c>
      <c r="AD90" s="45">
        <f>IFERROR(IF($A90="","",$AB90+$AC90),"")</f>
        <v/>
      </c>
      <c r="AE90" s="45">
        <f>IFERROR(IF($A90="","",($M90+$N90)*'Assumptions'!$B$7),"")</f>
        <v/>
      </c>
      <c r="AF90" s="45">
        <f>IFERROR(IF($A90="","",($Q90/60)*'Assumptions'!$B$8),"")</f>
        <v/>
      </c>
      <c r="AG90" s="45">
        <f>IFERROR(IF($A90="","",$P90+$AE90+$AF90),"")</f>
        <v/>
      </c>
      <c r="AH90" s="45">
        <f>IFERROR(IF($A90="","",$M90+$O90),"")</f>
        <v/>
      </c>
      <c r="AI90" s="46">
        <f>IFERROR(IF($A90="","",IFERROR($AH90/$W90,0)),"")</f>
        <v/>
      </c>
      <c r="AJ90" s="45">
        <f>IFERROR(IF($A90="","",$W90-$AH90-$AD90+$AG90),"")</f>
        <v/>
      </c>
      <c r="AK90" s="47">
        <f>IFERROR(IF($A90="","",IF(OR($S90="Collected",$S90="Waived",$S90="Uncollectible",$S90="No Charge Due"),"",IF($T90="",$B90+'Assumptions'!$B$9,$T90+'Assumptions'!$B$9))),"")</f>
        <v/>
      </c>
      <c r="AL90" s="48">
        <f>IFERROR(IF($A90="","",IF(OR($S90="Collected",$S90="Waived",$S90="Uncollectible",$S90="No Charge Due"),"Closed",IF($AK90&lt;TODAY(),"Overdue",IF($AK90=TODAY(),"Due","Open")))),"")</f>
        <v/>
      </c>
      <c r="AM90" s="49">
        <f>IFERROR(IF($A90="","",IF(COUNTIF($A$5:$A$504,$A90)&gt;1,"Duplicate reservation ID",IF($C90&lt;=$B90,"Check stay dates",IF($G90&gt;$F90,"Resold nights exceed booked nights",IF($M90+$N90&gt;$AA90+0.01,"Collection exceeds expected amount",IF(AND($S90="Collected",$M90=0),"Collected status has no amount",IF($AJ90&gt;='Assumptions'!$B$10,"High-cost review","OK"))))))),"")</f>
        <v/>
      </c>
    </row>
    <row r="91">
      <c r="A91" s="38" t="n"/>
      <c r="B91" s="39" t="n"/>
      <c r="C91" s="39" t="n"/>
      <c r="D91" s="38" t="n"/>
      <c r="E91" s="38" t="n"/>
      <c r="F91" s="40" t="n"/>
      <c r="G91" s="40" t="n"/>
      <c r="H91" s="41" t="n"/>
      <c r="I91" s="41" t="n"/>
      <c r="J91" s="42" t="n"/>
      <c r="K91" s="42" t="n"/>
      <c r="L91" s="42" t="n"/>
      <c r="M91" s="41" t="n"/>
      <c r="N91" s="41" t="n"/>
      <c r="O91" s="41" t="n"/>
      <c r="P91" s="41" t="n"/>
      <c r="Q91" s="40" t="n"/>
      <c r="R91" s="38" t="n"/>
      <c r="S91" s="38" t="n"/>
      <c r="T91" s="39" t="n"/>
      <c r="U91" s="43" t="n"/>
      <c r="V91" s="44">
        <f>IFERROR(IF($A91="","",MAX($F91-$G91,0)),"")</f>
        <v/>
      </c>
      <c r="W91" s="45">
        <f>IFERROR(IF($A91="","",$H91+$I91),"")</f>
        <v/>
      </c>
      <c r="X91" s="45">
        <f>IFERROR(IF($A91="","",$H91*IF($J91="",'Assumptions'!$B$4,$J91)),"")</f>
        <v/>
      </c>
      <c r="Y91" s="45">
        <f>IFERROR(IF($A91="","",$X91*IF($K91="",'Assumptions'!$B$12,$K91)),"")</f>
        <v/>
      </c>
      <c r="Z91" s="45">
        <f>IFERROR(IF($A91="","",($X91+$Y91)*IF($L91="",'Assumptions'!$B$13,$L91)),"")</f>
        <v/>
      </c>
      <c r="AA91" s="45">
        <f>IFERROR(IF($A91="","",$X91+$Y91+$Z91),"")</f>
        <v/>
      </c>
      <c r="AB91" s="45">
        <f>IFERROR(IF($A91="","",$V91*'Assumptions'!$B$5),"")</f>
        <v/>
      </c>
      <c r="AC91" s="45">
        <f>IFERROR(IF($A91="","",$I91*'Assumptions'!$B$6),"")</f>
        <v/>
      </c>
      <c r="AD91" s="45">
        <f>IFERROR(IF($A91="","",$AB91+$AC91),"")</f>
        <v/>
      </c>
      <c r="AE91" s="45">
        <f>IFERROR(IF($A91="","",($M91+$N91)*'Assumptions'!$B$7),"")</f>
        <v/>
      </c>
      <c r="AF91" s="45">
        <f>IFERROR(IF($A91="","",($Q91/60)*'Assumptions'!$B$8),"")</f>
        <v/>
      </c>
      <c r="AG91" s="45">
        <f>IFERROR(IF($A91="","",$P91+$AE91+$AF91),"")</f>
        <v/>
      </c>
      <c r="AH91" s="45">
        <f>IFERROR(IF($A91="","",$M91+$O91),"")</f>
        <v/>
      </c>
      <c r="AI91" s="46">
        <f>IFERROR(IF($A91="","",IFERROR($AH91/$W91,0)),"")</f>
        <v/>
      </c>
      <c r="AJ91" s="45">
        <f>IFERROR(IF($A91="","",$W91-$AH91-$AD91+$AG91),"")</f>
        <v/>
      </c>
      <c r="AK91" s="47">
        <f>IFERROR(IF($A91="","",IF(OR($S91="Collected",$S91="Waived",$S91="Uncollectible",$S91="No Charge Due"),"",IF($T91="",$B91+'Assumptions'!$B$9,$T91+'Assumptions'!$B$9))),"")</f>
        <v/>
      </c>
      <c r="AL91" s="48">
        <f>IFERROR(IF($A91="","",IF(OR($S91="Collected",$S91="Waived",$S91="Uncollectible",$S91="No Charge Due"),"Closed",IF($AK91&lt;TODAY(),"Overdue",IF($AK91=TODAY(),"Due","Open")))),"")</f>
        <v/>
      </c>
      <c r="AM91" s="49">
        <f>IFERROR(IF($A91="","",IF(COUNTIF($A$5:$A$504,$A91)&gt;1,"Duplicate reservation ID",IF($C91&lt;=$B91,"Check stay dates",IF($G91&gt;$F91,"Resold nights exceed booked nights",IF($M91+$N91&gt;$AA91+0.01,"Collection exceeds expected amount",IF(AND($S91="Collected",$M91=0),"Collected status has no amount",IF($AJ91&gt;='Assumptions'!$B$10,"High-cost review","OK"))))))),"")</f>
        <v/>
      </c>
    </row>
    <row r="92">
      <c r="A92" s="38" t="n"/>
      <c r="B92" s="39" t="n"/>
      <c r="C92" s="39" t="n"/>
      <c r="D92" s="38" t="n"/>
      <c r="E92" s="38" t="n"/>
      <c r="F92" s="40" t="n"/>
      <c r="G92" s="40" t="n"/>
      <c r="H92" s="41" t="n"/>
      <c r="I92" s="41" t="n"/>
      <c r="J92" s="42" t="n"/>
      <c r="K92" s="42" t="n"/>
      <c r="L92" s="42" t="n"/>
      <c r="M92" s="41" t="n"/>
      <c r="N92" s="41" t="n"/>
      <c r="O92" s="41" t="n"/>
      <c r="P92" s="41" t="n"/>
      <c r="Q92" s="40" t="n"/>
      <c r="R92" s="38" t="n"/>
      <c r="S92" s="38" t="n"/>
      <c r="T92" s="39" t="n"/>
      <c r="U92" s="43" t="n"/>
      <c r="V92" s="44">
        <f>IFERROR(IF($A92="","",MAX($F92-$G92,0)),"")</f>
        <v/>
      </c>
      <c r="W92" s="45">
        <f>IFERROR(IF($A92="","",$H92+$I92),"")</f>
        <v/>
      </c>
      <c r="X92" s="45">
        <f>IFERROR(IF($A92="","",$H92*IF($J92="",'Assumptions'!$B$4,$J92)),"")</f>
        <v/>
      </c>
      <c r="Y92" s="45">
        <f>IFERROR(IF($A92="","",$X92*IF($K92="",'Assumptions'!$B$12,$K92)),"")</f>
        <v/>
      </c>
      <c r="Z92" s="45">
        <f>IFERROR(IF($A92="","",($X92+$Y92)*IF($L92="",'Assumptions'!$B$13,$L92)),"")</f>
        <v/>
      </c>
      <c r="AA92" s="45">
        <f>IFERROR(IF($A92="","",$X92+$Y92+$Z92),"")</f>
        <v/>
      </c>
      <c r="AB92" s="45">
        <f>IFERROR(IF($A92="","",$V92*'Assumptions'!$B$5),"")</f>
        <v/>
      </c>
      <c r="AC92" s="45">
        <f>IFERROR(IF($A92="","",$I92*'Assumptions'!$B$6),"")</f>
        <v/>
      </c>
      <c r="AD92" s="45">
        <f>IFERROR(IF($A92="","",$AB92+$AC92),"")</f>
        <v/>
      </c>
      <c r="AE92" s="45">
        <f>IFERROR(IF($A92="","",($M92+$N92)*'Assumptions'!$B$7),"")</f>
        <v/>
      </c>
      <c r="AF92" s="45">
        <f>IFERROR(IF($A92="","",($Q92/60)*'Assumptions'!$B$8),"")</f>
        <v/>
      </c>
      <c r="AG92" s="45">
        <f>IFERROR(IF($A92="","",$P92+$AE92+$AF92),"")</f>
        <v/>
      </c>
      <c r="AH92" s="45">
        <f>IFERROR(IF($A92="","",$M92+$O92),"")</f>
        <v/>
      </c>
      <c r="AI92" s="46">
        <f>IFERROR(IF($A92="","",IFERROR($AH92/$W92,0)),"")</f>
        <v/>
      </c>
      <c r="AJ92" s="45">
        <f>IFERROR(IF($A92="","",$W92-$AH92-$AD92+$AG92),"")</f>
        <v/>
      </c>
      <c r="AK92" s="47">
        <f>IFERROR(IF($A92="","",IF(OR($S92="Collected",$S92="Waived",$S92="Uncollectible",$S92="No Charge Due"),"",IF($T92="",$B92+'Assumptions'!$B$9,$T92+'Assumptions'!$B$9))),"")</f>
        <v/>
      </c>
      <c r="AL92" s="48">
        <f>IFERROR(IF($A92="","",IF(OR($S92="Collected",$S92="Waived",$S92="Uncollectible",$S92="No Charge Due"),"Closed",IF($AK92&lt;TODAY(),"Overdue",IF($AK92=TODAY(),"Due","Open")))),"")</f>
        <v/>
      </c>
      <c r="AM92" s="49">
        <f>IFERROR(IF($A92="","",IF(COUNTIF($A$5:$A$504,$A92)&gt;1,"Duplicate reservation ID",IF($C92&lt;=$B92,"Check stay dates",IF($G92&gt;$F92,"Resold nights exceed booked nights",IF($M92+$N92&gt;$AA92+0.01,"Collection exceeds expected amount",IF(AND($S92="Collected",$M92=0),"Collected status has no amount",IF($AJ92&gt;='Assumptions'!$B$10,"High-cost review","OK"))))))),"")</f>
        <v/>
      </c>
    </row>
    <row r="93">
      <c r="A93" s="38" t="n"/>
      <c r="B93" s="39" t="n"/>
      <c r="C93" s="39" t="n"/>
      <c r="D93" s="38" t="n"/>
      <c r="E93" s="38" t="n"/>
      <c r="F93" s="40" t="n"/>
      <c r="G93" s="40" t="n"/>
      <c r="H93" s="41" t="n"/>
      <c r="I93" s="41" t="n"/>
      <c r="J93" s="42" t="n"/>
      <c r="K93" s="42" t="n"/>
      <c r="L93" s="42" t="n"/>
      <c r="M93" s="41" t="n"/>
      <c r="N93" s="41" t="n"/>
      <c r="O93" s="41" t="n"/>
      <c r="P93" s="41" t="n"/>
      <c r="Q93" s="40" t="n"/>
      <c r="R93" s="38" t="n"/>
      <c r="S93" s="38" t="n"/>
      <c r="T93" s="39" t="n"/>
      <c r="U93" s="43" t="n"/>
      <c r="V93" s="44">
        <f>IFERROR(IF($A93="","",MAX($F93-$G93,0)),"")</f>
        <v/>
      </c>
      <c r="W93" s="45">
        <f>IFERROR(IF($A93="","",$H93+$I93),"")</f>
        <v/>
      </c>
      <c r="X93" s="45">
        <f>IFERROR(IF($A93="","",$H93*IF($J93="",'Assumptions'!$B$4,$J93)),"")</f>
        <v/>
      </c>
      <c r="Y93" s="45">
        <f>IFERROR(IF($A93="","",$X93*IF($K93="",'Assumptions'!$B$12,$K93)),"")</f>
        <v/>
      </c>
      <c r="Z93" s="45">
        <f>IFERROR(IF($A93="","",($X93+$Y93)*IF($L93="",'Assumptions'!$B$13,$L93)),"")</f>
        <v/>
      </c>
      <c r="AA93" s="45">
        <f>IFERROR(IF($A93="","",$X93+$Y93+$Z93),"")</f>
        <v/>
      </c>
      <c r="AB93" s="45">
        <f>IFERROR(IF($A93="","",$V93*'Assumptions'!$B$5),"")</f>
        <v/>
      </c>
      <c r="AC93" s="45">
        <f>IFERROR(IF($A93="","",$I93*'Assumptions'!$B$6),"")</f>
        <v/>
      </c>
      <c r="AD93" s="45">
        <f>IFERROR(IF($A93="","",$AB93+$AC93),"")</f>
        <v/>
      </c>
      <c r="AE93" s="45">
        <f>IFERROR(IF($A93="","",($M93+$N93)*'Assumptions'!$B$7),"")</f>
        <v/>
      </c>
      <c r="AF93" s="45">
        <f>IFERROR(IF($A93="","",($Q93/60)*'Assumptions'!$B$8),"")</f>
        <v/>
      </c>
      <c r="AG93" s="45">
        <f>IFERROR(IF($A93="","",$P93+$AE93+$AF93),"")</f>
        <v/>
      </c>
      <c r="AH93" s="45">
        <f>IFERROR(IF($A93="","",$M93+$O93),"")</f>
        <v/>
      </c>
      <c r="AI93" s="46">
        <f>IFERROR(IF($A93="","",IFERROR($AH93/$W93,0)),"")</f>
        <v/>
      </c>
      <c r="AJ93" s="45">
        <f>IFERROR(IF($A93="","",$W93-$AH93-$AD93+$AG93),"")</f>
        <v/>
      </c>
      <c r="AK93" s="47">
        <f>IFERROR(IF($A93="","",IF(OR($S93="Collected",$S93="Waived",$S93="Uncollectible",$S93="No Charge Due"),"",IF($T93="",$B93+'Assumptions'!$B$9,$T93+'Assumptions'!$B$9))),"")</f>
        <v/>
      </c>
      <c r="AL93" s="48">
        <f>IFERROR(IF($A93="","",IF(OR($S93="Collected",$S93="Waived",$S93="Uncollectible",$S93="No Charge Due"),"Closed",IF($AK93&lt;TODAY(),"Overdue",IF($AK93=TODAY(),"Due","Open")))),"")</f>
        <v/>
      </c>
      <c r="AM93" s="49">
        <f>IFERROR(IF($A93="","",IF(COUNTIF($A$5:$A$504,$A93)&gt;1,"Duplicate reservation ID",IF($C93&lt;=$B93,"Check stay dates",IF($G93&gt;$F93,"Resold nights exceed booked nights",IF($M93+$N93&gt;$AA93+0.01,"Collection exceeds expected amount",IF(AND($S93="Collected",$M93=0),"Collected status has no amount",IF($AJ93&gt;='Assumptions'!$B$10,"High-cost review","OK"))))))),"")</f>
        <v/>
      </c>
    </row>
    <row r="94">
      <c r="A94" s="38" t="n"/>
      <c r="B94" s="39" t="n"/>
      <c r="C94" s="39" t="n"/>
      <c r="D94" s="38" t="n"/>
      <c r="E94" s="38" t="n"/>
      <c r="F94" s="40" t="n"/>
      <c r="G94" s="40" t="n"/>
      <c r="H94" s="41" t="n"/>
      <c r="I94" s="41" t="n"/>
      <c r="J94" s="42" t="n"/>
      <c r="K94" s="42" t="n"/>
      <c r="L94" s="42" t="n"/>
      <c r="M94" s="41" t="n"/>
      <c r="N94" s="41" t="n"/>
      <c r="O94" s="41" t="n"/>
      <c r="P94" s="41" t="n"/>
      <c r="Q94" s="40" t="n"/>
      <c r="R94" s="38" t="n"/>
      <c r="S94" s="38" t="n"/>
      <c r="T94" s="39" t="n"/>
      <c r="U94" s="43" t="n"/>
      <c r="V94" s="44">
        <f>IFERROR(IF($A94="","",MAX($F94-$G94,0)),"")</f>
        <v/>
      </c>
      <c r="W94" s="45">
        <f>IFERROR(IF($A94="","",$H94+$I94),"")</f>
        <v/>
      </c>
      <c r="X94" s="45">
        <f>IFERROR(IF($A94="","",$H94*IF($J94="",'Assumptions'!$B$4,$J94)),"")</f>
        <v/>
      </c>
      <c r="Y94" s="45">
        <f>IFERROR(IF($A94="","",$X94*IF($K94="",'Assumptions'!$B$12,$K94)),"")</f>
        <v/>
      </c>
      <c r="Z94" s="45">
        <f>IFERROR(IF($A94="","",($X94+$Y94)*IF($L94="",'Assumptions'!$B$13,$L94)),"")</f>
        <v/>
      </c>
      <c r="AA94" s="45">
        <f>IFERROR(IF($A94="","",$X94+$Y94+$Z94),"")</f>
        <v/>
      </c>
      <c r="AB94" s="45">
        <f>IFERROR(IF($A94="","",$V94*'Assumptions'!$B$5),"")</f>
        <v/>
      </c>
      <c r="AC94" s="45">
        <f>IFERROR(IF($A94="","",$I94*'Assumptions'!$B$6),"")</f>
        <v/>
      </c>
      <c r="AD94" s="45">
        <f>IFERROR(IF($A94="","",$AB94+$AC94),"")</f>
        <v/>
      </c>
      <c r="AE94" s="45">
        <f>IFERROR(IF($A94="","",($M94+$N94)*'Assumptions'!$B$7),"")</f>
        <v/>
      </c>
      <c r="AF94" s="45">
        <f>IFERROR(IF($A94="","",($Q94/60)*'Assumptions'!$B$8),"")</f>
        <v/>
      </c>
      <c r="AG94" s="45">
        <f>IFERROR(IF($A94="","",$P94+$AE94+$AF94),"")</f>
        <v/>
      </c>
      <c r="AH94" s="45">
        <f>IFERROR(IF($A94="","",$M94+$O94),"")</f>
        <v/>
      </c>
      <c r="AI94" s="46">
        <f>IFERROR(IF($A94="","",IFERROR($AH94/$W94,0)),"")</f>
        <v/>
      </c>
      <c r="AJ94" s="45">
        <f>IFERROR(IF($A94="","",$W94-$AH94-$AD94+$AG94),"")</f>
        <v/>
      </c>
      <c r="AK94" s="47">
        <f>IFERROR(IF($A94="","",IF(OR($S94="Collected",$S94="Waived",$S94="Uncollectible",$S94="No Charge Due"),"",IF($T94="",$B94+'Assumptions'!$B$9,$T94+'Assumptions'!$B$9))),"")</f>
        <v/>
      </c>
      <c r="AL94" s="48">
        <f>IFERROR(IF($A94="","",IF(OR($S94="Collected",$S94="Waived",$S94="Uncollectible",$S94="No Charge Due"),"Closed",IF($AK94&lt;TODAY(),"Overdue",IF($AK94=TODAY(),"Due","Open")))),"")</f>
        <v/>
      </c>
      <c r="AM94" s="49">
        <f>IFERROR(IF($A94="","",IF(COUNTIF($A$5:$A$504,$A94)&gt;1,"Duplicate reservation ID",IF($C94&lt;=$B94,"Check stay dates",IF($G94&gt;$F94,"Resold nights exceed booked nights",IF($M94+$N94&gt;$AA94+0.01,"Collection exceeds expected amount",IF(AND($S94="Collected",$M94=0),"Collected status has no amount",IF($AJ94&gt;='Assumptions'!$B$10,"High-cost review","OK"))))))),"")</f>
        <v/>
      </c>
    </row>
    <row r="95">
      <c r="A95" s="38" t="n"/>
      <c r="B95" s="39" t="n"/>
      <c r="C95" s="39" t="n"/>
      <c r="D95" s="38" t="n"/>
      <c r="E95" s="38" t="n"/>
      <c r="F95" s="40" t="n"/>
      <c r="G95" s="40" t="n"/>
      <c r="H95" s="41" t="n"/>
      <c r="I95" s="41" t="n"/>
      <c r="J95" s="42" t="n"/>
      <c r="K95" s="42" t="n"/>
      <c r="L95" s="42" t="n"/>
      <c r="M95" s="41" t="n"/>
      <c r="N95" s="41" t="n"/>
      <c r="O95" s="41" t="n"/>
      <c r="P95" s="41" t="n"/>
      <c r="Q95" s="40" t="n"/>
      <c r="R95" s="38" t="n"/>
      <c r="S95" s="38" t="n"/>
      <c r="T95" s="39" t="n"/>
      <c r="U95" s="43" t="n"/>
      <c r="V95" s="44">
        <f>IFERROR(IF($A95="","",MAX($F95-$G95,0)),"")</f>
        <v/>
      </c>
      <c r="W95" s="45">
        <f>IFERROR(IF($A95="","",$H95+$I95),"")</f>
        <v/>
      </c>
      <c r="X95" s="45">
        <f>IFERROR(IF($A95="","",$H95*IF($J95="",'Assumptions'!$B$4,$J95)),"")</f>
        <v/>
      </c>
      <c r="Y95" s="45">
        <f>IFERROR(IF($A95="","",$X95*IF($K95="",'Assumptions'!$B$12,$K95)),"")</f>
        <v/>
      </c>
      <c r="Z95" s="45">
        <f>IFERROR(IF($A95="","",($X95+$Y95)*IF($L95="",'Assumptions'!$B$13,$L95)),"")</f>
        <v/>
      </c>
      <c r="AA95" s="45">
        <f>IFERROR(IF($A95="","",$X95+$Y95+$Z95),"")</f>
        <v/>
      </c>
      <c r="AB95" s="45">
        <f>IFERROR(IF($A95="","",$V95*'Assumptions'!$B$5),"")</f>
        <v/>
      </c>
      <c r="AC95" s="45">
        <f>IFERROR(IF($A95="","",$I95*'Assumptions'!$B$6),"")</f>
        <v/>
      </c>
      <c r="AD95" s="45">
        <f>IFERROR(IF($A95="","",$AB95+$AC95),"")</f>
        <v/>
      </c>
      <c r="AE95" s="45">
        <f>IFERROR(IF($A95="","",($M95+$N95)*'Assumptions'!$B$7),"")</f>
        <v/>
      </c>
      <c r="AF95" s="45">
        <f>IFERROR(IF($A95="","",($Q95/60)*'Assumptions'!$B$8),"")</f>
        <v/>
      </c>
      <c r="AG95" s="45">
        <f>IFERROR(IF($A95="","",$P95+$AE95+$AF95),"")</f>
        <v/>
      </c>
      <c r="AH95" s="45">
        <f>IFERROR(IF($A95="","",$M95+$O95),"")</f>
        <v/>
      </c>
      <c r="AI95" s="46">
        <f>IFERROR(IF($A95="","",IFERROR($AH95/$W95,0)),"")</f>
        <v/>
      </c>
      <c r="AJ95" s="45">
        <f>IFERROR(IF($A95="","",$W95-$AH95-$AD95+$AG95),"")</f>
        <v/>
      </c>
      <c r="AK95" s="47">
        <f>IFERROR(IF($A95="","",IF(OR($S95="Collected",$S95="Waived",$S95="Uncollectible",$S95="No Charge Due"),"",IF($T95="",$B95+'Assumptions'!$B$9,$T95+'Assumptions'!$B$9))),"")</f>
        <v/>
      </c>
      <c r="AL95" s="48">
        <f>IFERROR(IF($A95="","",IF(OR($S95="Collected",$S95="Waived",$S95="Uncollectible",$S95="No Charge Due"),"Closed",IF($AK95&lt;TODAY(),"Overdue",IF($AK95=TODAY(),"Due","Open")))),"")</f>
        <v/>
      </c>
      <c r="AM95" s="49">
        <f>IFERROR(IF($A95="","",IF(COUNTIF($A$5:$A$504,$A95)&gt;1,"Duplicate reservation ID",IF($C95&lt;=$B95,"Check stay dates",IF($G95&gt;$F95,"Resold nights exceed booked nights",IF($M95+$N95&gt;$AA95+0.01,"Collection exceeds expected amount",IF(AND($S95="Collected",$M95=0),"Collected status has no amount",IF($AJ95&gt;='Assumptions'!$B$10,"High-cost review","OK"))))))),"")</f>
        <v/>
      </c>
    </row>
    <row r="96">
      <c r="A96" s="38" t="n"/>
      <c r="B96" s="39" t="n"/>
      <c r="C96" s="39" t="n"/>
      <c r="D96" s="38" t="n"/>
      <c r="E96" s="38" t="n"/>
      <c r="F96" s="40" t="n"/>
      <c r="G96" s="40" t="n"/>
      <c r="H96" s="41" t="n"/>
      <c r="I96" s="41" t="n"/>
      <c r="J96" s="42" t="n"/>
      <c r="K96" s="42" t="n"/>
      <c r="L96" s="42" t="n"/>
      <c r="M96" s="41" t="n"/>
      <c r="N96" s="41" t="n"/>
      <c r="O96" s="41" t="n"/>
      <c r="P96" s="41" t="n"/>
      <c r="Q96" s="40" t="n"/>
      <c r="R96" s="38" t="n"/>
      <c r="S96" s="38" t="n"/>
      <c r="T96" s="39" t="n"/>
      <c r="U96" s="43" t="n"/>
      <c r="V96" s="44">
        <f>IFERROR(IF($A96="","",MAX($F96-$G96,0)),"")</f>
        <v/>
      </c>
      <c r="W96" s="45">
        <f>IFERROR(IF($A96="","",$H96+$I96),"")</f>
        <v/>
      </c>
      <c r="X96" s="45">
        <f>IFERROR(IF($A96="","",$H96*IF($J96="",'Assumptions'!$B$4,$J96)),"")</f>
        <v/>
      </c>
      <c r="Y96" s="45">
        <f>IFERROR(IF($A96="","",$X96*IF($K96="",'Assumptions'!$B$12,$K96)),"")</f>
        <v/>
      </c>
      <c r="Z96" s="45">
        <f>IFERROR(IF($A96="","",($X96+$Y96)*IF($L96="",'Assumptions'!$B$13,$L96)),"")</f>
        <v/>
      </c>
      <c r="AA96" s="45">
        <f>IFERROR(IF($A96="","",$X96+$Y96+$Z96),"")</f>
        <v/>
      </c>
      <c r="AB96" s="45">
        <f>IFERROR(IF($A96="","",$V96*'Assumptions'!$B$5),"")</f>
        <v/>
      </c>
      <c r="AC96" s="45">
        <f>IFERROR(IF($A96="","",$I96*'Assumptions'!$B$6),"")</f>
        <v/>
      </c>
      <c r="AD96" s="45">
        <f>IFERROR(IF($A96="","",$AB96+$AC96),"")</f>
        <v/>
      </c>
      <c r="AE96" s="45">
        <f>IFERROR(IF($A96="","",($M96+$N96)*'Assumptions'!$B$7),"")</f>
        <v/>
      </c>
      <c r="AF96" s="45">
        <f>IFERROR(IF($A96="","",($Q96/60)*'Assumptions'!$B$8),"")</f>
        <v/>
      </c>
      <c r="AG96" s="45">
        <f>IFERROR(IF($A96="","",$P96+$AE96+$AF96),"")</f>
        <v/>
      </c>
      <c r="AH96" s="45">
        <f>IFERROR(IF($A96="","",$M96+$O96),"")</f>
        <v/>
      </c>
      <c r="AI96" s="46">
        <f>IFERROR(IF($A96="","",IFERROR($AH96/$W96,0)),"")</f>
        <v/>
      </c>
      <c r="AJ96" s="45">
        <f>IFERROR(IF($A96="","",$W96-$AH96-$AD96+$AG96),"")</f>
        <v/>
      </c>
      <c r="AK96" s="47">
        <f>IFERROR(IF($A96="","",IF(OR($S96="Collected",$S96="Waived",$S96="Uncollectible",$S96="No Charge Due"),"",IF($T96="",$B96+'Assumptions'!$B$9,$T96+'Assumptions'!$B$9))),"")</f>
        <v/>
      </c>
      <c r="AL96" s="48">
        <f>IFERROR(IF($A96="","",IF(OR($S96="Collected",$S96="Waived",$S96="Uncollectible",$S96="No Charge Due"),"Closed",IF($AK96&lt;TODAY(),"Overdue",IF($AK96=TODAY(),"Due","Open")))),"")</f>
        <v/>
      </c>
      <c r="AM96" s="49">
        <f>IFERROR(IF($A96="","",IF(COUNTIF($A$5:$A$504,$A96)&gt;1,"Duplicate reservation ID",IF($C96&lt;=$B96,"Check stay dates",IF($G96&gt;$F96,"Resold nights exceed booked nights",IF($M96+$N96&gt;$AA96+0.01,"Collection exceeds expected amount",IF(AND($S96="Collected",$M96=0),"Collected status has no amount",IF($AJ96&gt;='Assumptions'!$B$10,"High-cost review","OK"))))))),"")</f>
        <v/>
      </c>
    </row>
    <row r="97">
      <c r="A97" s="38" t="n"/>
      <c r="B97" s="39" t="n"/>
      <c r="C97" s="39" t="n"/>
      <c r="D97" s="38" t="n"/>
      <c r="E97" s="38" t="n"/>
      <c r="F97" s="40" t="n"/>
      <c r="G97" s="40" t="n"/>
      <c r="H97" s="41" t="n"/>
      <c r="I97" s="41" t="n"/>
      <c r="J97" s="42" t="n"/>
      <c r="K97" s="42" t="n"/>
      <c r="L97" s="42" t="n"/>
      <c r="M97" s="41" t="n"/>
      <c r="N97" s="41" t="n"/>
      <c r="O97" s="41" t="n"/>
      <c r="P97" s="41" t="n"/>
      <c r="Q97" s="40" t="n"/>
      <c r="R97" s="38" t="n"/>
      <c r="S97" s="38" t="n"/>
      <c r="T97" s="39" t="n"/>
      <c r="U97" s="43" t="n"/>
      <c r="V97" s="44">
        <f>IFERROR(IF($A97="","",MAX($F97-$G97,0)),"")</f>
        <v/>
      </c>
      <c r="W97" s="45">
        <f>IFERROR(IF($A97="","",$H97+$I97),"")</f>
        <v/>
      </c>
      <c r="X97" s="45">
        <f>IFERROR(IF($A97="","",$H97*IF($J97="",'Assumptions'!$B$4,$J97)),"")</f>
        <v/>
      </c>
      <c r="Y97" s="45">
        <f>IFERROR(IF($A97="","",$X97*IF($K97="",'Assumptions'!$B$12,$K97)),"")</f>
        <v/>
      </c>
      <c r="Z97" s="45">
        <f>IFERROR(IF($A97="","",($X97+$Y97)*IF($L97="",'Assumptions'!$B$13,$L97)),"")</f>
        <v/>
      </c>
      <c r="AA97" s="45">
        <f>IFERROR(IF($A97="","",$X97+$Y97+$Z97),"")</f>
        <v/>
      </c>
      <c r="AB97" s="45">
        <f>IFERROR(IF($A97="","",$V97*'Assumptions'!$B$5),"")</f>
        <v/>
      </c>
      <c r="AC97" s="45">
        <f>IFERROR(IF($A97="","",$I97*'Assumptions'!$B$6),"")</f>
        <v/>
      </c>
      <c r="AD97" s="45">
        <f>IFERROR(IF($A97="","",$AB97+$AC97),"")</f>
        <v/>
      </c>
      <c r="AE97" s="45">
        <f>IFERROR(IF($A97="","",($M97+$N97)*'Assumptions'!$B$7),"")</f>
        <v/>
      </c>
      <c r="AF97" s="45">
        <f>IFERROR(IF($A97="","",($Q97/60)*'Assumptions'!$B$8),"")</f>
        <v/>
      </c>
      <c r="AG97" s="45">
        <f>IFERROR(IF($A97="","",$P97+$AE97+$AF97),"")</f>
        <v/>
      </c>
      <c r="AH97" s="45">
        <f>IFERROR(IF($A97="","",$M97+$O97),"")</f>
        <v/>
      </c>
      <c r="AI97" s="46">
        <f>IFERROR(IF($A97="","",IFERROR($AH97/$W97,0)),"")</f>
        <v/>
      </c>
      <c r="AJ97" s="45">
        <f>IFERROR(IF($A97="","",$W97-$AH97-$AD97+$AG97),"")</f>
        <v/>
      </c>
      <c r="AK97" s="47">
        <f>IFERROR(IF($A97="","",IF(OR($S97="Collected",$S97="Waived",$S97="Uncollectible",$S97="No Charge Due"),"",IF($T97="",$B97+'Assumptions'!$B$9,$T97+'Assumptions'!$B$9))),"")</f>
        <v/>
      </c>
      <c r="AL97" s="48">
        <f>IFERROR(IF($A97="","",IF(OR($S97="Collected",$S97="Waived",$S97="Uncollectible",$S97="No Charge Due"),"Closed",IF($AK97&lt;TODAY(),"Overdue",IF($AK97=TODAY(),"Due","Open")))),"")</f>
        <v/>
      </c>
      <c r="AM97" s="49">
        <f>IFERROR(IF($A97="","",IF(COUNTIF($A$5:$A$504,$A97)&gt;1,"Duplicate reservation ID",IF($C97&lt;=$B97,"Check stay dates",IF($G97&gt;$F97,"Resold nights exceed booked nights",IF($M97+$N97&gt;$AA97+0.01,"Collection exceeds expected amount",IF(AND($S97="Collected",$M97=0),"Collected status has no amount",IF($AJ97&gt;='Assumptions'!$B$10,"High-cost review","OK"))))))),"")</f>
        <v/>
      </c>
    </row>
    <row r="98">
      <c r="A98" s="38" t="n"/>
      <c r="B98" s="39" t="n"/>
      <c r="C98" s="39" t="n"/>
      <c r="D98" s="38" t="n"/>
      <c r="E98" s="38" t="n"/>
      <c r="F98" s="40" t="n"/>
      <c r="G98" s="40" t="n"/>
      <c r="H98" s="41" t="n"/>
      <c r="I98" s="41" t="n"/>
      <c r="J98" s="42" t="n"/>
      <c r="K98" s="42" t="n"/>
      <c r="L98" s="42" t="n"/>
      <c r="M98" s="41" t="n"/>
      <c r="N98" s="41" t="n"/>
      <c r="O98" s="41" t="n"/>
      <c r="P98" s="41" t="n"/>
      <c r="Q98" s="40" t="n"/>
      <c r="R98" s="38" t="n"/>
      <c r="S98" s="38" t="n"/>
      <c r="T98" s="39" t="n"/>
      <c r="U98" s="43" t="n"/>
      <c r="V98" s="44">
        <f>IFERROR(IF($A98="","",MAX($F98-$G98,0)),"")</f>
        <v/>
      </c>
      <c r="W98" s="45">
        <f>IFERROR(IF($A98="","",$H98+$I98),"")</f>
        <v/>
      </c>
      <c r="X98" s="45">
        <f>IFERROR(IF($A98="","",$H98*IF($J98="",'Assumptions'!$B$4,$J98)),"")</f>
        <v/>
      </c>
      <c r="Y98" s="45">
        <f>IFERROR(IF($A98="","",$X98*IF($K98="",'Assumptions'!$B$12,$K98)),"")</f>
        <v/>
      </c>
      <c r="Z98" s="45">
        <f>IFERROR(IF($A98="","",($X98+$Y98)*IF($L98="",'Assumptions'!$B$13,$L98)),"")</f>
        <v/>
      </c>
      <c r="AA98" s="45">
        <f>IFERROR(IF($A98="","",$X98+$Y98+$Z98),"")</f>
        <v/>
      </c>
      <c r="AB98" s="45">
        <f>IFERROR(IF($A98="","",$V98*'Assumptions'!$B$5),"")</f>
        <v/>
      </c>
      <c r="AC98" s="45">
        <f>IFERROR(IF($A98="","",$I98*'Assumptions'!$B$6),"")</f>
        <v/>
      </c>
      <c r="AD98" s="45">
        <f>IFERROR(IF($A98="","",$AB98+$AC98),"")</f>
        <v/>
      </c>
      <c r="AE98" s="45">
        <f>IFERROR(IF($A98="","",($M98+$N98)*'Assumptions'!$B$7),"")</f>
        <v/>
      </c>
      <c r="AF98" s="45">
        <f>IFERROR(IF($A98="","",($Q98/60)*'Assumptions'!$B$8),"")</f>
        <v/>
      </c>
      <c r="AG98" s="45">
        <f>IFERROR(IF($A98="","",$P98+$AE98+$AF98),"")</f>
        <v/>
      </c>
      <c r="AH98" s="45">
        <f>IFERROR(IF($A98="","",$M98+$O98),"")</f>
        <v/>
      </c>
      <c r="AI98" s="46">
        <f>IFERROR(IF($A98="","",IFERROR($AH98/$W98,0)),"")</f>
        <v/>
      </c>
      <c r="AJ98" s="45">
        <f>IFERROR(IF($A98="","",$W98-$AH98-$AD98+$AG98),"")</f>
        <v/>
      </c>
      <c r="AK98" s="47">
        <f>IFERROR(IF($A98="","",IF(OR($S98="Collected",$S98="Waived",$S98="Uncollectible",$S98="No Charge Due"),"",IF($T98="",$B98+'Assumptions'!$B$9,$T98+'Assumptions'!$B$9))),"")</f>
        <v/>
      </c>
      <c r="AL98" s="48">
        <f>IFERROR(IF($A98="","",IF(OR($S98="Collected",$S98="Waived",$S98="Uncollectible",$S98="No Charge Due"),"Closed",IF($AK98&lt;TODAY(),"Overdue",IF($AK98=TODAY(),"Due","Open")))),"")</f>
        <v/>
      </c>
      <c r="AM98" s="49">
        <f>IFERROR(IF($A98="","",IF(COUNTIF($A$5:$A$504,$A98)&gt;1,"Duplicate reservation ID",IF($C98&lt;=$B98,"Check stay dates",IF($G98&gt;$F98,"Resold nights exceed booked nights",IF($M98+$N98&gt;$AA98+0.01,"Collection exceeds expected amount",IF(AND($S98="Collected",$M98=0),"Collected status has no amount",IF($AJ98&gt;='Assumptions'!$B$10,"High-cost review","OK"))))))),"")</f>
        <v/>
      </c>
    </row>
    <row r="99">
      <c r="A99" s="38" t="n"/>
      <c r="B99" s="39" t="n"/>
      <c r="C99" s="39" t="n"/>
      <c r="D99" s="38" t="n"/>
      <c r="E99" s="38" t="n"/>
      <c r="F99" s="40" t="n"/>
      <c r="G99" s="40" t="n"/>
      <c r="H99" s="41" t="n"/>
      <c r="I99" s="41" t="n"/>
      <c r="J99" s="42" t="n"/>
      <c r="K99" s="42" t="n"/>
      <c r="L99" s="42" t="n"/>
      <c r="M99" s="41" t="n"/>
      <c r="N99" s="41" t="n"/>
      <c r="O99" s="41" t="n"/>
      <c r="P99" s="41" t="n"/>
      <c r="Q99" s="40" t="n"/>
      <c r="R99" s="38" t="n"/>
      <c r="S99" s="38" t="n"/>
      <c r="T99" s="39" t="n"/>
      <c r="U99" s="43" t="n"/>
      <c r="V99" s="44">
        <f>IFERROR(IF($A99="","",MAX($F99-$G99,0)),"")</f>
        <v/>
      </c>
      <c r="W99" s="45">
        <f>IFERROR(IF($A99="","",$H99+$I99),"")</f>
        <v/>
      </c>
      <c r="X99" s="45">
        <f>IFERROR(IF($A99="","",$H99*IF($J99="",'Assumptions'!$B$4,$J99)),"")</f>
        <v/>
      </c>
      <c r="Y99" s="45">
        <f>IFERROR(IF($A99="","",$X99*IF($K99="",'Assumptions'!$B$12,$K99)),"")</f>
        <v/>
      </c>
      <c r="Z99" s="45">
        <f>IFERROR(IF($A99="","",($X99+$Y99)*IF($L99="",'Assumptions'!$B$13,$L99)),"")</f>
        <v/>
      </c>
      <c r="AA99" s="45">
        <f>IFERROR(IF($A99="","",$X99+$Y99+$Z99),"")</f>
        <v/>
      </c>
      <c r="AB99" s="45">
        <f>IFERROR(IF($A99="","",$V99*'Assumptions'!$B$5),"")</f>
        <v/>
      </c>
      <c r="AC99" s="45">
        <f>IFERROR(IF($A99="","",$I99*'Assumptions'!$B$6),"")</f>
        <v/>
      </c>
      <c r="AD99" s="45">
        <f>IFERROR(IF($A99="","",$AB99+$AC99),"")</f>
        <v/>
      </c>
      <c r="AE99" s="45">
        <f>IFERROR(IF($A99="","",($M99+$N99)*'Assumptions'!$B$7),"")</f>
        <v/>
      </c>
      <c r="AF99" s="45">
        <f>IFERROR(IF($A99="","",($Q99/60)*'Assumptions'!$B$8),"")</f>
        <v/>
      </c>
      <c r="AG99" s="45">
        <f>IFERROR(IF($A99="","",$P99+$AE99+$AF99),"")</f>
        <v/>
      </c>
      <c r="AH99" s="45">
        <f>IFERROR(IF($A99="","",$M99+$O99),"")</f>
        <v/>
      </c>
      <c r="AI99" s="46">
        <f>IFERROR(IF($A99="","",IFERROR($AH99/$W99,0)),"")</f>
        <v/>
      </c>
      <c r="AJ99" s="45">
        <f>IFERROR(IF($A99="","",$W99-$AH99-$AD99+$AG99),"")</f>
        <v/>
      </c>
      <c r="AK99" s="47">
        <f>IFERROR(IF($A99="","",IF(OR($S99="Collected",$S99="Waived",$S99="Uncollectible",$S99="No Charge Due"),"",IF($T99="",$B99+'Assumptions'!$B$9,$T99+'Assumptions'!$B$9))),"")</f>
        <v/>
      </c>
      <c r="AL99" s="48">
        <f>IFERROR(IF($A99="","",IF(OR($S99="Collected",$S99="Waived",$S99="Uncollectible",$S99="No Charge Due"),"Closed",IF($AK99&lt;TODAY(),"Overdue",IF($AK99=TODAY(),"Due","Open")))),"")</f>
        <v/>
      </c>
      <c r="AM99" s="49">
        <f>IFERROR(IF($A99="","",IF(COUNTIF($A$5:$A$504,$A99)&gt;1,"Duplicate reservation ID",IF($C99&lt;=$B99,"Check stay dates",IF($G99&gt;$F99,"Resold nights exceed booked nights",IF($M99+$N99&gt;$AA99+0.01,"Collection exceeds expected amount",IF(AND($S99="Collected",$M99=0),"Collected status has no amount",IF($AJ99&gt;='Assumptions'!$B$10,"High-cost review","OK"))))))),"")</f>
        <v/>
      </c>
    </row>
    <row r="100">
      <c r="A100" s="38" t="n"/>
      <c r="B100" s="39" t="n"/>
      <c r="C100" s="39" t="n"/>
      <c r="D100" s="38" t="n"/>
      <c r="E100" s="38" t="n"/>
      <c r="F100" s="40" t="n"/>
      <c r="G100" s="40" t="n"/>
      <c r="H100" s="41" t="n"/>
      <c r="I100" s="41" t="n"/>
      <c r="J100" s="42" t="n"/>
      <c r="K100" s="42" t="n"/>
      <c r="L100" s="42" t="n"/>
      <c r="M100" s="41" t="n"/>
      <c r="N100" s="41" t="n"/>
      <c r="O100" s="41" t="n"/>
      <c r="P100" s="41" t="n"/>
      <c r="Q100" s="40" t="n"/>
      <c r="R100" s="38" t="n"/>
      <c r="S100" s="38" t="n"/>
      <c r="T100" s="39" t="n"/>
      <c r="U100" s="43" t="n"/>
      <c r="V100" s="44">
        <f>IFERROR(IF($A100="","",MAX($F100-$G100,0)),"")</f>
        <v/>
      </c>
      <c r="W100" s="45">
        <f>IFERROR(IF($A100="","",$H100+$I100),"")</f>
        <v/>
      </c>
      <c r="X100" s="45">
        <f>IFERROR(IF($A100="","",$H100*IF($J100="",'Assumptions'!$B$4,$J100)),"")</f>
        <v/>
      </c>
      <c r="Y100" s="45">
        <f>IFERROR(IF($A100="","",$X100*IF($K100="",'Assumptions'!$B$12,$K100)),"")</f>
        <v/>
      </c>
      <c r="Z100" s="45">
        <f>IFERROR(IF($A100="","",($X100+$Y100)*IF($L100="",'Assumptions'!$B$13,$L100)),"")</f>
        <v/>
      </c>
      <c r="AA100" s="45">
        <f>IFERROR(IF($A100="","",$X100+$Y100+$Z100),"")</f>
        <v/>
      </c>
      <c r="AB100" s="45">
        <f>IFERROR(IF($A100="","",$V100*'Assumptions'!$B$5),"")</f>
        <v/>
      </c>
      <c r="AC100" s="45">
        <f>IFERROR(IF($A100="","",$I100*'Assumptions'!$B$6),"")</f>
        <v/>
      </c>
      <c r="AD100" s="45">
        <f>IFERROR(IF($A100="","",$AB100+$AC100),"")</f>
        <v/>
      </c>
      <c r="AE100" s="45">
        <f>IFERROR(IF($A100="","",($M100+$N100)*'Assumptions'!$B$7),"")</f>
        <v/>
      </c>
      <c r="AF100" s="45">
        <f>IFERROR(IF($A100="","",($Q100/60)*'Assumptions'!$B$8),"")</f>
        <v/>
      </c>
      <c r="AG100" s="45">
        <f>IFERROR(IF($A100="","",$P100+$AE100+$AF100),"")</f>
        <v/>
      </c>
      <c r="AH100" s="45">
        <f>IFERROR(IF($A100="","",$M100+$O100),"")</f>
        <v/>
      </c>
      <c r="AI100" s="46">
        <f>IFERROR(IF($A100="","",IFERROR($AH100/$W100,0)),"")</f>
        <v/>
      </c>
      <c r="AJ100" s="45">
        <f>IFERROR(IF($A100="","",$W100-$AH100-$AD100+$AG100),"")</f>
        <v/>
      </c>
      <c r="AK100" s="47">
        <f>IFERROR(IF($A100="","",IF(OR($S100="Collected",$S100="Waived",$S100="Uncollectible",$S100="No Charge Due"),"",IF($T100="",$B100+'Assumptions'!$B$9,$T100+'Assumptions'!$B$9))),"")</f>
        <v/>
      </c>
      <c r="AL100" s="48">
        <f>IFERROR(IF($A100="","",IF(OR($S100="Collected",$S100="Waived",$S100="Uncollectible",$S100="No Charge Due"),"Closed",IF($AK100&lt;TODAY(),"Overdue",IF($AK100=TODAY(),"Due","Open")))),"")</f>
        <v/>
      </c>
      <c r="AM100" s="49">
        <f>IFERROR(IF($A100="","",IF(COUNTIF($A$5:$A$504,$A100)&gt;1,"Duplicate reservation ID",IF($C100&lt;=$B100,"Check stay dates",IF($G100&gt;$F100,"Resold nights exceed booked nights",IF($M100+$N100&gt;$AA100+0.01,"Collection exceeds expected amount",IF(AND($S100="Collected",$M100=0),"Collected status has no amount",IF($AJ100&gt;='Assumptions'!$B$10,"High-cost review","OK"))))))),"")</f>
        <v/>
      </c>
    </row>
    <row r="101">
      <c r="A101" s="38" t="n"/>
      <c r="B101" s="39" t="n"/>
      <c r="C101" s="39" t="n"/>
      <c r="D101" s="38" t="n"/>
      <c r="E101" s="38" t="n"/>
      <c r="F101" s="40" t="n"/>
      <c r="G101" s="40" t="n"/>
      <c r="H101" s="41" t="n"/>
      <c r="I101" s="41" t="n"/>
      <c r="J101" s="42" t="n"/>
      <c r="K101" s="42" t="n"/>
      <c r="L101" s="42" t="n"/>
      <c r="M101" s="41" t="n"/>
      <c r="N101" s="41" t="n"/>
      <c r="O101" s="41" t="n"/>
      <c r="P101" s="41" t="n"/>
      <c r="Q101" s="40" t="n"/>
      <c r="R101" s="38" t="n"/>
      <c r="S101" s="38" t="n"/>
      <c r="T101" s="39" t="n"/>
      <c r="U101" s="43" t="n"/>
      <c r="V101" s="44">
        <f>IFERROR(IF($A101="","",MAX($F101-$G101,0)),"")</f>
        <v/>
      </c>
      <c r="W101" s="45">
        <f>IFERROR(IF($A101="","",$H101+$I101),"")</f>
        <v/>
      </c>
      <c r="X101" s="45">
        <f>IFERROR(IF($A101="","",$H101*IF($J101="",'Assumptions'!$B$4,$J101)),"")</f>
        <v/>
      </c>
      <c r="Y101" s="45">
        <f>IFERROR(IF($A101="","",$X101*IF($K101="",'Assumptions'!$B$12,$K101)),"")</f>
        <v/>
      </c>
      <c r="Z101" s="45">
        <f>IFERROR(IF($A101="","",($X101+$Y101)*IF($L101="",'Assumptions'!$B$13,$L101)),"")</f>
        <v/>
      </c>
      <c r="AA101" s="45">
        <f>IFERROR(IF($A101="","",$X101+$Y101+$Z101),"")</f>
        <v/>
      </c>
      <c r="AB101" s="45">
        <f>IFERROR(IF($A101="","",$V101*'Assumptions'!$B$5),"")</f>
        <v/>
      </c>
      <c r="AC101" s="45">
        <f>IFERROR(IF($A101="","",$I101*'Assumptions'!$B$6),"")</f>
        <v/>
      </c>
      <c r="AD101" s="45">
        <f>IFERROR(IF($A101="","",$AB101+$AC101),"")</f>
        <v/>
      </c>
      <c r="AE101" s="45">
        <f>IFERROR(IF($A101="","",($M101+$N101)*'Assumptions'!$B$7),"")</f>
        <v/>
      </c>
      <c r="AF101" s="45">
        <f>IFERROR(IF($A101="","",($Q101/60)*'Assumptions'!$B$8),"")</f>
        <v/>
      </c>
      <c r="AG101" s="45">
        <f>IFERROR(IF($A101="","",$P101+$AE101+$AF101),"")</f>
        <v/>
      </c>
      <c r="AH101" s="45">
        <f>IFERROR(IF($A101="","",$M101+$O101),"")</f>
        <v/>
      </c>
      <c r="AI101" s="46">
        <f>IFERROR(IF($A101="","",IFERROR($AH101/$W101,0)),"")</f>
        <v/>
      </c>
      <c r="AJ101" s="45">
        <f>IFERROR(IF($A101="","",$W101-$AH101-$AD101+$AG101),"")</f>
        <v/>
      </c>
      <c r="AK101" s="47">
        <f>IFERROR(IF($A101="","",IF(OR($S101="Collected",$S101="Waived",$S101="Uncollectible",$S101="No Charge Due"),"",IF($T101="",$B101+'Assumptions'!$B$9,$T101+'Assumptions'!$B$9))),"")</f>
        <v/>
      </c>
      <c r="AL101" s="48">
        <f>IFERROR(IF($A101="","",IF(OR($S101="Collected",$S101="Waived",$S101="Uncollectible",$S101="No Charge Due"),"Closed",IF($AK101&lt;TODAY(),"Overdue",IF($AK101=TODAY(),"Due","Open")))),"")</f>
        <v/>
      </c>
      <c r="AM101" s="49">
        <f>IFERROR(IF($A101="","",IF(COUNTIF($A$5:$A$504,$A101)&gt;1,"Duplicate reservation ID",IF($C101&lt;=$B101,"Check stay dates",IF($G101&gt;$F101,"Resold nights exceed booked nights",IF($M101+$N101&gt;$AA101+0.01,"Collection exceeds expected amount",IF(AND($S101="Collected",$M101=0),"Collected status has no amount",IF($AJ101&gt;='Assumptions'!$B$10,"High-cost review","OK"))))))),"")</f>
        <v/>
      </c>
    </row>
    <row r="102">
      <c r="A102" s="38" t="n"/>
      <c r="B102" s="39" t="n"/>
      <c r="C102" s="39" t="n"/>
      <c r="D102" s="38" t="n"/>
      <c r="E102" s="38" t="n"/>
      <c r="F102" s="40" t="n"/>
      <c r="G102" s="40" t="n"/>
      <c r="H102" s="41" t="n"/>
      <c r="I102" s="41" t="n"/>
      <c r="J102" s="42" t="n"/>
      <c r="K102" s="42" t="n"/>
      <c r="L102" s="42" t="n"/>
      <c r="M102" s="41" t="n"/>
      <c r="N102" s="41" t="n"/>
      <c r="O102" s="41" t="n"/>
      <c r="P102" s="41" t="n"/>
      <c r="Q102" s="40" t="n"/>
      <c r="R102" s="38" t="n"/>
      <c r="S102" s="38" t="n"/>
      <c r="T102" s="39" t="n"/>
      <c r="U102" s="43" t="n"/>
      <c r="V102" s="44">
        <f>IFERROR(IF($A102="","",MAX($F102-$G102,0)),"")</f>
        <v/>
      </c>
      <c r="W102" s="45">
        <f>IFERROR(IF($A102="","",$H102+$I102),"")</f>
        <v/>
      </c>
      <c r="X102" s="45">
        <f>IFERROR(IF($A102="","",$H102*IF($J102="",'Assumptions'!$B$4,$J102)),"")</f>
        <v/>
      </c>
      <c r="Y102" s="45">
        <f>IFERROR(IF($A102="","",$X102*IF($K102="",'Assumptions'!$B$12,$K102)),"")</f>
        <v/>
      </c>
      <c r="Z102" s="45">
        <f>IFERROR(IF($A102="","",($X102+$Y102)*IF($L102="",'Assumptions'!$B$13,$L102)),"")</f>
        <v/>
      </c>
      <c r="AA102" s="45">
        <f>IFERROR(IF($A102="","",$X102+$Y102+$Z102),"")</f>
        <v/>
      </c>
      <c r="AB102" s="45">
        <f>IFERROR(IF($A102="","",$V102*'Assumptions'!$B$5),"")</f>
        <v/>
      </c>
      <c r="AC102" s="45">
        <f>IFERROR(IF($A102="","",$I102*'Assumptions'!$B$6),"")</f>
        <v/>
      </c>
      <c r="AD102" s="45">
        <f>IFERROR(IF($A102="","",$AB102+$AC102),"")</f>
        <v/>
      </c>
      <c r="AE102" s="45">
        <f>IFERROR(IF($A102="","",($M102+$N102)*'Assumptions'!$B$7),"")</f>
        <v/>
      </c>
      <c r="AF102" s="45">
        <f>IFERROR(IF($A102="","",($Q102/60)*'Assumptions'!$B$8),"")</f>
        <v/>
      </c>
      <c r="AG102" s="45">
        <f>IFERROR(IF($A102="","",$P102+$AE102+$AF102),"")</f>
        <v/>
      </c>
      <c r="AH102" s="45">
        <f>IFERROR(IF($A102="","",$M102+$O102),"")</f>
        <v/>
      </c>
      <c r="AI102" s="46">
        <f>IFERROR(IF($A102="","",IFERROR($AH102/$W102,0)),"")</f>
        <v/>
      </c>
      <c r="AJ102" s="45">
        <f>IFERROR(IF($A102="","",$W102-$AH102-$AD102+$AG102),"")</f>
        <v/>
      </c>
      <c r="AK102" s="47">
        <f>IFERROR(IF($A102="","",IF(OR($S102="Collected",$S102="Waived",$S102="Uncollectible",$S102="No Charge Due"),"",IF($T102="",$B102+'Assumptions'!$B$9,$T102+'Assumptions'!$B$9))),"")</f>
        <v/>
      </c>
      <c r="AL102" s="48">
        <f>IFERROR(IF($A102="","",IF(OR($S102="Collected",$S102="Waived",$S102="Uncollectible",$S102="No Charge Due"),"Closed",IF($AK102&lt;TODAY(),"Overdue",IF($AK102=TODAY(),"Due","Open")))),"")</f>
        <v/>
      </c>
      <c r="AM102" s="49">
        <f>IFERROR(IF($A102="","",IF(COUNTIF($A$5:$A$504,$A102)&gt;1,"Duplicate reservation ID",IF($C102&lt;=$B102,"Check stay dates",IF($G102&gt;$F102,"Resold nights exceed booked nights",IF($M102+$N102&gt;$AA102+0.01,"Collection exceeds expected amount",IF(AND($S102="Collected",$M102=0),"Collected status has no amount",IF($AJ102&gt;='Assumptions'!$B$10,"High-cost review","OK"))))))),"")</f>
        <v/>
      </c>
    </row>
    <row r="103">
      <c r="A103" s="38" t="n"/>
      <c r="B103" s="39" t="n"/>
      <c r="C103" s="39" t="n"/>
      <c r="D103" s="38" t="n"/>
      <c r="E103" s="38" t="n"/>
      <c r="F103" s="40" t="n"/>
      <c r="G103" s="40" t="n"/>
      <c r="H103" s="41" t="n"/>
      <c r="I103" s="41" t="n"/>
      <c r="J103" s="42" t="n"/>
      <c r="K103" s="42" t="n"/>
      <c r="L103" s="42" t="n"/>
      <c r="M103" s="41" t="n"/>
      <c r="N103" s="41" t="n"/>
      <c r="O103" s="41" t="n"/>
      <c r="P103" s="41" t="n"/>
      <c r="Q103" s="40" t="n"/>
      <c r="R103" s="38" t="n"/>
      <c r="S103" s="38" t="n"/>
      <c r="T103" s="39" t="n"/>
      <c r="U103" s="43" t="n"/>
      <c r="V103" s="44">
        <f>IFERROR(IF($A103="","",MAX($F103-$G103,0)),"")</f>
        <v/>
      </c>
      <c r="W103" s="45">
        <f>IFERROR(IF($A103="","",$H103+$I103),"")</f>
        <v/>
      </c>
      <c r="X103" s="45">
        <f>IFERROR(IF($A103="","",$H103*IF($J103="",'Assumptions'!$B$4,$J103)),"")</f>
        <v/>
      </c>
      <c r="Y103" s="45">
        <f>IFERROR(IF($A103="","",$X103*IF($K103="",'Assumptions'!$B$12,$K103)),"")</f>
        <v/>
      </c>
      <c r="Z103" s="45">
        <f>IFERROR(IF($A103="","",($X103+$Y103)*IF($L103="",'Assumptions'!$B$13,$L103)),"")</f>
        <v/>
      </c>
      <c r="AA103" s="45">
        <f>IFERROR(IF($A103="","",$X103+$Y103+$Z103),"")</f>
        <v/>
      </c>
      <c r="AB103" s="45">
        <f>IFERROR(IF($A103="","",$V103*'Assumptions'!$B$5),"")</f>
        <v/>
      </c>
      <c r="AC103" s="45">
        <f>IFERROR(IF($A103="","",$I103*'Assumptions'!$B$6),"")</f>
        <v/>
      </c>
      <c r="AD103" s="45">
        <f>IFERROR(IF($A103="","",$AB103+$AC103),"")</f>
        <v/>
      </c>
      <c r="AE103" s="45">
        <f>IFERROR(IF($A103="","",($M103+$N103)*'Assumptions'!$B$7),"")</f>
        <v/>
      </c>
      <c r="AF103" s="45">
        <f>IFERROR(IF($A103="","",($Q103/60)*'Assumptions'!$B$8),"")</f>
        <v/>
      </c>
      <c r="AG103" s="45">
        <f>IFERROR(IF($A103="","",$P103+$AE103+$AF103),"")</f>
        <v/>
      </c>
      <c r="AH103" s="45">
        <f>IFERROR(IF($A103="","",$M103+$O103),"")</f>
        <v/>
      </c>
      <c r="AI103" s="46">
        <f>IFERROR(IF($A103="","",IFERROR($AH103/$W103,0)),"")</f>
        <v/>
      </c>
      <c r="AJ103" s="45">
        <f>IFERROR(IF($A103="","",$W103-$AH103-$AD103+$AG103),"")</f>
        <v/>
      </c>
      <c r="AK103" s="47">
        <f>IFERROR(IF($A103="","",IF(OR($S103="Collected",$S103="Waived",$S103="Uncollectible",$S103="No Charge Due"),"",IF($T103="",$B103+'Assumptions'!$B$9,$T103+'Assumptions'!$B$9))),"")</f>
        <v/>
      </c>
      <c r="AL103" s="48">
        <f>IFERROR(IF($A103="","",IF(OR($S103="Collected",$S103="Waived",$S103="Uncollectible",$S103="No Charge Due"),"Closed",IF($AK103&lt;TODAY(),"Overdue",IF($AK103=TODAY(),"Due","Open")))),"")</f>
        <v/>
      </c>
      <c r="AM103" s="49">
        <f>IFERROR(IF($A103="","",IF(COUNTIF($A$5:$A$504,$A103)&gt;1,"Duplicate reservation ID",IF($C103&lt;=$B103,"Check stay dates",IF($G103&gt;$F103,"Resold nights exceed booked nights",IF($M103+$N103&gt;$AA103+0.01,"Collection exceeds expected amount",IF(AND($S103="Collected",$M103=0),"Collected status has no amount",IF($AJ103&gt;='Assumptions'!$B$10,"High-cost review","OK"))))))),"")</f>
        <v/>
      </c>
    </row>
    <row r="104">
      <c r="A104" s="38" t="n"/>
      <c r="B104" s="39" t="n"/>
      <c r="C104" s="39" t="n"/>
      <c r="D104" s="38" t="n"/>
      <c r="E104" s="38" t="n"/>
      <c r="F104" s="40" t="n"/>
      <c r="G104" s="40" t="n"/>
      <c r="H104" s="41" t="n"/>
      <c r="I104" s="41" t="n"/>
      <c r="J104" s="42" t="n"/>
      <c r="K104" s="42" t="n"/>
      <c r="L104" s="42" t="n"/>
      <c r="M104" s="41" t="n"/>
      <c r="N104" s="41" t="n"/>
      <c r="O104" s="41" t="n"/>
      <c r="P104" s="41" t="n"/>
      <c r="Q104" s="40" t="n"/>
      <c r="R104" s="38" t="n"/>
      <c r="S104" s="38" t="n"/>
      <c r="T104" s="39" t="n"/>
      <c r="U104" s="43" t="n"/>
      <c r="V104" s="44">
        <f>IFERROR(IF($A104="","",MAX($F104-$G104,0)),"")</f>
        <v/>
      </c>
      <c r="W104" s="45">
        <f>IFERROR(IF($A104="","",$H104+$I104),"")</f>
        <v/>
      </c>
      <c r="X104" s="45">
        <f>IFERROR(IF($A104="","",$H104*IF($J104="",'Assumptions'!$B$4,$J104)),"")</f>
        <v/>
      </c>
      <c r="Y104" s="45">
        <f>IFERROR(IF($A104="","",$X104*IF($K104="",'Assumptions'!$B$12,$K104)),"")</f>
        <v/>
      </c>
      <c r="Z104" s="45">
        <f>IFERROR(IF($A104="","",($X104+$Y104)*IF($L104="",'Assumptions'!$B$13,$L104)),"")</f>
        <v/>
      </c>
      <c r="AA104" s="45">
        <f>IFERROR(IF($A104="","",$X104+$Y104+$Z104),"")</f>
        <v/>
      </c>
      <c r="AB104" s="45">
        <f>IFERROR(IF($A104="","",$V104*'Assumptions'!$B$5),"")</f>
        <v/>
      </c>
      <c r="AC104" s="45">
        <f>IFERROR(IF($A104="","",$I104*'Assumptions'!$B$6),"")</f>
        <v/>
      </c>
      <c r="AD104" s="45">
        <f>IFERROR(IF($A104="","",$AB104+$AC104),"")</f>
        <v/>
      </c>
      <c r="AE104" s="45">
        <f>IFERROR(IF($A104="","",($M104+$N104)*'Assumptions'!$B$7),"")</f>
        <v/>
      </c>
      <c r="AF104" s="45">
        <f>IFERROR(IF($A104="","",($Q104/60)*'Assumptions'!$B$8),"")</f>
        <v/>
      </c>
      <c r="AG104" s="45">
        <f>IFERROR(IF($A104="","",$P104+$AE104+$AF104),"")</f>
        <v/>
      </c>
      <c r="AH104" s="45">
        <f>IFERROR(IF($A104="","",$M104+$O104),"")</f>
        <v/>
      </c>
      <c r="AI104" s="46">
        <f>IFERROR(IF($A104="","",IFERROR($AH104/$W104,0)),"")</f>
        <v/>
      </c>
      <c r="AJ104" s="45">
        <f>IFERROR(IF($A104="","",$W104-$AH104-$AD104+$AG104),"")</f>
        <v/>
      </c>
      <c r="AK104" s="47">
        <f>IFERROR(IF($A104="","",IF(OR($S104="Collected",$S104="Waived",$S104="Uncollectible",$S104="No Charge Due"),"",IF($T104="",$B104+'Assumptions'!$B$9,$T104+'Assumptions'!$B$9))),"")</f>
        <v/>
      </c>
      <c r="AL104" s="48">
        <f>IFERROR(IF($A104="","",IF(OR($S104="Collected",$S104="Waived",$S104="Uncollectible",$S104="No Charge Due"),"Closed",IF($AK104&lt;TODAY(),"Overdue",IF($AK104=TODAY(),"Due","Open")))),"")</f>
        <v/>
      </c>
      <c r="AM104" s="49">
        <f>IFERROR(IF($A104="","",IF(COUNTIF($A$5:$A$504,$A104)&gt;1,"Duplicate reservation ID",IF($C104&lt;=$B104,"Check stay dates",IF($G104&gt;$F104,"Resold nights exceed booked nights",IF($M104+$N104&gt;$AA104+0.01,"Collection exceeds expected amount",IF(AND($S104="Collected",$M104=0),"Collected status has no amount",IF($AJ104&gt;='Assumptions'!$B$10,"High-cost review","OK"))))))),"")</f>
        <v/>
      </c>
    </row>
    <row r="105">
      <c r="A105" s="38" t="n"/>
      <c r="B105" s="39" t="n"/>
      <c r="C105" s="39" t="n"/>
      <c r="D105" s="38" t="n"/>
      <c r="E105" s="38" t="n"/>
      <c r="F105" s="40" t="n"/>
      <c r="G105" s="40" t="n"/>
      <c r="H105" s="41" t="n"/>
      <c r="I105" s="41" t="n"/>
      <c r="J105" s="42" t="n"/>
      <c r="K105" s="42" t="n"/>
      <c r="L105" s="42" t="n"/>
      <c r="M105" s="41" t="n"/>
      <c r="N105" s="41" t="n"/>
      <c r="O105" s="41" t="n"/>
      <c r="P105" s="41" t="n"/>
      <c r="Q105" s="40" t="n"/>
      <c r="R105" s="38" t="n"/>
      <c r="S105" s="38" t="n"/>
      <c r="T105" s="39" t="n"/>
      <c r="U105" s="43" t="n"/>
      <c r="V105" s="44">
        <f>IFERROR(IF($A105="","",MAX($F105-$G105,0)),"")</f>
        <v/>
      </c>
      <c r="W105" s="45">
        <f>IFERROR(IF($A105="","",$H105+$I105),"")</f>
        <v/>
      </c>
      <c r="X105" s="45">
        <f>IFERROR(IF($A105="","",$H105*IF($J105="",'Assumptions'!$B$4,$J105)),"")</f>
        <v/>
      </c>
      <c r="Y105" s="45">
        <f>IFERROR(IF($A105="","",$X105*IF($K105="",'Assumptions'!$B$12,$K105)),"")</f>
        <v/>
      </c>
      <c r="Z105" s="45">
        <f>IFERROR(IF($A105="","",($X105+$Y105)*IF($L105="",'Assumptions'!$B$13,$L105)),"")</f>
        <v/>
      </c>
      <c r="AA105" s="45">
        <f>IFERROR(IF($A105="","",$X105+$Y105+$Z105),"")</f>
        <v/>
      </c>
      <c r="AB105" s="45">
        <f>IFERROR(IF($A105="","",$V105*'Assumptions'!$B$5),"")</f>
        <v/>
      </c>
      <c r="AC105" s="45">
        <f>IFERROR(IF($A105="","",$I105*'Assumptions'!$B$6),"")</f>
        <v/>
      </c>
      <c r="AD105" s="45">
        <f>IFERROR(IF($A105="","",$AB105+$AC105),"")</f>
        <v/>
      </c>
      <c r="AE105" s="45">
        <f>IFERROR(IF($A105="","",($M105+$N105)*'Assumptions'!$B$7),"")</f>
        <v/>
      </c>
      <c r="AF105" s="45">
        <f>IFERROR(IF($A105="","",($Q105/60)*'Assumptions'!$B$8),"")</f>
        <v/>
      </c>
      <c r="AG105" s="45">
        <f>IFERROR(IF($A105="","",$P105+$AE105+$AF105),"")</f>
        <v/>
      </c>
      <c r="AH105" s="45">
        <f>IFERROR(IF($A105="","",$M105+$O105),"")</f>
        <v/>
      </c>
      <c r="AI105" s="46">
        <f>IFERROR(IF($A105="","",IFERROR($AH105/$W105,0)),"")</f>
        <v/>
      </c>
      <c r="AJ105" s="45">
        <f>IFERROR(IF($A105="","",$W105-$AH105-$AD105+$AG105),"")</f>
        <v/>
      </c>
      <c r="AK105" s="47">
        <f>IFERROR(IF($A105="","",IF(OR($S105="Collected",$S105="Waived",$S105="Uncollectible",$S105="No Charge Due"),"",IF($T105="",$B105+'Assumptions'!$B$9,$T105+'Assumptions'!$B$9))),"")</f>
        <v/>
      </c>
      <c r="AL105" s="48">
        <f>IFERROR(IF($A105="","",IF(OR($S105="Collected",$S105="Waived",$S105="Uncollectible",$S105="No Charge Due"),"Closed",IF($AK105&lt;TODAY(),"Overdue",IF($AK105=TODAY(),"Due","Open")))),"")</f>
        <v/>
      </c>
      <c r="AM105" s="49">
        <f>IFERROR(IF($A105="","",IF(COUNTIF($A$5:$A$504,$A105)&gt;1,"Duplicate reservation ID",IF($C105&lt;=$B105,"Check stay dates",IF($G105&gt;$F105,"Resold nights exceed booked nights",IF($M105+$N105&gt;$AA105+0.01,"Collection exceeds expected amount",IF(AND($S105="Collected",$M105=0),"Collected status has no amount",IF($AJ105&gt;='Assumptions'!$B$10,"High-cost review","OK"))))))),"")</f>
        <v/>
      </c>
    </row>
    <row r="106">
      <c r="A106" s="38" t="n"/>
      <c r="B106" s="39" t="n"/>
      <c r="C106" s="39" t="n"/>
      <c r="D106" s="38" t="n"/>
      <c r="E106" s="38" t="n"/>
      <c r="F106" s="40" t="n"/>
      <c r="G106" s="40" t="n"/>
      <c r="H106" s="41" t="n"/>
      <c r="I106" s="41" t="n"/>
      <c r="J106" s="42" t="n"/>
      <c r="K106" s="42" t="n"/>
      <c r="L106" s="42" t="n"/>
      <c r="M106" s="41" t="n"/>
      <c r="N106" s="41" t="n"/>
      <c r="O106" s="41" t="n"/>
      <c r="P106" s="41" t="n"/>
      <c r="Q106" s="40" t="n"/>
      <c r="R106" s="38" t="n"/>
      <c r="S106" s="38" t="n"/>
      <c r="T106" s="39" t="n"/>
      <c r="U106" s="43" t="n"/>
      <c r="V106" s="44">
        <f>IFERROR(IF($A106="","",MAX($F106-$G106,0)),"")</f>
        <v/>
      </c>
      <c r="W106" s="45">
        <f>IFERROR(IF($A106="","",$H106+$I106),"")</f>
        <v/>
      </c>
      <c r="X106" s="45">
        <f>IFERROR(IF($A106="","",$H106*IF($J106="",'Assumptions'!$B$4,$J106)),"")</f>
        <v/>
      </c>
      <c r="Y106" s="45">
        <f>IFERROR(IF($A106="","",$X106*IF($K106="",'Assumptions'!$B$12,$K106)),"")</f>
        <v/>
      </c>
      <c r="Z106" s="45">
        <f>IFERROR(IF($A106="","",($X106+$Y106)*IF($L106="",'Assumptions'!$B$13,$L106)),"")</f>
        <v/>
      </c>
      <c r="AA106" s="45">
        <f>IFERROR(IF($A106="","",$X106+$Y106+$Z106),"")</f>
        <v/>
      </c>
      <c r="AB106" s="45">
        <f>IFERROR(IF($A106="","",$V106*'Assumptions'!$B$5),"")</f>
        <v/>
      </c>
      <c r="AC106" s="45">
        <f>IFERROR(IF($A106="","",$I106*'Assumptions'!$B$6),"")</f>
        <v/>
      </c>
      <c r="AD106" s="45">
        <f>IFERROR(IF($A106="","",$AB106+$AC106),"")</f>
        <v/>
      </c>
      <c r="AE106" s="45">
        <f>IFERROR(IF($A106="","",($M106+$N106)*'Assumptions'!$B$7),"")</f>
        <v/>
      </c>
      <c r="AF106" s="45">
        <f>IFERROR(IF($A106="","",($Q106/60)*'Assumptions'!$B$8),"")</f>
        <v/>
      </c>
      <c r="AG106" s="45">
        <f>IFERROR(IF($A106="","",$P106+$AE106+$AF106),"")</f>
        <v/>
      </c>
      <c r="AH106" s="45">
        <f>IFERROR(IF($A106="","",$M106+$O106),"")</f>
        <v/>
      </c>
      <c r="AI106" s="46">
        <f>IFERROR(IF($A106="","",IFERROR($AH106/$W106,0)),"")</f>
        <v/>
      </c>
      <c r="AJ106" s="45">
        <f>IFERROR(IF($A106="","",$W106-$AH106-$AD106+$AG106),"")</f>
        <v/>
      </c>
      <c r="AK106" s="47">
        <f>IFERROR(IF($A106="","",IF(OR($S106="Collected",$S106="Waived",$S106="Uncollectible",$S106="No Charge Due"),"",IF($T106="",$B106+'Assumptions'!$B$9,$T106+'Assumptions'!$B$9))),"")</f>
        <v/>
      </c>
      <c r="AL106" s="48">
        <f>IFERROR(IF($A106="","",IF(OR($S106="Collected",$S106="Waived",$S106="Uncollectible",$S106="No Charge Due"),"Closed",IF($AK106&lt;TODAY(),"Overdue",IF($AK106=TODAY(),"Due","Open")))),"")</f>
        <v/>
      </c>
      <c r="AM106" s="49">
        <f>IFERROR(IF($A106="","",IF(COUNTIF($A$5:$A$504,$A106)&gt;1,"Duplicate reservation ID",IF($C106&lt;=$B106,"Check stay dates",IF($G106&gt;$F106,"Resold nights exceed booked nights",IF($M106+$N106&gt;$AA106+0.01,"Collection exceeds expected amount",IF(AND($S106="Collected",$M106=0),"Collected status has no amount",IF($AJ106&gt;='Assumptions'!$B$10,"High-cost review","OK"))))))),"")</f>
        <v/>
      </c>
    </row>
    <row r="107">
      <c r="A107" s="38" t="n"/>
      <c r="B107" s="39" t="n"/>
      <c r="C107" s="39" t="n"/>
      <c r="D107" s="38" t="n"/>
      <c r="E107" s="38" t="n"/>
      <c r="F107" s="40" t="n"/>
      <c r="G107" s="40" t="n"/>
      <c r="H107" s="41" t="n"/>
      <c r="I107" s="41" t="n"/>
      <c r="J107" s="42" t="n"/>
      <c r="K107" s="42" t="n"/>
      <c r="L107" s="42" t="n"/>
      <c r="M107" s="41" t="n"/>
      <c r="N107" s="41" t="n"/>
      <c r="O107" s="41" t="n"/>
      <c r="P107" s="41" t="n"/>
      <c r="Q107" s="40" t="n"/>
      <c r="R107" s="38" t="n"/>
      <c r="S107" s="38" t="n"/>
      <c r="T107" s="39" t="n"/>
      <c r="U107" s="43" t="n"/>
      <c r="V107" s="44">
        <f>IFERROR(IF($A107="","",MAX($F107-$G107,0)),"")</f>
        <v/>
      </c>
      <c r="W107" s="45">
        <f>IFERROR(IF($A107="","",$H107+$I107),"")</f>
        <v/>
      </c>
      <c r="X107" s="45">
        <f>IFERROR(IF($A107="","",$H107*IF($J107="",'Assumptions'!$B$4,$J107)),"")</f>
        <v/>
      </c>
      <c r="Y107" s="45">
        <f>IFERROR(IF($A107="","",$X107*IF($K107="",'Assumptions'!$B$12,$K107)),"")</f>
        <v/>
      </c>
      <c r="Z107" s="45">
        <f>IFERROR(IF($A107="","",($X107+$Y107)*IF($L107="",'Assumptions'!$B$13,$L107)),"")</f>
        <v/>
      </c>
      <c r="AA107" s="45">
        <f>IFERROR(IF($A107="","",$X107+$Y107+$Z107),"")</f>
        <v/>
      </c>
      <c r="AB107" s="45">
        <f>IFERROR(IF($A107="","",$V107*'Assumptions'!$B$5),"")</f>
        <v/>
      </c>
      <c r="AC107" s="45">
        <f>IFERROR(IF($A107="","",$I107*'Assumptions'!$B$6),"")</f>
        <v/>
      </c>
      <c r="AD107" s="45">
        <f>IFERROR(IF($A107="","",$AB107+$AC107),"")</f>
        <v/>
      </c>
      <c r="AE107" s="45">
        <f>IFERROR(IF($A107="","",($M107+$N107)*'Assumptions'!$B$7),"")</f>
        <v/>
      </c>
      <c r="AF107" s="45">
        <f>IFERROR(IF($A107="","",($Q107/60)*'Assumptions'!$B$8),"")</f>
        <v/>
      </c>
      <c r="AG107" s="45">
        <f>IFERROR(IF($A107="","",$P107+$AE107+$AF107),"")</f>
        <v/>
      </c>
      <c r="AH107" s="45">
        <f>IFERROR(IF($A107="","",$M107+$O107),"")</f>
        <v/>
      </c>
      <c r="AI107" s="46">
        <f>IFERROR(IF($A107="","",IFERROR($AH107/$W107,0)),"")</f>
        <v/>
      </c>
      <c r="AJ107" s="45">
        <f>IFERROR(IF($A107="","",$W107-$AH107-$AD107+$AG107),"")</f>
        <v/>
      </c>
      <c r="AK107" s="47">
        <f>IFERROR(IF($A107="","",IF(OR($S107="Collected",$S107="Waived",$S107="Uncollectible",$S107="No Charge Due"),"",IF($T107="",$B107+'Assumptions'!$B$9,$T107+'Assumptions'!$B$9))),"")</f>
        <v/>
      </c>
      <c r="AL107" s="48">
        <f>IFERROR(IF($A107="","",IF(OR($S107="Collected",$S107="Waived",$S107="Uncollectible",$S107="No Charge Due"),"Closed",IF($AK107&lt;TODAY(),"Overdue",IF($AK107=TODAY(),"Due","Open")))),"")</f>
        <v/>
      </c>
      <c r="AM107" s="49">
        <f>IFERROR(IF($A107="","",IF(COUNTIF($A$5:$A$504,$A107)&gt;1,"Duplicate reservation ID",IF($C107&lt;=$B107,"Check stay dates",IF($G107&gt;$F107,"Resold nights exceed booked nights",IF($M107+$N107&gt;$AA107+0.01,"Collection exceeds expected amount",IF(AND($S107="Collected",$M107=0),"Collected status has no amount",IF($AJ107&gt;='Assumptions'!$B$10,"High-cost review","OK"))))))),"")</f>
        <v/>
      </c>
    </row>
    <row r="108">
      <c r="A108" s="38" t="n"/>
      <c r="B108" s="39" t="n"/>
      <c r="C108" s="39" t="n"/>
      <c r="D108" s="38" t="n"/>
      <c r="E108" s="38" t="n"/>
      <c r="F108" s="40" t="n"/>
      <c r="G108" s="40" t="n"/>
      <c r="H108" s="41" t="n"/>
      <c r="I108" s="41" t="n"/>
      <c r="J108" s="42" t="n"/>
      <c r="K108" s="42" t="n"/>
      <c r="L108" s="42" t="n"/>
      <c r="M108" s="41" t="n"/>
      <c r="N108" s="41" t="n"/>
      <c r="O108" s="41" t="n"/>
      <c r="P108" s="41" t="n"/>
      <c r="Q108" s="40" t="n"/>
      <c r="R108" s="38" t="n"/>
      <c r="S108" s="38" t="n"/>
      <c r="T108" s="39" t="n"/>
      <c r="U108" s="43" t="n"/>
      <c r="V108" s="44">
        <f>IFERROR(IF($A108="","",MAX($F108-$G108,0)),"")</f>
        <v/>
      </c>
      <c r="W108" s="45">
        <f>IFERROR(IF($A108="","",$H108+$I108),"")</f>
        <v/>
      </c>
      <c r="X108" s="45">
        <f>IFERROR(IF($A108="","",$H108*IF($J108="",'Assumptions'!$B$4,$J108)),"")</f>
        <v/>
      </c>
      <c r="Y108" s="45">
        <f>IFERROR(IF($A108="","",$X108*IF($K108="",'Assumptions'!$B$12,$K108)),"")</f>
        <v/>
      </c>
      <c r="Z108" s="45">
        <f>IFERROR(IF($A108="","",($X108+$Y108)*IF($L108="",'Assumptions'!$B$13,$L108)),"")</f>
        <v/>
      </c>
      <c r="AA108" s="45">
        <f>IFERROR(IF($A108="","",$X108+$Y108+$Z108),"")</f>
        <v/>
      </c>
      <c r="AB108" s="45">
        <f>IFERROR(IF($A108="","",$V108*'Assumptions'!$B$5),"")</f>
        <v/>
      </c>
      <c r="AC108" s="45">
        <f>IFERROR(IF($A108="","",$I108*'Assumptions'!$B$6),"")</f>
        <v/>
      </c>
      <c r="AD108" s="45">
        <f>IFERROR(IF($A108="","",$AB108+$AC108),"")</f>
        <v/>
      </c>
      <c r="AE108" s="45">
        <f>IFERROR(IF($A108="","",($M108+$N108)*'Assumptions'!$B$7),"")</f>
        <v/>
      </c>
      <c r="AF108" s="45">
        <f>IFERROR(IF($A108="","",($Q108/60)*'Assumptions'!$B$8),"")</f>
        <v/>
      </c>
      <c r="AG108" s="45">
        <f>IFERROR(IF($A108="","",$P108+$AE108+$AF108),"")</f>
        <v/>
      </c>
      <c r="AH108" s="45">
        <f>IFERROR(IF($A108="","",$M108+$O108),"")</f>
        <v/>
      </c>
      <c r="AI108" s="46">
        <f>IFERROR(IF($A108="","",IFERROR($AH108/$W108,0)),"")</f>
        <v/>
      </c>
      <c r="AJ108" s="45">
        <f>IFERROR(IF($A108="","",$W108-$AH108-$AD108+$AG108),"")</f>
        <v/>
      </c>
      <c r="AK108" s="47">
        <f>IFERROR(IF($A108="","",IF(OR($S108="Collected",$S108="Waived",$S108="Uncollectible",$S108="No Charge Due"),"",IF($T108="",$B108+'Assumptions'!$B$9,$T108+'Assumptions'!$B$9))),"")</f>
        <v/>
      </c>
      <c r="AL108" s="48">
        <f>IFERROR(IF($A108="","",IF(OR($S108="Collected",$S108="Waived",$S108="Uncollectible",$S108="No Charge Due"),"Closed",IF($AK108&lt;TODAY(),"Overdue",IF($AK108=TODAY(),"Due","Open")))),"")</f>
        <v/>
      </c>
      <c r="AM108" s="49">
        <f>IFERROR(IF($A108="","",IF(COUNTIF($A$5:$A$504,$A108)&gt;1,"Duplicate reservation ID",IF($C108&lt;=$B108,"Check stay dates",IF($G108&gt;$F108,"Resold nights exceed booked nights",IF($M108+$N108&gt;$AA108+0.01,"Collection exceeds expected amount",IF(AND($S108="Collected",$M108=0),"Collected status has no amount",IF($AJ108&gt;='Assumptions'!$B$10,"High-cost review","OK"))))))),"")</f>
        <v/>
      </c>
    </row>
    <row r="109">
      <c r="A109" s="38" t="n"/>
      <c r="B109" s="39" t="n"/>
      <c r="C109" s="39" t="n"/>
      <c r="D109" s="38" t="n"/>
      <c r="E109" s="38" t="n"/>
      <c r="F109" s="40" t="n"/>
      <c r="G109" s="40" t="n"/>
      <c r="H109" s="41" t="n"/>
      <c r="I109" s="41" t="n"/>
      <c r="J109" s="42" t="n"/>
      <c r="K109" s="42" t="n"/>
      <c r="L109" s="42" t="n"/>
      <c r="M109" s="41" t="n"/>
      <c r="N109" s="41" t="n"/>
      <c r="O109" s="41" t="n"/>
      <c r="P109" s="41" t="n"/>
      <c r="Q109" s="40" t="n"/>
      <c r="R109" s="38" t="n"/>
      <c r="S109" s="38" t="n"/>
      <c r="T109" s="39" t="n"/>
      <c r="U109" s="43" t="n"/>
      <c r="V109" s="44">
        <f>IFERROR(IF($A109="","",MAX($F109-$G109,0)),"")</f>
        <v/>
      </c>
      <c r="W109" s="45">
        <f>IFERROR(IF($A109="","",$H109+$I109),"")</f>
        <v/>
      </c>
      <c r="X109" s="45">
        <f>IFERROR(IF($A109="","",$H109*IF($J109="",'Assumptions'!$B$4,$J109)),"")</f>
        <v/>
      </c>
      <c r="Y109" s="45">
        <f>IFERROR(IF($A109="","",$X109*IF($K109="",'Assumptions'!$B$12,$K109)),"")</f>
        <v/>
      </c>
      <c r="Z109" s="45">
        <f>IFERROR(IF($A109="","",($X109+$Y109)*IF($L109="",'Assumptions'!$B$13,$L109)),"")</f>
        <v/>
      </c>
      <c r="AA109" s="45">
        <f>IFERROR(IF($A109="","",$X109+$Y109+$Z109),"")</f>
        <v/>
      </c>
      <c r="AB109" s="45">
        <f>IFERROR(IF($A109="","",$V109*'Assumptions'!$B$5),"")</f>
        <v/>
      </c>
      <c r="AC109" s="45">
        <f>IFERROR(IF($A109="","",$I109*'Assumptions'!$B$6),"")</f>
        <v/>
      </c>
      <c r="AD109" s="45">
        <f>IFERROR(IF($A109="","",$AB109+$AC109),"")</f>
        <v/>
      </c>
      <c r="AE109" s="45">
        <f>IFERROR(IF($A109="","",($M109+$N109)*'Assumptions'!$B$7),"")</f>
        <v/>
      </c>
      <c r="AF109" s="45">
        <f>IFERROR(IF($A109="","",($Q109/60)*'Assumptions'!$B$8),"")</f>
        <v/>
      </c>
      <c r="AG109" s="45">
        <f>IFERROR(IF($A109="","",$P109+$AE109+$AF109),"")</f>
        <v/>
      </c>
      <c r="AH109" s="45">
        <f>IFERROR(IF($A109="","",$M109+$O109),"")</f>
        <v/>
      </c>
      <c r="AI109" s="46">
        <f>IFERROR(IF($A109="","",IFERROR($AH109/$W109,0)),"")</f>
        <v/>
      </c>
      <c r="AJ109" s="45">
        <f>IFERROR(IF($A109="","",$W109-$AH109-$AD109+$AG109),"")</f>
        <v/>
      </c>
      <c r="AK109" s="47">
        <f>IFERROR(IF($A109="","",IF(OR($S109="Collected",$S109="Waived",$S109="Uncollectible",$S109="No Charge Due"),"",IF($T109="",$B109+'Assumptions'!$B$9,$T109+'Assumptions'!$B$9))),"")</f>
        <v/>
      </c>
      <c r="AL109" s="48">
        <f>IFERROR(IF($A109="","",IF(OR($S109="Collected",$S109="Waived",$S109="Uncollectible",$S109="No Charge Due"),"Closed",IF($AK109&lt;TODAY(),"Overdue",IF($AK109=TODAY(),"Due","Open")))),"")</f>
        <v/>
      </c>
      <c r="AM109" s="49">
        <f>IFERROR(IF($A109="","",IF(COUNTIF($A$5:$A$504,$A109)&gt;1,"Duplicate reservation ID",IF($C109&lt;=$B109,"Check stay dates",IF($G109&gt;$F109,"Resold nights exceed booked nights",IF($M109+$N109&gt;$AA109+0.01,"Collection exceeds expected amount",IF(AND($S109="Collected",$M109=0),"Collected status has no amount",IF($AJ109&gt;='Assumptions'!$B$10,"High-cost review","OK"))))))),"")</f>
        <v/>
      </c>
    </row>
    <row r="110">
      <c r="A110" s="38" t="n"/>
      <c r="B110" s="39" t="n"/>
      <c r="C110" s="39" t="n"/>
      <c r="D110" s="38" t="n"/>
      <c r="E110" s="38" t="n"/>
      <c r="F110" s="40" t="n"/>
      <c r="G110" s="40" t="n"/>
      <c r="H110" s="41" t="n"/>
      <c r="I110" s="41" t="n"/>
      <c r="J110" s="42" t="n"/>
      <c r="K110" s="42" t="n"/>
      <c r="L110" s="42" t="n"/>
      <c r="M110" s="41" t="n"/>
      <c r="N110" s="41" t="n"/>
      <c r="O110" s="41" t="n"/>
      <c r="P110" s="41" t="n"/>
      <c r="Q110" s="40" t="n"/>
      <c r="R110" s="38" t="n"/>
      <c r="S110" s="38" t="n"/>
      <c r="T110" s="39" t="n"/>
      <c r="U110" s="43" t="n"/>
      <c r="V110" s="44">
        <f>IFERROR(IF($A110="","",MAX($F110-$G110,0)),"")</f>
        <v/>
      </c>
      <c r="W110" s="45">
        <f>IFERROR(IF($A110="","",$H110+$I110),"")</f>
        <v/>
      </c>
      <c r="X110" s="45">
        <f>IFERROR(IF($A110="","",$H110*IF($J110="",'Assumptions'!$B$4,$J110)),"")</f>
        <v/>
      </c>
      <c r="Y110" s="45">
        <f>IFERROR(IF($A110="","",$X110*IF($K110="",'Assumptions'!$B$12,$K110)),"")</f>
        <v/>
      </c>
      <c r="Z110" s="45">
        <f>IFERROR(IF($A110="","",($X110+$Y110)*IF($L110="",'Assumptions'!$B$13,$L110)),"")</f>
        <v/>
      </c>
      <c r="AA110" s="45">
        <f>IFERROR(IF($A110="","",$X110+$Y110+$Z110),"")</f>
        <v/>
      </c>
      <c r="AB110" s="45">
        <f>IFERROR(IF($A110="","",$V110*'Assumptions'!$B$5),"")</f>
        <v/>
      </c>
      <c r="AC110" s="45">
        <f>IFERROR(IF($A110="","",$I110*'Assumptions'!$B$6),"")</f>
        <v/>
      </c>
      <c r="AD110" s="45">
        <f>IFERROR(IF($A110="","",$AB110+$AC110),"")</f>
        <v/>
      </c>
      <c r="AE110" s="45">
        <f>IFERROR(IF($A110="","",($M110+$N110)*'Assumptions'!$B$7),"")</f>
        <v/>
      </c>
      <c r="AF110" s="45">
        <f>IFERROR(IF($A110="","",($Q110/60)*'Assumptions'!$B$8),"")</f>
        <v/>
      </c>
      <c r="AG110" s="45">
        <f>IFERROR(IF($A110="","",$P110+$AE110+$AF110),"")</f>
        <v/>
      </c>
      <c r="AH110" s="45">
        <f>IFERROR(IF($A110="","",$M110+$O110),"")</f>
        <v/>
      </c>
      <c r="AI110" s="46">
        <f>IFERROR(IF($A110="","",IFERROR($AH110/$W110,0)),"")</f>
        <v/>
      </c>
      <c r="AJ110" s="45">
        <f>IFERROR(IF($A110="","",$W110-$AH110-$AD110+$AG110),"")</f>
        <v/>
      </c>
      <c r="AK110" s="47">
        <f>IFERROR(IF($A110="","",IF(OR($S110="Collected",$S110="Waived",$S110="Uncollectible",$S110="No Charge Due"),"",IF($T110="",$B110+'Assumptions'!$B$9,$T110+'Assumptions'!$B$9))),"")</f>
        <v/>
      </c>
      <c r="AL110" s="48">
        <f>IFERROR(IF($A110="","",IF(OR($S110="Collected",$S110="Waived",$S110="Uncollectible",$S110="No Charge Due"),"Closed",IF($AK110&lt;TODAY(),"Overdue",IF($AK110=TODAY(),"Due","Open")))),"")</f>
        <v/>
      </c>
      <c r="AM110" s="49">
        <f>IFERROR(IF($A110="","",IF(COUNTIF($A$5:$A$504,$A110)&gt;1,"Duplicate reservation ID",IF($C110&lt;=$B110,"Check stay dates",IF($G110&gt;$F110,"Resold nights exceed booked nights",IF($M110+$N110&gt;$AA110+0.01,"Collection exceeds expected amount",IF(AND($S110="Collected",$M110=0),"Collected status has no amount",IF($AJ110&gt;='Assumptions'!$B$10,"High-cost review","OK"))))))),"")</f>
        <v/>
      </c>
    </row>
    <row r="111">
      <c r="A111" s="38" t="n"/>
      <c r="B111" s="39" t="n"/>
      <c r="C111" s="39" t="n"/>
      <c r="D111" s="38" t="n"/>
      <c r="E111" s="38" t="n"/>
      <c r="F111" s="40" t="n"/>
      <c r="G111" s="40" t="n"/>
      <c r="H111" s="41" t="n"/>
      <c r="I111" s="41" t="n"/>
      <c r="J111" s="42" t="n"/>
      <c r="K111" s="42" t="n"/>
      <c r="L111" s="42" t="n"/>
      <c r="M111" s="41" t="n"/>
      <c r="N111" s="41" t="n"/>
      <c r="O111" s="41" t="n"/>
      <c r="P111" s="41" t="n"/>
      <c r="Q111" s="40" t="n"/>
      <c r="R111" s="38" t="n"/>
      <c r="S111" s="38" t="n"/>
      <c r="T111" s="39" t="n"/>
      <c r="U111" s="43" t="n"/>
      <c r="V111" s="44">
        <f>IFERROR(IF($A111="","",MAX($F111-$G111,0)),"")</f>
        <v/>
      </c>
      <c r="W111" s="45">
        <f>IFERROR(IF($A111="","",$H111+$I111),"")</f>
        <v/>
      </c>
      <c r="X111" s="45">
        <f>IFERROR(IF($A111="","",$H111*IF($J111="",'Assumptions'!$B$4,$J111)),"")</f>
        <v/>
      </c>
      <c r="Y111" s="45">
        <f>IFERROR(IF($A111="","",$X111*IF($K111="",'Assumptions'!$B$12,$K111)),"")</f>
        <v/>
      </c>
      <c r="Z111" s="45">
        <f>IFERROR(IF($A111="","",($X111+$Y111)*IF($L111="",'Assumptions'!$B$13,$L111)),"")</f>
        <v/>
      </c>
      <c r="AA111" s="45">
        <f>IFERROR(IF($A111="","",$X111+$Y111+$Z111),"")</f>
        <v/>
      </c>
      <c r="AB111" s="45">
        <f>IFERROR(IF($A111="","",$V111*'Assumptions'!$B$5),"")</f>
        <v/>
      </c>
      <c r="AC111" s="45">
        <f>IFERROR(IF($A111="","",$I111*'Assumptions'!$B$6),"")</f>
        <v/>
      </c>
      <c r="AD111" s="45">
        <f>IFERROR(IF($A111="","",$AB111+$AC111),"")</f>
        <v/>
      </c>
      <c r="AE111" s="45">
        <f>IFERROR(IF($A111="","",($M111+$N111)*'Assumptions'!$B$7),"")</f>
        <v/>
      </c>
      <c r="AF111" s="45">
        <f>IFERROR(IF($A111="","",($Q111/60)*'Assumptions'!$B$8),"")</f>
        <v/>
      </c>
      <c r="AG111" s="45">
        <f>IFERROR(IF($A111="","",$P111+$AE111+$AF111),"")</f>
        <v/>
      </c>
      <c r="AH111" s="45">
        <f>IFERROR(IF($A111="","",$M111+$O111),"")</f>
        <v/>
      </c>
      <c r="AI111" s="46">
        <f>IFERROR(IF($A111="","",IFERROR($AH111/$W111,0)),"")</f>
        <v/>
      </c>
      <c r="AJ111" s="45">
        <f>IFERROR(IF($A111="","",$W111-$AH111-$AD111+$AG111),"")</f>
        <v/>
      </c>
      <c r="AK111" s="47">
        <f>IFERROR(IF($A111="","",IF(OR($S111="Collected",$S111="Waived",$S111="Uncollectible",$S111="No Charge Due"),"",IF($T111="",$B111+'Assumptions'!$B$9,$T111+'Assumptions'!$B$9))),"")</f>
        <v/>
      </c>
      <c r="AL111" s="48">
        <f>IFERROR(IF($A111="","",IF(OR($S111="Collected",$S111="Waived",$S111="Uncollectible",$S111="No Charge Due"),"Closed",IF($AK111&lt;TODAY(),"Overdue",IF($AK111=TODAY(),"Due","Open")))),"")</f>
        <v/>
      </c>
      <c r="AM111" s="49">
        <f>IFERROR(IF($A111="","",IF(COUNTIF($A$5:$A$504,$A111)&gt;1,"Duplicate reservation ID",IF($C111&lt;=$B111,"Check stay dates",IF($G111&gt;$F111,"Resold nights exceed booked nights",IF($M111+$N111&gt;$AA111+0.01,"Collection exceeds expected amount",IF(AND($S111="Collected",$M111=0),"Collected status has no amount",IF($AJ111&gt;='Assumptions'!$B$10,"High-cost review","OK"))))))),"")</f>
        <v/>
      </c>
    </row>
    <row r="112">
      <c r="A112" s="38" t="n"/>
      <c r="B112" s="39" t="n"/>
      <c r="C112" s="39" t="n"/>
      <c r="D112" s="38" t="n"/>
      <c r="E112" s="38" t="n"/>
      <c r="F112" s="40" t="n"/>
      <c r="G112" s="40" t="n"/>
      <c r="H112" s="41" t="n"/>
      <c r="I112" s="41" t="n"/>
      <c r="J112" s="42" t="n"/>
      <c r="K112" s="42" t="n"/>
      <c r="L112" s="42" t="n"/>
      <c r="M112" s="41" t="n"/>
      <c r="N112" s="41" t="n"/>
      <c r="O112" s="41" t="n"/>
      <c r="P112" s="41" t="n"/>
      <c r="Q112" s="40" t="n"/>
      <c r="R112" s="38" t="n"/>
      <c r="S112" s="38" t="n"/>
      <c r="T112" s="39" t="n"/>
      <c r="U112" s="43" t="n"/>
      <c r="V112" s="44">
        <f>IFERROR(IF($A112="","",MAX($F112-$G112,0)),"")</f>
        <v/>
      </c>
      <c r="W112" s="45">
        <f>IFERROR(IF($A112="","",$H112+$I112),"")</f>
        <v/>
      </c>
      <c r="X112" s="45">
        <f>IFERROR(IF($A112="","",$H112*IF($J112="",'Assumptions'!$B$4,$J112)),"")</f>
        <v/>
      </c>
      <c r="Y112" s="45">
        <f>IFERROR(IF($A112="","",$X112*IF($K112="",'Assumptions'!$B$12,$K112)),"")</f>
        <v/>
      </c>
      <c r="Z112" s="45">
        <f>IFERROR(IF($A112="","",($X112+$Y112)*IF($L112="",'Assumptions'!$B$13,$L112)),"")</f>
        <v/>
      </c>
      <c r="AA112" s="45">
        <f>IFERROR(IF($A112="","",$X112+$Y112+$Z112),"")</f>
        <v/>
      </c>
      <c r="AB112" s="45">
        <f>IFERROR(IF($A112="","",$V112*'Assumptions'!$B$5),"")</f>
        <v/>
      </c>
      <c r="AC112" s="45">
        <f>IFERROR(IF($A112="","",$I112*'Assumptions'!$B$6),"")</f>
        <v/>
      </c>
      <c r="AD112" s="45">
        <f>IFERROR(IF($A112="","",$AB112+$AC112),"")</f>
        <v/>
      </c>
      <c r="AE112" s="45">
        <f>IFERROR(IF($A112="","",($M112+$N112)*'Assumptions'!$B$7),"")</f>
        <v/>
      </c>
      <c r="AF112" s="45">
        <f>IFERROR(IF($A112="","",($Q112/60)*'Assumptions'!$B$8),"")</f>
        <v/>
      </c>
      <c r="AG112" s="45">
        <f>IFERROR(IF($A112="","",$P112+$AE112+$AF112),"")</f>
        <v/>
      </c>
      <c r="AH112" s="45">
        <f>IFERROR(IF($A112="","",$M112+$O112),"")</f>
        <v/>
      </c>
      <c r="AI112" s="46">
        <f>IFERROR(IF($A112="","",IFERROR($AH112/$W112,0)),"")</f>
        <v/>
      </c>
      <c r="AJ112" s="45">
        <f>IFERROR(IF($A112="","",$W112-$AH112-$AD112+$AG112),"")</f>
        <v/>
      </c>
      <c r="AK112" s="47">
        <f>IFERROR(IF($A112="","",IF(OR($S112="Collected",$S112="Waived",$S112="Uncollectible",$S112="No Charge Due"),"",IF($T112="",$B112+'Assumptions'!$B$9,$T112+'Assumptions'!$B$9))),"")</f>
        <v/>
      </c>
      <c r="AL112" s="48">
        <f>IFERROR(IF($A112="","",IF(OR($S112="Collected",$S112="Waived",$S112="Uncollectible",$S112="No Charge Due"),"Closed",IF($AK112&lt;TODAY(),"Overdue",IF($AK112=TODAY(),"Due","Open")))),"")</f>
        <v/>
      </c>
      <c r="AM112" s="49">
        <f>IFERROR(IF($A112="","",IF(COUNTIF($A$5:$A$504,$A112)&gt;1,"Duplicate reservation ID",IF($C112&lt;=$B112,"Check stay dates",IF($G112&gt;$F112,"Resold nights exceed booked nights",IF($M112+$N112&gt;$AA112+0.01,"Collection exceeds expected amount",IF(AND($S112="Collected",$M112=0),"Collected status has no amount",IF($AJ112&gt;='Assumptions'!$B$10,"High-cost review","OK"))))))),"")</f>
        <v/>
      </c>
    </row>
    <row r="113">
      <c r="A113" s="38" t="n"/>
      <c r="B113" s="39" t="n"/>
      <c r="C113" s="39" t="n"/>
      <c r="D113" s="38" t="n"/>
      <c r="E113" s="38" t="n"/>
      <c r="F113" s="40" t="n"/>
      <c r="G113" s="40" t="n"/>
      <c r="H113" s="41" t="n"/>
      <c r="I113" s="41" t="n"/>
      <c r="J113" s="42" t="n"/>
      <c r="K113" s="42" t="n"/>
      <c r="L113" s="42" t="n"/>
      <c r="M113" s="41" t="n"/>
      <c r="N113" s="41" t="n"/>
      <c r="O113" s="41" t="n"/>
      <c r="P113" s="41" t="n"/>
      <c r="Q113" s="40" t="n"/>
      <c r="R113" s="38" t="n"/>
      <c r="S113" s="38" t="n"/>
      <c r="T113" s="39" t="n"/>
      <c r="U113" s="43" t="n"/>
      <c r="V113" s="44">
        <f>IFERROR(IF($A113="","",MAX($F113-$G113,0)),"")</f>
        <v/>
      </c>
      <c r="W113" s="45">
        <f>IFERROR(IF($A113="","",$H113+$I113),"")</f>
        <v/>
      </c>
      <c r="X113" s="45">
        <f>IFERROR(IF($A113="","",$H113*IF($J113="",'Assumptions'!$B$4,$J113)),"")</f>
        <v/>
      </c>
      <c r="Y113" s="45">
        <f>IFERROR(IF($A113="","",$X113*IF($K113="",'Assumptions'!$B$12,$K113)),"")</f>
        <v/>
      </c>
      <c r="Z113" s="45">
        <f>IFERROR(IF($A113="","",($X113+$Y113)*IF($L113="",'Assumptions'!$B$13,$L113)),"")</f>
        <v/>
      </c>
      <c r="AA113" s="45">
        <f>IFERROR(IF($A113="","",$X113+$Y113+$Z113),"")</f>
        <v/>
      </c>
      <c r="AB113" s="45">
        <f>IFERROR(IF($A113="","",$V113*'Assumptions'!$B$5),"")</f>
        <v/>
      </c>
      <c r="AC113" s="45">
        <f>IFERROR(IF($A113="","",$I113*'Assumptions'!$B$6),"")</f>
        <v/>
      </c>
      <c r="AD113" s="45">
        <f>IFERROR(IF($A113="","",$AB113+$AC113),"")</f>
        <v/>
      </c>
      <c r="AE113" s="45">
        <f>IFERROR(IF($A113="","",($M113+$N113)*'Assumptions'!$B$7),"")</f>
        <v/>
      </c>
      <c r="AF113" s="45">
        <f>IFERROR(IF($A113="","",($Q113/60)*'Assumptions'!$B$8),"")</f>
        <v/>
      </c>
      <c r="AG113" s="45">
        <f>IFERROR(IF($A113="","",$P113+$AE113+$AF113),"")</f>
        <v/>
      </c>
      <c r="AH113" s="45">
        <f>IFERROR(IF($A113="","",$M113+$O113),"")</f>
        <v/>
      </c>
      <c r="AI113" s="46">
        <f>IFERROR(IF($A113="","",IFERROR($AH113/$W113,0)),"")</f>
        <v/>
      </c>
      <c r="AJ113" s="45">
        <f>IFERROR(IF($A113="","",$W113-$AH113-$AD113+$AG113),"")</f>
        <v/>
      </c>
      <c r="AK113" s="47">
        <f>IFERROR(IF($A113="","",IF(OR($S113="Collected",$S113="Waived",$S113="Uncollectible",$S113="No Charge Due"),"",IF($T113="",$B113+'Assumptions'!$B$9,$T113+'Assumptions'!$B$9))),"")</f>
        <v/>
      </c>
      <c r="AL113" s="48">
        <f>IFERROR(IF($A113="","",IF(OR($S113="Collected",$S113="Waived",$S113="Uncollectible",$S113="No Charge Due"),"Closed",IF($AK113&lt;TODAY(),"Overdue",IF($AK113=TODAY(),"Due","Open")))),"")</f>
        <v/>
      </c>
      <c r="AM113" s="49">
        <f>IFERROR(IF($A113="","",IF(COUNTIF($A$5:$A$504,$A113)&gt;1,"Duplicate reservation ID",IF($C113&lt;=$B113,"Check stay dates",IF($G113&gt;$F113,"Resold nights exceed booked nights",IF($M113+$N113&gt;$AA113+0.01,"Collection exceeds expected amount",IF(AND($S113="Collected",$M113=0),"Collected status has no amount",IF($AJ113&gt;='Assumptions'!$B$10,"High-cost review","OK"))))))),"")</f>
        <v/>
      </c>
    </row>
    <row r="114">
      <c r="A114" s="38" t="n"/>
      <c r="B114" s="39" t="n"/>
      <c r="C114" s="39" t="n"/>
      <c r="D114" s="38" t="n"/>
      <c r="E114" s="38" t="n"/>
      <c r="F114" s="40" t="n"/>
      <c r="G114" s="40" t="n"/>
      <c r="H114" s="41" t="n"/>
      <c r="I114" s="41" t="n"/>
      <c r="J114" s="42" t="n"/>
      <c r="K114" s="42" t="n"/>
      <c r="L114" s="42" t="n"/>
      <c r="M114" s="41" t="n"/>
      <c r="N114" s="41" t="n"/>
      <c r="O114" s="41" t="n"/>
      <c r="P114" s="41" t="n"/>
      <c r="Q114" s="40" t="n"/>
      <c r="R114" s="38" t="n"/>
      <c r="S114" s="38" t="n"/>
      <c r="T114" s="39" t="n"/>
      <c r="U114" s="43" t="n"/>
      <c r="V114" s="44">
        <f>IFERROR(IF($A114="","",MAX($F114-$G114,0)),"")</f>
        <v/>
      </c>
      <c r="W114" s="45">
        <f>IFERROR(IF($A114="","",$H114+$I114),"")</f>
        <v/>
      </c>
      <c r="X114" s="45">
        <f>IFERROR(IF($A114="","",$H114*IF($J114="",'Assumptions'!$B$4,$J114)),"")</f>
        <v/>
      </c>
      <c r="Y114" s="45">
        <f>IFERROR(IF($A114="","",$X114*IF($K114="",'Assumptions'!$B$12,$K114)),"")</f>
        <v/>
      </c>
      <c r="Z114" s="45">
        <f>IFERROR(IF($A114="","",($X114+$Y114)*IF($L114="",'Assumptions'!$B$13,$L114)),"")</f>
        <v/>
      </c>
      <c r="AA114" s="45">
        <f>IFERROR(IF($A114="","",$X114+$Y114+$Z114),"")</f>
        <v/>
      </c>
      <c r="AB114" s="45">
        <f>IFERROR(IF($A114="","",$V114*'Assumptions'!$B$5),"")</f>
        <v/>
      </c>
      <c r="AC114" s="45">
        <f>IFERROR(IF($A114="","",$I114*'Assumptions'!$B$6),"")</f>
        <v/>
      </c>
      <c r="AD114" s="45">
        <f>IFERROR(IF($A114="","",$AB114+$AC114),"")</f>
        <v/>
      </c>
      <c r="AE114" s="45">
        <f>IFERROR(IF($A114="","",($M114+$N114)*'Assumptions'!$B$7),"")</f>
        <v/>
      </c>
      <c r="AF114" s="45">
        <f>IFERROR(IF($A114="","",($Q114/60)*'Assumptions'!$B$8),"")</f>
        <v/>
      </c>
      <c r="AG114" s="45">
        <f>IFERROR(IF($A114="","",$P114+$AE114+$AF114),"")</f>
        <v/>
      </c>
      <c r="AH114" s="45">
        <f>IFERROR(IF($A114="","",$M114+$O114),"")</f>
        <v/>
      </c>
      <c r="AI114" s="46">
        <f>IFERROR(IF($A114="","",IFERROR($AH114/$W114,0)),"")</f>
        <v/>
      </c>
      <c r="AJ114" s="45">
        <f>IFERROR(IF($A114="","",$W114-$AH114-$AD114+$AG114),"")</f>
        <v/>
      </c>
      <c r="AK114" s="47">
        <f>IFERROR(IF($A114="","",IF(OR($S114="Collected",$S114="Waived",$S114="Uncollectible",$S114="No Charge Due"),"",IF($T114="",$B114+'Assumptions'!$B$9,$T114+'Assumptions'!$B$9))),"")</f>
        <v/>
      </c>
      <c r="AL114" s="48">
        <f>IFERROR(IF($A114="","",IF(OR($S114="Collected",$S114="Waived",$S114="Uncollectible",$S114="No Charge Due"),"Closed",IF($AK114&lt;TODAY(),"Overdue",IF($AK114=TODAY(),"Due","Open")))),"")</f>
        <v/>
      </c>
      <c r="AM114" s="49">
        <f>IFERROR(IF($A114="","",IF(COUNTIF($A$5:$A$504,$A114)&gt;1,"Duplicate reservation ID",IF($C114&lt;=$B114,"Check stay dates",IF($G114&gt;$F114,"Resold nights exceed booked nights",IF($M114+$N114&gt;$AA114+0.01,"Collection exceeds expected amount",IF(AND($S114="Collected",$M114=0),"Collected status has no amount",IF($AJ114&gt;='Assumptions'!$B$10,"High-cost review","OK"))))))),"")</f>
        <v/>
      </c>
    </row>
    <row r="115">
      <c r="A115" s="38" t="n"/>
      <c r="B115" s="39" t="n"/>
      <c r="C115" s="39" t="n"/>
      <c r="D115" s="38" t="n"/>
      <c r="E115" s="38" t="n"/>
      <c r="F115" s="40" t="n"/>
      <c r="G115" s="40" t="n"/>
      <c r="H115" s="41" t="n"/>
      <c r="I115" s="41" t="n"/>
      <c r="J115" s="42" t="n"/>
      <c r="K115" s="42" t="n"/>
      <c r="L115" s="42" t="n"/>
      <c r="M115" s="41" t="n"/>
      <c r="N115" s="41" t="n"/>
      <c r="O115" s="41" t="n"/>
      <c r="P115" s="41" t="n"/>
      <c r="Q115" s="40" t="n"/>
      <c r="R115" s="38" t="n"/>
      <c r="S115" s="38" t="n"/>
      <c r="T115" s="39" t="n"/>
      <c r="U115" s="43" t="n"/>
      <c r="V115" s="44">
        <f>IFERROR(IF($A115="","",MAX($F115-$G115,0)),"")</f>
        <v/>
      </c>
      <c r="W115" s="45">
        <f>IFERROR(IF($A115="","",$H115+$I115),"")</f>
        <v/>
      </c>
      <c r="X115" s="45">
        <f>IFERROR(IF($A115="","",$H115*IF($J115="",'Assumptions'!$B$4,$J115)),"")</f>
        <v/>
      </c>
      <c r="Y115" s="45">
        <f>IFERROR(IF($A115="","",$X115*IF($K115="",'Assumptions'!$B$12,$K115)),"")</f>
        <v/>
      </c>
      <c r="Z115" s="45">
        <f>IFERROR(IF($A115="","",($X115+$Y115)*IF($L115="",'Assumptions'!$B$13,$L115)),"")</f>
        <v/>
      </c>
      <c r="AA115" s="45">
        <f>IFERROR(IF($A115="","",$X115+$Y115+$Z115),"")</f>
        <v/>
      </c>
      <c r="AB115" s="45">
        <f>IFERROR(IF($A115="","",$V115*'Assumptions'!$B$5),"")</f>
        <v/>
      </c>
      <c r="AC115" s="45">
        <f>IFERROR(IF($A115="","",$I115*'Assumptions'!$B$6),"")</f>
        <v/>
      </c>
      <c r="AD115" s="45">
        <f>IFERROR(IF($A115="","",$AB115+$AC115),"")</f>
        <v/>
      </c>
      <c r="AE115" s="45">
        <f>IFERROR(IF($A115="","",($M115+$N115)*'Assumptions'!$B$7),"")</f>
        <v/>
      </c>
      <c r="AF115" s="45">
        <f>IFERROR(IF($A115="","",($Q115/60)*'Assumptions'!$B$8),"")</f>
        <v/>
      </c>
      <c r="AG115" s="45">
        <f>IFERROR(IF($A115="","",$P115+$AE115+$AF115),"")</f>
        <v/>
      </c>
      <c r="AH115" s="45">
        <f>IFERROR(IF($A115="","",$M115+$O115),"")</f>
        <v/>
      </c>
      <c r="AI115" s="46">
        <f>IFERROR(IF($A115="","",IFERROR($AH115/$W115,0)),"")</f>
        <v/>
      </c>
      <c r="AJ115" s="45">
        <f>IFERROR(IF($A115="","",$W115-$AH115-$AD115+$AG115),"")</f>
        <v/>
      </c>
      <c r="AK115" s="47">
        <f>IFERROR(IF($A115="","",IF(OR($S115="Collected",$S115="Waived",$S115="Uncollectible",$S115="No Charge Due"),"",IF($T115="",$B115+'Assumptions'!$B$9,$T115+'Assumptions'!$B$9))),"")</f>
        <v/>
      </c>
      <c r="AL115" s="48">
        <f>IFERROR(IF($A115="","",IF(OR($S115="Collected",$S115="Waived",$S115="Uncollectible",$S115="No Charge Due"),"Closed",IF($AK115&lt;TODAY(),"Overdue",IF($AK115=TODAY(),"Due","Open")))),"")</f>
        <v/>
      </c>
      <c r="AM115" s="49">
        <f>IFERROR(IF($A115="","",IF(COUNTIF($A$5:$A$504,$A115)&gt;1,"Duplicate reservation ID",IF($C115&lt;=$B115,"Check stay dates",IF($G115&gt;$F115,"Resold nights exceed booked nights",IF($M115+$N115&gt;$AA115+0.01,"Collection exceeds expected amount",IF(AND($S115="Collected",$M115=0),"Collected status has no amount",IF($AJ115&gt;='Assumptions'!$B$10,"High-cost review","OK"))))))),"")</f>
        <v/>
      </c>
    </row>
    <row r="116">
      <c r="A116" s="38" t="n"/>
      <c r="B116" s="39" t="n"/>
      <c r="C116" s="39" t="n"/>
      <c r="D116" s="38" t="n"/>
      <c r="E116" s="38" t="n"/>
      <c r="F116" s="40" t="n"/>
      <c r="G116" s="40" t="n"/>
      <c r="H116" s="41" t="n"/>
      <c r="I116" s="41" t="n"/>
      <c r="J116" s="42" t="n"/>
      <c r="K116" s="42" t="n"/>
      <c r="L116" s="42" t="n"/>
      <c r="M116" s="41" t="n"/>
      <c r="N116" s="41" t="n"/>
      <c r="O116" s="41" t="n"/>
      <c r="P116" s="41" t="n"/>
      <c r="Q116" s="40" t="n"/>
      <c r="R116" s="38" t="n"/>
      <c r="S116" s="38" t="n"/>
      <c r="T116" s="39" t="n"/>
      <c r="U116" s="43" t="n"/>
      <c r="V116" s="44">
        <f>IFERROR(IF($A116="","",MAX($F116-$G116,0)),"")</f>
        <v/>
      </c>
      <c r="W116" s="45">
        <f>IFERROR(IF($A116="","",$H116+$I116),"")</f>
        <v/>
      </c>
      <c r="X116" s="45">
        <f>IFERROR(IF($A116="","",$H116*IF($J116="",'Assumptions'!$B$4,$J116)),"")</f>
        <v/>
      </c>
      <c r="Y116" s="45">
        <f>IFERROR(IF($A116="","",$X116*IF($K116="",'Assumptions'!$B$12,$K116)),"")</f>
        <v/>
      </c>
      <c r="Z116" s="45">
        <f>IFERROR(IF($A116="","",($X116+$Y116)*IF($L116="",'Assumptions'!$B$13,$L116)),"")</f>
        <v/>
      </c>
      <c r="AA116" s="45">
        <f>IFERROR(IF($A116="","",$X116+$Y116+$Z116),"")</f>
        <v/>
      </c>
      <c r="AB116" s="45">
        <f>IFERROR(IF($A116="","",$V116*'Assumptions'!$B$5),"")</f>
        <v/>
      </c>
      <c r="AC116" s="45">
        <f>IFERROR(IF($A116="","",$I116*'Assumptions'!$B$6),"")</f>
        <v/>
      </c>
      <c r="AD116" s="45">
        <f>IFERROR(IF($A116="","",$AB116+$AC116),"")</f>
        <v/>
      </c>
      <c r="AE116" s="45">
        <f>IFERROR(IF($A116="","",($M116+$N116)*'Assumptions'!$B$7),"")</f>
        <v/>
      </c>
      <c r="AF116" s="45">
        <f>IFERROR(IF($A116="","",($Q116/60)*'Assumptions'!$B$8),"")</f>
        <v/>
      </c>
      <c r="AG116" s="45">
        <f>IFERROR(IF($A116="","",$P116+$AE116+$AF116),"")</f>
        <v/>
      </c>
      <c r="AH116" s="45">
        <f>IFERROR(IF($A116="","",$M116+$O116),"")</f>
        <v/>
      </c>
      <c r="AI116" s="46">
        <f>IFERROR(IF($A116="","",IFERROR($AH116/$W116,0)),"")</f>
        <v/>
      </c>
      <c r="AJ116" s="45">
        <f>IFERROR(IF($A116="","",$W116-$AH116-$AD116+$AG116),"")</f>
        <v/>
      </c>
      <c r="AK116" s="47">
        <f>IFERROR(IF($A116="","",IF(OR($S116="Collected",$S116="Waived",$S116="Uncollectible",$S116="No Charge Due"),"",IF($T116="",$B116+'Assumptions'!$B$9,$T116+'Assumptions'!$B$9))),"")</f>
        <v/>
      </c>
      <c r="AL116" s="48">
        <f>IFERROR(IF($A116="","",IF(OR($S116="Collected",$S116="Waived",$S116="Uncollectible",$S116="No Charge Due"),"Closed",IF($AK116&lt;TODAY(),"Overdue",IF($AK116=TODAY(),"Due","Open")))),"")</f>
        <v/>
      </c>
      <c r="AM116" s="49">
        <f>IFERROR(IF($A116="","",IF(COUNTIF($A$5:$A$504,$A116)&gt;1,"Duplicate reservation ID",IF($C116&lt;=$B116,"Check stay dates",IF($G116&gt;$F116,"Resold nights exceed booked nights",IF($M116+$N116&gt;$AA116+0.01,"Collection exceeds expected amount",IF(AND($S116="Collected",$M116=0),"Collected status has no amount",IF($AJ116&gt;='Assumptions'!$B$10,"High-cost review","OK"))))))),"")</f>
        <v/>
      </c>
    </row>
    <row r="117">
      <c r="A117" s="38" t="n"/>
      <c r="B117" s="39" t="n"/>
      <c r="C117" s="39" t="n"/>
      <c r="D117" s="38" t="n"/>
      <c r="E117" s="38" t="n"/>
      <c r="F117" s="40" t="n"/>
      <c r="G117" s="40" t="n"/>
      <c r="H117" s="41" t="n"/>
      <c r="I117" s="41" t="n"/>
      <c r="J117" s="42" t="n"/>
      <c r="K117" s="42" t="n"/>
      <c r="L117" s="42" t="n"/>
      <c r="M117" s="41" t="n"/>
      <c r="N117" s="41" t="n"/>
      <c r="O117" s="41" t="n"/>
      <c r="P117" s="41" t="n"/>
      <c r="Q117" s="40" t="n"/>
      <c r="R117" s="38" t="n"/>
      <c r="S117" s="38" t="n"/>
      <c r="T117" s="39" t="n"/>
      <c r="U117" s="43" t="n"/>
      <c r="V117" s="44">
        <f>IFERROR(IF($A117="","",MAX($F117-$G117,0)),"")</f>
        <v/>
      </c>
      <c r="W117" s="45">
        <f>IFERROR(IF($A117="","",$H117+$I117),"")</f>
        <v/>
      </c>
      <c r="X117" s="45">
        <f>IFERROR(IF($A117="","",$H117*IF($J117="",'Assumptions'!$B$4,$J117)),"")</f>
        <v/>
      </c>
      <c r="Y117" s="45">
        <f>IFERROR(IF($A117="","",$X117*IF($K117="",'Assumptions'!$B$12,$K117)),"")</f>
        <v/>
      </c>
      <c r="Z117" s="45">
        <f>IFERROR(IF($A117="","",($X117+$Y117)*IF($L117="",'Assumptions'!$B$13,$L117)),"")</f>
        <v/>
      </c>
      <c r="AA117" s="45">
        <f>IFERROR(IF($A117="","",$X117+$Y117+$Z117),"")</f>
        <v/>
      </c>
      <c r="AB117" s="45">
        <f>IFERROR(IF($A117="","",$V117*'Assumptions'!$B$5),"")</f>
        <v/>
      </c>
      <c r="AC117" s="45">
        <f>IFERROR(IF($A117="","",$I117*'Assumptions'!$B$6),"")</f>
        <v/>
      </c>
      <c r="AD117" s="45">
        <f>IFERROR(IF($A117="","",$AB117+$AC117),"")</f>
        <v/>
      </c>
      <c r="AE117" s="45">
        <f>IFERROR(IF($A117="","",($M117+$N117)*'Assumptions'!$B$7),"")</f>
        <v/>
      </c>
      <c r="AF117" s="45">
        <f>IFERROR(IF($A117="","",($Q117/60)*'Assumptions'!$B$8),"")</f>
        <v/>
      </c>
      <c r="AG117" s="45">
        <f>IFERROR(IF($A117="","",$P117+$AE117+$AF117),"")</f>
        <v/>
      </c>
      <c r="AH117" s="45">
        <f>IFERROR(IF($A117="","",$M117+$O117),"")</f>
        <v/>
      </c>
      <c r="AI117" s="46">
        <f>IFERROR(IF($A117="","",IFERROR($AH117/$W117,0)),"")</f>
        <v/>
      </c>
      <c r="AJ117" s="45">
        <f>IFERROR(IF($A117="","",$W117-$AH117-$AD117+$AG117),"")</f>
        <v/>
      </c>
      <c r="AK117" s="47">
        <f>IFERROR(IF($A117="","",IF(OR($S117="Collected",$S117="Waived",$S117="Uncollectible",$S117="No Charge Due"),"",IF($T117="",$B117+'Assumptions'!$B$9,$T117+'Assumptions'!$B$9))),"")</f>
        <v/>
      </c>
      <c r="AL117" s="48">
        <f>IFERROR(IF($A117="","",IF(OR($S117="Collected",$S117="Waived",$S117="Uncollectible",$S117="No Charge Due"),"Closed",IF($AK117&lt;TODAY(),"Overdue",IF($AK117=TODAY(),"Due","Open")))),"")</f>
        <v/>
      </c>
      <c r="AM117" s="49">
        <f>IFERROR(IF($A117="","",IF(COUNTIF($A$5:$A$504,$A117)&gt;1,"Duplicate reservation ID",IF($C117&lt;=$B117,"Check stay dates",IF($G117&gt;$F117,"Resold nights exceed booked nights",IF($M117+$N117&gt;$AA117+0.01,"Collection exceeds expected amount",IF(AND($S117="Collected",$M117=0),"Collected status has no amount",IF($AJ117&gt;='Assumptions'!$B$10,"High-cost review","OK"))))))),"")</f>
        <v/>
      </c>
    </row>
    <row r="118">
      <c r="A118" s="38" t="n"/>
      <c r="B118" s="39" t="n"/>
      <c r="C118" s="39" t="n"/>
      <c r="D118" s="38" t="n"/>
      <c r="E118" s="38" t="n"/>
      <c r="F118" s="40" t="n"/>
      <c r="G118" s="40" t="n"/>
      <c r="H118" s="41" t="n"/>
      <c r="I118" s="41" t="n"/>
      <c r="J118" s="42" t="n"/>
      <c r="K118" s="42" t="n"/>
      <c r="L118" s="42" t="n"/>
      <c r="M118" s="41" t="n"/>
      <c r="N118" s="41" t="n"/>
      <c r="O118" s="41" t="n"/>
      <c r="P118" s="41" t="n"/>
      <c r="Q118" s="40" t="n"/>
      <c r="R118" s="38" t="n"/>
      <c r="S118" s="38" t="n"/>
      <c r="T118" s="39" t="n"/>
      <c r="U118" s="43" t="n"/>
      <c r="V118" s="44">
        <f>IFERROR(IF($A118="","",MAX($F118-$G118,0)),"")</f>
        <v/>
      </c>
      <c r="W118" s="45">
        <f>IFERROR(IF($A118="","",$H118+$I118),"")</f>
        <v/>
      </c>
      <c r="X118" s="45">
        <f>IFERROR(IF($A118="","",$H118*IF($J118="",'Assumptions'!$B$4,$J118)),"")</f>
        <v/>
      </c>
      <c r="Y118" s="45">
        <f>IFERROR(IF($A118="","",$X118*IF($K118="",'Assumptions'!$B$12,$K118)),"")</f>
        <v/>
      </c>
      <c r="Z118" s="45">
        <f>IFERROR(IF($A118="","",($X118+$Y118)*IF($L118="",'Assumptions'!$B$13,$L118)),"")</f>
        <v/>
      </c>
      <c r="AA118" s="45">
        <f>IFERROR(IF($A118="","",$X118+$Y118+$Z118),"")</f>
        <v/>
      </c>
      <c r="AB118" s="45">
        <f>IFERROR(IF($A118="","",$V118*'Assumptions'!$B$5),"")</f>
        <v/>
      </c>
      <c r="AC118" s="45">
        <f>IFERROR(IF($A118="","",$I118*'Assumptions'!$B$6),"")</f>
        <v/>
      </c>
      <c r="AD118" s="45">
        <f>IFERROR(IF($A118="","",$AB118+$AC118),"")</f>
        <v/>
      </c>
      <c r="AE118" s="45">
        <f>IFERROR(IF($A118="","",($M118+$N118)*'Assumptions'!$B$7),"")</f>
        <v/>
      </c>
      <c r="AF118" s="45">
        <f>IFERROR(IF($A118="","",($Q118/60)*'Assumptions'!$B$8),"")</f>
        <v/>
      </c>
      <c r="AG118" s="45">
        <f>IFERROR(IF($A118="","",$P118+$AE118+$AF118),"")</f>
        <v/>
      </c>
      <c r="AH118" s="45">
        <f>IFERROR(IF($A118="","",$M118+$O118),"")</f>
        <v/>
      </c>
      <c r="AI118" s="46">
        <f>IFERROR(IF($A118="","",IFERROR($AH118/$W118,0)),"")</f>
        <v/>
      </c>
      <c r="AJ118" s="45">
        <f>IFERROR(IF($A118="","",$W118-$AH118-$AD118+$AG118),"")</f>
        <v/>
      </c>
      <c r="AK118" s="47">
        <f>IFERROR(IF($A118="","",IF(OR($S118="Collected",$S118="Waived",$S118="Uncollectible",$S118="No Charge Due"),"",IF($T118="",$B118+'Assumptions'!$B$9,$T118+'Assumptions'!$B$9))),"")</f>
        <v/>
      </c>
      <c r="AL118" s="48">
        <f>IFERROR(IF($A118="","",IF(OR($S118="Collected",$S118="Waived",$S118="Uncollectible",$S118="No Charge Due"),"Closed",IF($AK118&lt;TODAY(),"Overdue",IF($AK118=TODAY(),"Due","Open")))),"")</f>
        <v/>
      </c>
      <c r="AM118" s="49">
        <f>IFERROR(IF($A118="","",IF(COUNTIF($A$5:$A$504,$A118)&gt;1,"Duplicate reservation ID",IF($C118&lt;=$B118,"Check stay dates",IF($G118&gt;$F118,"Resold nights exceed booked nights",IF($M118+$N118&gt;$AA118+0.01,"Collection exceeds expected amount",IF(AND($S118="Collected",$M118=0),"Collected status has no amount",IF($AJ118&gt;='Assumptions'!$B$10,"High-cost review","OK"))))))),"")</f>
        <v/>
      </c>
    </row>
    <row r="119">
      <c r="A119" s="38" t="n"/>
      <c r="B119" s="39" t="n"/>
      <c r="C119" s="39" t="n"/>
      <c r="D119" s="38" t="n"/>
      <c r="E119" s="38" t="n"/>
      <c r="F119" s="40" t="n"/>
      <c r="G119" s="40" t="n"/>
      <c r="H119" s="41" t="n"/>
      <c r="I119" s="41" t="n"/>
      <c r="J119" s="42" t="n"/>
      <c r="K119" s="42" t="n"/>
      <c r="L119" s="42" t="n"/>
      <c r="M119" s="41" t="n"/>
      <c r="N119" s="41" t="n"/>
      <c r="O119" s="41" t="n"/>
      <c r="P119" s="41" t="n"/>
      <c r="Q119" s="40" t="n"/>
      <c r="R119" s="38" t="n"/>
      <c r="S119" s="38" t="n"/>
      <c r="T119" s="39" t="n"/>
      <c r="U119" s="43" t="n"/>
      <c r="V119" s="44">
        <f>IFERROR(IF($A119="","",MAX($F119-$G119,0)),"")</f>
        <v/>
      </c>
      <c r="W119" s="45">
        <f>IFERROR(IF($A119="","",$H119+$I119),"")</f>
        <v/>
      </c>
      <c r="X119" s="45">
        <f>IFERROR(IF($A119="","",$H119*IF($J119="",'Assumptions'!$B$4,$J119)),"")</f>
        <v/>
      </c>
      <c r="Y119" s="45">
        <f>IFERROR(IF($A119="","",$X119*IF($K119="",'Assumptions'!$B$12,$K119)),"")</f>
        <v/>
      </c>
      <c r="Z119" s="45">
        <f>IFERROR(IF($A119="","",($X119+$Y119)*IF($L119="",'Assumptions'!$B$13,$L119)),"")</f>
        <v/>
      </c>
      <c r="AA119" s="45">
        <f>IFERROR(IF($A119="","",$X119+$Y119+$Z119),"")</f>
        <v/>
      </c>
      <c r="AB119" s="45">
        <f>IFERROR(IF($A119="","",$V119*'Assumptions'!$B$5),"")</f>
        <v/>
      </c>
      <c r="AC119" s="45">
        <f>IFERROR(IF($A119="","",$I119*'Assumptions'!$B$6),"")</f>
        <v/>
      </c>
      <c r="AD119" s="45">
        <f>IFERROR(IF($A119="","",$AB119+$AC119),"")</f>
        <v/>
      </c>
      <c r="AE119" s="45">
        <f>IFERROR(IF($A119="","",($M119+$N119)*'Assumptions'!$B$7),"")</f>
        <v/>
      </c>
      <c r="AF119" s="45">
        <f>IFERROR(IF($A119="","",($Q119/60)*'Assumptions'!$B$8),"")</f>
        <v/>
      </c>
      <c r="AG119" s="45">
        <f>IFERROR(IF($A119="","",$P119+$AE119+$AF119),"")</f>
        <v/>
      </c>
      <c r="AH119" s="45">
        <f>IFERROR(IF($A119="","",$M119+$O119),"")</f>
        <v/>
      </c>
      <c r="AI119" s="46">
        <f>IFERROR(IF($A119="","",IFERROR($AH119/$W119,0)),"")</f>
        <v/>
      </c>
      <c r="AJ119" s="45">
        <f>IFERROR(IF($A119="","",$W119-$AH119-$AD119+$AG119),"")</f>
        <v/>
      </c>
      <c r="AK119" s="47">
        <f>IFERROR(IF($A119="","",IF(OR($S119="Collected",$S119="Waived",$S119="Uncollectible",$S119="No Charge Due"),"",IF($T119="",$B119+'Assumptions'!$B$9,$T119+'Assumptions'!$B$9))),"")</f>
        <v/>
      </c>
      <c r="AL119" s="48">
        <f>IFERROR(IF($A119="","",IF(OR($S119="Collected",$S119="Waived",$S119="Uncollectible",$S119="No Charge Due"),"Closed",IF($AK119&lt;TODAY(),"Overdue",IF($AK119=TODAY(),"Due","Open")))),"")</f>
        <v/>
      </c>
      <c r="AM119" s="49">
        <f>IFERROR(IF($A119="","",IF(COUNTIF($A$5:$A$504,$A119)&gt;1,"Duplicate reservation ID",IF($C119&lt;=$B119,"Check stay dates",IF($G119&gt;$F119,"Resold nights exceed booked nights",IF($M119+$N119&gt;$AA119+0.01,"Collection exceeds expected amount",IF(AND($S119="Collected",$M119=0),"Collected status has no amount",IF($AJ119&gt;='Assumptions'!$B$10,"High-cost review","OK"))))))),"")</f>
        <v/>
      </c>
    </row>
    <row r="120">
      <c r="A120" s="38" t="n"/>
      <c r="B120" s="39" t="n"/>
      <c r="C120" s="39" t="n"/>
      <c r="D120" s="38" t="n"/>
      <c r="E120" s="38" t="n"/>
      <c r="F120" s="40" t="n"/>
      <c r="G120" s="40" t="n"/>
      <c r="H120" s="41" t="n"/>
      <c r="I120" s="41" t="n"/>
      <c r="J120" s="42" t="n"/>
      <c r="K120" s="42" t="n"/>
      <c r="L120" s="42" t="n"/>
      <c r="M120" s="41" t="n"/>
      <c r="N120" s="41" t="n"/>
      <c r="O120" s="41" t="n"/>
      <c r="P120" s="41" t="n"/>
      <c r="Q120" s="40" t="n"/>
      <c r="R120" s="38" t="n"/>
      <c r="S120" s="38" t="n"/>
      <c r="T120" s="39" t="n"/>
      <c r="U120" s="43" t="n"/>
      <c r="V120" s="44">
        <f>IFERROR(IF($A120="","",MAX($F120-$G120,0)),"")</f>
        <v/>
      </c>
      <c r="W120" s="45">
        <f>IFERROR(IF($A120="","",$H120+$I120),"")</f>
        <v/>
      </c>
      <c r="X120" s="45">
        <f>IFERROR(IF($A120="","",$H120*IF($J120="",'Assumptions'!$B$4,$J120)),"")</f>
        <v/>
      </c>
      <c r="Y120" s="45">
        <f>IFERROR(IF($A120="","",$X120*IF($K120="",'Assumptions'!$B$12,$K120)),"")</f>
        <v/>
      </c>
      <c r="Z120" s="45">
        <f>IFERROR(IF($A120="","",($X120+$Y120)*IF($L120="",'Assumptions'!$B$13,$L120)),"")</f>
        <v/>
      </c>
      <c r="AA120" s="45">
        <f>IFERROR(IF($A120="","",$X120+$Y120+$Z120),"")</f>
        <v/>
      </c>
      <c r="AB120" s="45">
        <f>IFERROR(IF($A120="","",$V120*'Assumptions'!$B$5),"")</f>
        <v/>
      </c>
      <c r="AC120" s="45">
        <f>IFERROR(IF($A120="","",$I120*'Assumptions'!$B$6),"")</f>
        <v/>
      </c>
      <c r="AD120" s="45">
        <f>IFERROR(IF($A120="","",$AB120+$AC120),"")</f>
        <v/>
      </c>
      <c r="AE120" s="45">
        <f>IFERROR(IF($A120="","",($M120+$N120)*'Assumptions'!$B$7),"")</f>
        <v/>
      </c>
      <c r="AF120" s="45">
        <f>IFERROR(IF($A120="","",($Q120/60)*'Assumptions'!$B$8),"")</f>
        <v/>
      </c>
      <c r="AG120" s="45">
        <f>IFERROR(IF($A120="","",$P120+$AE120+$AF120),"")</f>
        <v/>
      </c>
      <c r="AH120" s="45">
        <f>IFERROR(IF($A120="","",$M120+$O120),"")</f>
        <v/>
      </c>
      <c r="AI120" s="46">
        <f>IFERROR(IF($A120="","",IFERROR($AH120/$W120,0)),"")</f>
        <v/>
      </c>
      <c r="AJ120" s="45">
        <f>IFERROR(IF($A120="","",$W120-$AH120-$AD120+$AG120),"")</f>
        <v/>
      </c>
      <c r="AK120" s="47">
        <f>IFERROR(IF($A120="","",IF(OR($S120="Collected",$S120="Waived",$S120="Uncollectible",$S120="No Charge Due"),"",IF($T120="",$B120+'Assumptions'!$B$9,$T120+'Assumptions'!$B$9))),"")</f>
        <v/>
      </c>
      <c r="AL120" s="48">
        <f>IFERROR(IF($A120="","",IF(OR($S120="Collected",$S120="Waived",$S120="Uncollectible",$S120="No Charge Due"),"Closed",IF($AK120&lt;TODAY(),"Overdue",IF($AK120=TODAY(),"Due","Open")))),"")</f>
        <v/>
      </c>
      <c r="AM120" s="49">
        <f>IFERROR(IF($A120="","",IF(COUNTIF($A$5:$A$504,$A120)&gt;1,"Duplicate reservation ID",IF($C120&lt;=$B120,"Check stay dates",IF($G120&gt;$F120,"Resold nights exceed booked nights",IF($M120+$N120&gt;$AA120+0.01,"Collection exceeds expected amount",IF(AND($S120="Collected",$M120=0),"Collected status has no amount",IF($AJ120&gt;='Assumptions'!$B$10,"High-cost review","OK"))))))),"")</f>
        <v/>
      </c>
    </row>
    <row r="121">
      <c r="A121" s="38" t="n"/>
      <c r="B121" s="39" t="n"/>
      <c r="C121" s="39" t="n"/>
      <c r="D121" s="38" t="n"/>
      <c r="E121" s="38" t="n"/>
      <c r="F121" s="40" t="n"/>
      <c r="G121" s="40" t="n"/>
      <c r="H121" s="41" t="n"/>
      <c r="I121" s="41" t="n"/>
      <c r="J121" s="42" t="n"/>
      <c r="K121" s="42" t="n"/>
      <c r="L121" s="42" t="n"/>
      <c r="M121" s="41" t="n"/>
      <c r="N121" s="41" t="n"/>
      <c r="O121" s="41" t="n"/>
      <c r="P121" s="41" t="n"/>
      <c r="Q121" s="40" t="n"/>
      <c r="R121" s="38" t="n"/>
      <c r="S121" s="38" t="n"/>
      <c r="T121" s="39" t="n"/>
      <c r="U121" s="43" t="n"/>
      <c r="V121" s="44">
        <f>IFERROR(IF($A121="","",MAX($F121-$G121,0)),"")</f>
        <v/>
      </c>
      <c r="W121" s="45">
        <f>IFERROR(IF($A121="","",$H121+$I121),"")</f>
        <v/>
      </c>
      <c r="X121" s="45">
        <f>IFERROR(IF($A121="","",$H121*IF($J121="",'Assumptions'!$B$4,$J121)),"")</f>
        <v/>
      </c>
      <c r="Y121" s="45">
        <f>IFERROR(IF($A121="","",$X121*IF($K121="",'Assumptions'!$B$12,$K121)),"")</f>
        <v/>
      </c>
      <c r="Z121" s="45">
        <f>IFERROR(IF($A121="","",($X121+$Y121)*IF($L121="",'Assumptions'!$B$13,$L121)),"")</f>
        <v/>
      </c>
      <c r="AA121" s="45">
        <f>IFERROR(IF($A121="","",$X121+$Y121+$Z121),"")</f>
        <v/>
      </c>
      <c r="AB121" s="45">
        <f>IFERROR(IF($A121="","",$V121*'Assumptions'!$B$5),"")</f>
        <v/>
      </c>
      <c r="AC121" s="45">
        <f>IFERROR(IF($A121="","",$I121*'Assumptions'!$B$6),"")</f>
        <v/>
      </c>
      <c r="AD121" s="45">
        <f>IFERROR(IF($A121="","",$AB121+$AC121),"")</f>
        <v/>
      </c>
      <c r="AE121" s="45">
        <f>IFERROR(IF($A121="","",($M121+$N121)*'Assumptions'!$B$7),"")</f>
        <v/>
      </c>
      <c r="AF121" s="45">
        <f>IFERROR(IF($A121="","",($Q121/60)*'Assumptions'!$B$8),"")</f>
        <v/>
      </c>
      <c r="AG121" s="45">
        <f>IFERROR(IF($A121="","",$P121+$AE121+$AF121),"")</f>
        <v/>
      </c>
      <c r="AH121" s="45">
        <f>IFERROR(IF($A121="","",$M121+$O121),"")</f>
        <v/>
      </c>
      <c r="AI121" s="46">
        <f>IFERROR(IF($A121="","",IFERROR($AH121/$W121,0)),"")</f>
        <v/>
      </c>
      <c r="AJ121" s="45">
        <f>IFERROR(IF($A121="","",$W121-$AH121-$AD121+$AG121),"")</f>
        <v/>
      </c>
      <c r="AK121" s="47">
        <f>IFERROR(IF($A121="","",IF(OR($S121="Collected",$S121="Waived",$S121="Uncollectible",$S121="No Charge Due"),"",IF($T121="",$B121+'Assumptions'!$B$9,$T121+'Assumptions'!$B$9))),"")</f>
        <v/>
      </c>
      <c r="AL121" s="48">
        <f>IFERROR(IF($A121="","",IF(OR($S121="Collected",$S121="Waived",$S121="Uncollectible",$S121="No Charge Due"),"Closed",IF($AK121&lt;TODAY(),"Overdue",IF($AK121=TODAY(),"Due","Open")))),"")</f>
        <v/>
      </c>
      <c r="AM121" s="49">
        <f>IFERROR(IF($A121="","",IF(COUNTIF($A$5:$A$504,$A121)&gt;1,"Duplicate reservation ID",IF($C121&lt;=$B121,"Check stay dates",IF($G121&gt;$F121,"Resold nights exceed booked nights",IF($M121+$N121&gt;$AA121+0.01,"Collection exceeds expected amount",IF(AND($S121="Collected",$M121=0),"Collected status has no amount",IF($AJ121&gt;='Assumptions'!$B$10,"High-cost review","OK"))))))),"")</f>
        <v/>
      </c>
    </row>
    <row r="122">
      <c r="A122" s="38" t="n"/>
      <c r="B122" s="39" t="n"/>
      <c r="C122" s="39" t="n"/>
      <c r="D122" s="38" t="n"/>
      <c r="E122" s="38" t="n"/>
      <c r="F122" s="40" t="n"/>
      <c r="G122" s="40" t="n"/>
      <c r="H122" s="41" t="n"/>
      <c r="I122" s="41" t="n"/>
      <c r="J122" s="42" t="n"/>
      <c r="K122" s="42" t="n"/>
      <c r="L122" s="42" t="n"/>
      <c r="M122" s="41" t="n"/>
      <c r="N122" s="41" t="n"/>
      <c r="O122" s="41" t="n"/>
      <c r="P122" s="41" t="n"/>
      <c r="Q122" s="40" t="n"/>
      <c r="R122" s="38" t="n"/>
      <c r="S122" s="38" t="n"/>
      <c r="T122" s="39" t="n"/>
      <c r="U122" s="43" t="n"/>
      <c r="V122" s="44">
        <f>IFERROR(IF($A122="","",MAX($F122-$G122,0)),"")</f>
        <v/>
      </c>
      <c r="W122" s="45">
        <f>IFERROR(IF($A122="","",$H122+$I122),"")</f>
        <v/>
      </c>
      <c r="X122" s="45">
        <f>IFERROR(IF($A122="","",$H122*IF($J122="",'Assumptions'!$B$4,$J122)),"")</f>
        <v/>
      </c>
      <c r="Y122" s="45">
        <f>IFERROR(IF($A122="","",$X122*IF($K122="",'Assumptions'!$B$12,$K122)),"")</f>
        <v/>
      </c>
      <c r="Z122" s="45">
        <f>IFERROR(IF($A122="","",($X122+$Y122)*IF($L122="",'Assumptions'!$B$13,$L122)),"")</f>
        <v/>
      </c>
      <c r="AA122" s="45">
        <f>IFERROR(IF($A122="","",$X122+$Y122+$Z122),"")</f>
        <v/>
      </c>
      <c r="AB122" s="45">
        <f>IFERROR(IF($A122="","",$V122*'Assumptions'!$B$5),"")</f>
        <v/>
      </c>
      <c r="AC122" s="45">
        <f>IFERROR(IF($A122="","",$I122*'Assumptions'!$B$6),"")</f>
        <v/>
      </c>
      <c r="AD122" s="45">
        <f>IFERROR(IF($A122="","",$AB122+$AC122),"")</f>
        <v/>
      </c>
      <c r="AE122" s="45">
        <f>IFERROR(IF($A122="","",($M122+$N122)*'Assumptions'!$B$7),"")</f>
        <v/>
      </c>
      <c r="AF122" s="45">
        <f>IFERROR(IF($A122="","",($Q122/60)*'Assumptions'!$B$8),"")</f>
        <v/>
      </c>
      <c r="AG122" s="45">
        <f>IFERROR(IF($A122="","",$P122+$AE122+$AF122),"")</f>
        <v/>
      </c>
      <c r="AH122" s="45">
        <f>IFERROR(IF($A122="","",$M122+$O122),"")</f>
        <v/>
      </c>
      <c r="AI122" s="46">
        <f>IFERROR(IF($A122="","",IFERROR($AH122/$W122,0)),"")</f>
        <v/>
      </c>
      <c r="AJ122" s="45">
        <f>IFERROR(IF($A122="","",$W122-$AH122-$AD122+$AG122),"")</f>
        <v/>
      </c>
      <c r="AK122" s="47">
        <f>IFERROR(IF($A122="","",IF(OR($S122="Collected",$S122="Waived",$S122="Uncollectible",$S122="No Charge Due"),"",IF($T122="",$B122+'Assumptions'!$B$9,$T122+'Assumptions'!$B$9))),"")</f>
        <v/>
      </c>
      <c r="AL122" s="48">
        <f>IFERROR(IF($A122="","",IF(OR($S122="Collected",$S122="Waived",$S122="Uncollectible",$S122="No Charge Due"),"Closed",IF($AK122&lt;TODAY(),"Overdue",IF($AK122=TODAY(),"Due","Open")))),"")</f>
        <v/>
      </c>
      <c r="AM122" s="49">
        <f>IFERROR(IF($A122="","",IF(COUNTIF($A$5:$A$504,$A122)&gt;1,"Duplicate reservation ID",IF($C122&lt;=$B122,"Check stay dates",IF($G122&gt;$F122,"Resold nights exceed booked nights",IF($M122+$N122&gt;$AA122+0.01,"Collection exceeds expected amount",IF(AND($S122="Collected",$M122=0),"Collected status has no amount",IF($AJ122&gt;='Assumptions'!$B$10,"High-cost review","OK"))))))),"")</f>
        <v/>
      </c>
    </row>
    <row r="123">
      <c r="A123" s="38" t="n"/>
      <c r="B123" s="39" t="n"/>
      <c r="C123" s="39" t="n"/>
      <c r="D123" s="38" t="n"/>
      <c r="E123" s="38" t="n"/>
      <c r="F123" s="40" t="n"/>
      <c r="G123" s="40" t="n"/>
      <c r="H123" s="41" t="n"/>
      <c r="I123" s="41" t="n"/>
      <c r="J123" s="42" t="n"/>
      <c r="K123" s="42" t="n"/>
      <c r="L123" s="42" t="n"/>
      <c r="M123" s="41" t="n"/>
      <c r="N123" s="41" t="n"/>
      <c r="O123" s="41" t="n"/>
      <c r="P123" s="41" t="n"/>
      <c r="Q123" s="40" t="n"/>
      <c r="R123" s="38" t="n"/>
      <c r="S123" s="38" t="n"/>
      <c r="T123" s="39" t="n"/>
      <c r="U123" s="43" t="n"/>
      <c r="V123" s="44">
        <f>IFERROR(IF($A123="","",MAX($F123-$G123,0)),"")</f>
        <v/>
      </c>
      <c r="W123" s="45">
        <f>IFERROR(IF($A123="","",$H123+$I123),"")</f>
        <v/>
      </c>
      <c r="X123" s="45">
        <f>IFERROR(IF($A123="","",$H123*IF($J123="",'Assumptions'!$B$4,$J123)),"")</f>
        <v/>
      </c>
      <c r="Y123" s="45">
        <f>IFERROR(IF($A123="","",$X123*IF($K123="",'Assumptions'!$B$12,$K123)),"")</f>
        <v/>
      </c>
      <c r="Z123" s="45">
        <f>IFERROR(IF($A123="","",($X123+$Y123)*IF($L123="",'Assumptions'!$B$13,$L123)),"")</f>
        <v/>
      </c>
      <c r="AA123" s="45">
        <f>IFERROR(IF($A123="","",$X123+$Y123+$Z123),"")</f>
        <v/>
      </c>
      <c r="AB123" s="45">
        <f>IFERROR(IF($A123="","",$V123*'Assumptions'!$B$5),"")</f>
        <v/>
      </c>
      <c r="AC123" s="45">
        <f>IFERROR(IF($A123="","",$I123*'Assumptions'!$B$6),"")</f>
        <v/>
      </c>
      <c r="AD123" s="45">
        <f>IFERROR(IF($A123="","",$AB123+$AC123),"")</f>
        <v/>
      </c>
      <c r="AE123" s="45">
        <f>IFERROR(IF($A123="","",($M123+$N123)*'Assumptions'!$B$7),"")</f>
        <v/>
      </c>
      <c r="AF123" s="45">
        <f>IFERROR(IF($A123="","",($Q123/60)*'Assumptions'!$B$8),"")</f>
        <v/>
      </c>
      <c r="AG123" s="45">
        <f>IFERROR(IF($A123="","",$P123+$AE123+$AF123),"")</f>
        <v/>
      </c>
      <c r="AH123" s="45">
        <f>IFERROR(IF($A123="","",$M123+$O123),"")</f>
        <v/>
      </c>
      <c r="AI123" s="46">
        <f>IFERROR(IF($A123="","",IFERROR($AH123/$W123,0)),"")</f>
        <v/>
      </c>
      <c r="AJ123" s="45">
        <f>IFERROR(IF($A123="","",$W123-$AH123-$AD123+$AG123),"")</f>
        <v/>
      </c>
      <c r="AK123" s="47">
        <f>IFERROR(IF($A123="","",IF(OR($S123="Collected",$S123="Waived",$S123="Uncollectible",$S123="No Charge Due"),"",IF($T123="",$B123+'Assumptions'!$B$9,$T123+'Assumptions'!$B$9))),"")</f>
        <v/>
      </c>
      <c r="AL123" s="48">
        <f>IFERROR(IF($A123="","",IF(OR($S123="Collected",$S123="Waived",$S123="Uncollectible",$S123="No Charge Due"),"Closed",IF($AK123&lt;TODAY(),"Overdue",IF($AK123=TODAY(),"Due","Open")))),"")</f>
        <v/>
      </c>
      <c r="AM123" s="49">
        <f>IFERROR(IF($A123="","",IF(COUNTIF($A$5:$A$504,$A123)&gt;1,"Duplicate reservation ID",IF($C123&lt;=$B123,"Check stay dates",IF($G123&gt;$F123,"Resold nights exceed booked nights",IF($M123+$N123&gt;$AA123+0.01,"Collection exceeds expected amount",IF(AND($S123="Collected",$M123=0),"Collected status has no amount",IF($AJ123&gt;='Assumptions'!$B$10,"High-cost review","OK"))))))),"")</f>
        <v/>
      </c>
    </row>
    <row r="124">
      <c r="A124" s="38" t="n"/>
      <c r="B124" s="39" t="n"/>
      <c r="C124" s="39" t="n"/>
      <c r="D124" s="38" t="n"/>
      <c r="E124" s="38" t="n"/>
      <c r="F124" s="40" t="n"/>
      <c r="G124" s="40" t="n"/>
      <c r="H124" s="41" t="n"/>
      <c r="I124" s="41" t="n"/>
      <c r="J124" s="42" t="n"/>
      <c r="K124" s="42" t="n"/>
      <c r="L124" s="42" t="n"/>
      <c r="M124" s="41" t="n"/>
      <c r="N124" s="41" t="n"/>
      <c r="O124" s="41" t="n"/>
      <c r="P124" s="41" t="n"/>
      <c r="Q124" s="40" t="n"/>
      <c r="R124" s="38" t="n"/>
      <c r="S124" s="38" t="n"/>
      <c r="T124" s="39" t="n"/>
      <c r="U124" s="43" t="n"/>
      <c r="V124" s="44">
        <f>IFERROR(IF($A124="","",MAX($F124-$G124,0)),"")</f>
        <v/>
      </c>
      <c r="W124" s="45">
        <f>IFERROR(IF($A124="","",$H124+$I124),"")</f>
        <v/>
      </c>
      <c r="X124" s="45">
        <f>IFERROR(IF($A124="","",$H124*IF($J124="",'Assumptions'!$B$4,$J124)),"")</f>
        <v/>
      </c>
      <c r="Y124" s="45">
        <f>IFERROR(IF($A124="","",$X124*IF($K124="",'Assumptions'!$B$12,$K124)),"")</f>
        <v/>
      </c>
      <c r="Z124" s="45">
        <f>IFERROR(IF($A124="","",($X124+$Y124)*IF($L124="",'Assumptions'!$B$13,$L124)),"")</f>
        <v/>
      </c>
      <c r="AA124" s="45">
        <f>IFERROR(IF($A124="","",$X124+$Y124+$Z124),"")</f>
        <v/>
      </c>
      <c r="AB124" s="45">
        <f>IFERROR(IF($A124="","",$V124*'Assumptions'!$B$5),"")</f>
        <v/>
      </c>
      <c r="AC124" s="45">
        <f>IFERROR(IF($A124="","",$I124*'Assumptions'!$B$6),"")</f>
        <v/>
      </c>
      <c r="AD124" s="45">
        <f>IFERROR(IF($A124="","",$AB124+$AC124),"")</f>
        <v/>
      </c>
      <c r="AE124" s="45">
        <f>IFERROR(IF($A124="","",($M124+$N124)*'Assumptions'!$B$7),"")</f>
        <v/>
      </c>
      <c r="AF124" s="45">
        <f>IFERROR(IF($A124="","",($Q124/60)*'Assumptions'!$B$8),"")</f>
        <v/>
      </c>
      <c r="AG124" s="45">
        <f>IFERROR(IF($A124="","",$P124+$AE124+$AF124),"")</f>
        <v/>
      </c>
      <c r="AH124" s="45">
        <f>IFERROR(IF($A124="","",$M124+$O124),"")</f>
        <v/>
      </c>
      <c r="AI124" s="46">
        <f>IFERROR(IF($A124="","",IFERROR($AH124/$W124,0)),"")</f>
        <v/>
      </c>
      <c r="AJ124" s="45">
        <f>IFERROR(IF($A124="","",$W124-$AH124-$AD124+$AG124),"")</f>
        <v/>
      </c>
      <c r="AK124" s="47">
        <f>IFERROR(IF($A124="","",IF(OR($S124="Collected",$S124="Waived",$S124="Uncollectible",$S124="No Charge Due"),"",IF($T124="",$B124+'Assumptions'!$B$9,$T124+'Assumptions'!$B$9))),"")</f>
        <v/>
      </c>
      <c r="AL124" s="48">
        <f>IFERROR(IF($A124="","",IF(OR($S124="Collected",$S124="Waived",$S124="Uncollectible",$S124="No Charge Due"),"Closed",IF($AK124&lt;TODAY(),"Overdue",IF($AK124=TODAY(),"Due","Open")))),"")</f>
        <v/>
      </c>
      <c r="AM124" s="49">
        <f>IFERROR(IF($A124="","",IF(COUNTIF($A$5:$A$504,$A124)&gt;1,"Duplicate reservation ID",IF($C124&lt;=$B124,"Check stay dates",IF($G124&gt;$F124,"Resold nights exceed booked nights",IF($M124+$N124&gt;$AA124+0.01,"Collection exceeds expected amount",IF(AND($S124="Collected",$M124=0),"Collected status has no amount",IF($AJ124&gt;='Assumptions'!$B$10,"High-cost review","OK"))))))),"")</f>
        <v/>
      </c>
    </row>
    <row r="125">
      <c r="A125" s="38" t="n"/>
      <c r="B125" s="39" t="n"/>
      <c r="C125" s="39" t="n"/>
      <c r="D125" s="38" t="n"/>
      <c r="E125" s="38" t="n"/>
      <c r="F125" s="40" t="n"/>
      <c r="G125" s="40" t="n"/>
      <c r="H125" s="41" t="n"/>
      <c r="I125" s="41" t="n"/>
      <c r="J125" s="42" t="n"/>
      <c r="K125" s="42" t="n"/>
      <c r="L125" s="42" t="n"/>
      <c r="M125" s="41" t="n"/>
      <c r="N125" s="41" t="n"/>
      <c r="O125" s="41" t="n"/>
      <c r="P125" s="41" t="n"/>
      <c r="Q125" s="40" t="n"/>
      <c r="R125" s="38" t="n"/>
      <c r="S125" s="38" t="n"/>
      <c r="T125" s="39" t="n"/>
      <c r="U125" s="43" t="n"/>
      <c r="V125" s="44">
        <f>IFERROR(IF($A125="","",MAX($F125-$G125,0)),"")</f>
        <v/>
      </c>
      <c r="W125" s="45">
        <f>IFERROR(IF($A125="","",$H125+$I125),"")</f>
        <v/>
      </c>
      <c r="X125" s="45">
        <f>IFERROR(IF($A125="","",$H125*IF($J125="",'Assumptions'!$B$4,$J125)),"")</f>
        <v/>
      </c>
      <c r="Y125" s="45">
        <f>IFERROR(IF($A125="","",$X125*IF($K125="",'Assumptions'!$B$12,$K125)),"")</f>
        <v/>
      </c>
      <c r="Z125" s="45">
        <f>IFERROR(IF($A125="","",($X125+$Y125)*IF($L125="",'Assumptions'!$B$13,$L125)),"")</f>
        <v/>
      </c>
      <c r="AA125" s="45">
        <f>IFERROR(IF($A125="","",$X125+$Y125+$Z125),"")</f>
        <v/>
      </c>
      <c r="AB125" s="45">
        <f>IFERROR(IF($A125="","",$V125*'Assumptions'!$B$5),"")</f>
        <v/>
      </c>
      <c r="AC125" s="45">
        <f>IFERROR(IF($A125="","",$I125*'Assumptions'!$B$6),"")</f>
        <v/>
      </c>
      <c r="AD125" s="45">
        <f>IFERROR(IF($A125="","",$AB125+$AC125),"")</f>
        <v/>
      </c>
      <c r="AE125" s="45">
        <f>IFERROR(IF($A125="","",($M125+$N125)*'Assumptions'!$B$7),"")</f>
        <v/>
      </c>
      <c r="AF125" s="45">
        <f>IFERROR(IF($A125="","",($Q125/60)*'Assumptions'!$B$8),"")</f>
        <v/>
      </c>
      <c r="AG125" s="45">
        <f>IFERROR(IF($A125="","",$P125+$AE125+$AF125),"")</f>
        <v/>
      </c>
      <c r="AH125" s="45">
        <f>IFERROR(IF($A125="","",$M125+$O125),"")</f>
        <v/>
      </c>
      <c r="AI125" s="46">
        <f>IFERROR(IF($A125="","",IFERROR($AH125/$W125,0)),"")</f>
        <v/>
      </c>
      <c r="AJ125" s="45">
        <f>IFERROR(IF($A125="","",$W125-$AH125-$AD125+$AG125),"")</f>
        <v/>
      </c>
      <c r="AK125" s="47">
        <f>IFERROR(IF($A125="","",IF(OR($S125="Collected",$S125="Waived",$S125="Uncollectible",$S125="No Charge Due"),"",IF($T125="",$B125+'Assumptions'!$B$9,$T125+'Assumptions'!$B$9))),"")</f>
        <v/>
      </c>
      <c r="AL125" s="48">
        <f>IFERROR(IF($A125="","",IF(OR($S125="Collected",$S125="Waived",$S125="Uncollectible",$S125="No Charge Due"),"Closed",IF($AK125&lt;TODAY(),"Overdue",IF($AK125=TODAY(),"Due","Open")))),"")</f>
        <v/>
      </c>
      <c r="AM125" s="49">
        <f>IFERROR(IF($A125="","",IF(COUNTIF($A$5:$A$504,$A125)&gt;1,"Duplicate reservation ID",IF($C125&lt;=$B125,"Check stay dates",IF($G125&gt;$F125,"Resold nights exceed booked nights",IF($M125+$N125&gt;$AA125+0.01,"Collection exceeds expected amount",IF(AND($S125="Collected",$M125=0),"Collected status has no amount",IF($AJ125&gt;='Assumptions'!$B$10,"High-cost review","OK"))))))),"")</f>
        <v/>
      </c>
    </row>
    <row r="126">
      <c r="A126" s="38" t="n"/>
      <c r="B126" s="39" t="n"/>
      <c r="C126" s="39" t="n"/>
      <c r="D126" s="38" t="n"/>
      <c r="E126" s="38" t="n"/>
      <c r="F126" s="40" t="n"/>
      <c r="G126" s="40" t="n"/>
      <c r="H126" s="41" t="n"/>
      <c r="I126" s="41" t="n"/>
      <c r="J126" s="42" t="n"/>
      <c r="K126" s="42" t="n"/>
      <c r="L126" s="42" t="n"/>
      <c r="M126" s="41" t="n"/>
      <c r="N126" s="41" t="n"/>
      <c r="O126" s="41" t="n"/>
      <c r="P126" s="41" t="n"/>
      <c r="Q126" s="40" t="n"/>
      <c r="R126" s="38" t="n"/>
      <c r="S126" s="38" t="n"/>
      <c r="T126" s="39" t="n"/>
      <c r="U126" s="43" t="n"/>
      <c r="V126" s="44">
        <f>IFERROR(IF($A126="","",MAX($F126-$G126,0)),"")</f>
        <v/>
      </c>
      <c r="W126" s="45">
        <f>IFERROR(IF($A126="","",$H126+$I126),"")</f>
        <v/>
      </c>
      <c r="X126" s="45">
        <f>IFERROR(IF($A126="","",$H126*IF($J126="",'Assumptions'!$B$4,$J126)),"")</f>
        <v/>
      </c>
      <c r="Y126" s="45">
        <f>IFERROR(IF($A126="","",$X126*IF($K126="",'Assumptions'!$B$12,$K126)),"")</f>
        <v/>
      </c>
      <c r="Z126" s="45">
        <f>IFERROR(IF($A126="","",($X126+$Y126)*IF($L126="",'Assumptions'!$B$13,$L126)),"")</f>
        <v/>
      </c>
      <c r="AA126" s="45">
        <f>IFERROR(IF($A126="","",$X126+$Y126+$Z126),"")</f>
        <v/>
      </c>
      <c r="AB126" s="45">
        <f>IFERROR(IF($A126="","",$V126*'Assumptions'!$B$5),"")</f>
        <v/>
      </c>
      <c r="AC126" s="45">
        <f>IFERROR(IF($A126="","",$I126*'Assumptions'!$B$6),"")</f>
        <v/>
      </c>
      <c r="AD126" s="45">
        <f>IFERROR(IF($A126="","",$AB126+$AC126),"")</f>
        <v/>
      </c>
      <c r="AE126" s="45">
        <f>IFERROR(IF($A126="","",($M126+$N126)*'Assumptions'!$B$7),"")</f>
        <v/>
      </c>
      <c r="AF126" s="45">
        <f>IFERROR(IF($A126="","",($Q126/60)*'Assumptions'!$B$8),"")</f>
        <v/>
      </c>
      <c r="AG126" s="45">
        <f>IFERROR(IF($A126="","",$P126+$AE126+$AF126),"")</f>
        <v/>
      </c>
      <c r="AH126" s="45">
        <f>IFERROR(IF($A126="","",$M126+$O126),"")</f>
        <v/>
      </c>
      <c r="AI126" s="46">
        <f>IFERROR(IF($A126="","",IFERROR($AH126/$W126,0)),"")</f>
        <v/>
      </c>
      <c r="AJ126" s="45">
        <f>IFERROR(IF($A126="","",$W126-$AH126-$AD126+$AG126),"")</f>
        <v/>
      </c>
      <c r="AK126" s="47">
        <f>IFERROR(IF($A126="","",IF(OR($S126="Collected",$S126="Waived",$S126="Uncollectible",$S126="No Charge Due"),"",IF($T126="",$B126+'Assumptions'!$B$9,$T126+'Assumptions'!$B$9))),"")</f>
        <v/>
      </c>
      <c r="AL126" s="48">
        <f>IFERROR(IF($A126="","",IF(OR($S126="Collected",$S126="Waived",$S126="Uncollectible",$S126="No Charge Due"),"Closed",IF($AK126&lt;TODAY(),"Overdue",IF($AK126=TODAY(),"Due","Open")))),"")</f>
        <v/>
      </c>
      <c r="AM126" s="49">
        <f>IFERROR(IF($A126="","",IF(COUNTIF($A$5:$A$504,$A126)&gt;1,"Duplicate reservation ID",IF($C126&lt;=$B126,"Check stay dates",IF($G126&gt;$F126,"Resold nights exceed booked nights",IF($M126+$N126&gt;$AA126+0.01,"Collection exceeds expected amount",IF(AND($S126="Collected",$M126=0),"Collected status has no amount",IF($AJ126&gt;='Assumptions'!$B$10,"High-cost review","OK"))))))),"")</f>
        <v/>
      </c>
    </row>
    <row r="127">
      <c r="A127" s="38" t="n"/>
      <c r="B127" s="39" t="n"/>
      <c r="C127" s="39" t="n"/>
      <c r="D127" s="38" t="n"/>
      <c r="E127" s="38" t="n"/>
      <c r="F127" s="40" t="n"/>
      <c r="G127" s="40" t="n"/>
      <c r="H127" s="41" t="n"/>
      <c r="I127" s="41" t="n"/>
      <c r="J127" s="42" t="n"/>
      <c r="K127" s="42" t="n"/>
      <c r="L127" s="42" t="n"/>
      <c r="M127" s="41" t="n"/>
      <c r="N127" s="41" t="n"/>
      <c r="O127" s="41" t="n"/>
      <c r="P127" s="41" t="n"/>
      <c r="Q127" s="40" t="n"/>
      <c r="R127" s="38" t="n"/>
      <c r="S127" s="38" t="n"/>
      <c r="T127" s="39" t="n"/>
      <c r="U127" s="43" t="n"/>
      <c r="V127" s="44">
        <f>IFERROR(IF($A127="","",MAX($F127-$G127,0)),"")</f>
        <v/>
      </c>
      <c r="W127" s="45">
        <f>IFERROR(IF($A127="","",$H127+$I127),"")</f>
        <v/>
      </c>
      <c r="X127" s="45">
        <f>IFERROR(IF($A127="","",$H127*IF($J127="",'Assumptions'!$B$4,$J127)),"")</f>
        <v/>
      </c>
      <c r="Y127" s="45">
        <f>IFERROR(IF($A127="","",$X127*IF($K127="",'Assumptions'!$B$12,$K127)),"")</f>
        <v/>
      </c>
      <c r="Z127" s="45">
        <f>IFERROR(IF($A127="","",($X127+$Y127)*IF($L127="",'Assumptions'!$B$13,$L127)),"")</f>
        <v/>
      </c>
      <c r="AA127" s="45">
        <f>IFERROR(IF($A127="","",$X127+$Y127+$Z127),"")</f>
        <v/>
      </c>
      <c r="AB127" s="45">
        <f>IFERROR(IF($A127="","",$V127*'Assumptions'!$B$5),"")</f>
        <v/>
      </c>
      <c r="AC127" s="45">
        <f>IFERROR(IF($A127="","",$I127*'Assumptions'!$B$6),"")</f>
        <v/>
      </c>
      <c r="AD127" s="45">
        <f>IFERROR(IF($A127="","",$AB127+$AC127),"")</f>
        <v/>
      </c>
      <c r="AE127" s="45">
        <f>IFERROR(IF($A127="","",($M127+$N127)*'Assumptions'!$B$7),"")</f>
        <v/>
      </c>
      <c r="AF127" s="45">
        <f>IFERROR(IF($A127="","",($Q127/60)*'Assumptions'!$B$8),"")</f>
        <v/>
      </c>
      <c r="AG127" s="45">
        <f>IFERROR(IF($A127="","",$P127+$AE127+$AF127),"")</f>
        <v/>
      </c>
      <c r="AH127" s="45">
        <f>IFERROR(IF($A127="","",$M127+$O127),"")</f>
        <v/>
      </c>
      <c r="AI127" s="46">
        <f>IFERROR(IF($A127="","",IFERROR($AH127/$W127,0)),"")</f>
        <v/>
      </c>
      <c r="AJ127" s="45">
        <f>IFERROR(IF($A127="","",$W127-$AH127-$AD127+$AG127),"")</f>
        <v/>
      </c>
      <c r="AK127" s="47">
        <f>IFERROR(IF($A127="","",IF(OR($S127="Collected",$S127="Waived",$S127="Uncollectible",$S127="No Charge Due"),"",IF($T127="",$B127+'Assumptions'!$B$9,$T127+'Assumptions'!$B$9))),"")</f>
        <v/>
      </c>
      <c r="AL127" s="48">
        <f>IFERROR(IF($A127="","",IF(OR($S127="Collected",$S127="Waived",$S127="Uncollectible",$S127="No Charge Due"),"Closed",IF($AK127&lt;TODAY(),"Overdue",IF($AK127=TODAY(),"Due","Open")))),"")</f>
        <v/>
      </c>
      <c r="AM127" s="49">
        <f>IFERROR(IF($A127="","",IF(COUNTIF($A$5:$A$504,$A127)&gt;1,"Duplicate reservation ID",IF($C127&lt;=$B127,"Check stay dates",IF($G127&gt;$F127,"Resold nights exceed booked nights",IF($M127+$N127&gt;$AA127+0.01,"Collection exceeds expected amount",IF(AND($S127="Collected",$M127=0),"Collected status has no amount",IF($AJ127&gt;='Assumptions'!$B$10,"High-cost review","OK"))))))),"")</f>
        <v/>
      </c>
    </row>
    <row r="128">
      <c r="A128" s="38" t="n"/>
      <c r="B128" s="39" t="n"/>
      <c r="C128" s="39" t="n"/>
      <c r="D128" s="38" t="n"/>
      <c r="E128" s="38" t="n"/>
      <c r="F128" s="40" t="n"/>
      <c r="G128" s="40" t="n"/>
      <c r="H128" s="41" t="n"/>
      <c r="I128" s="41" t="n"/>
      <c r="J128" s="42" t="n"/>
      <c r="K128" s="42" t="n"/>
      <c r="L128" s="42" t="n"/>
      <c r="M128" s="41" t="n"/>
      <c r="N128" s="41" t="n"/>
      <c r="O128" s="41" t="n"/>
      <c r="P128" s="41" t="n"/>
      <c r="Q128" s="40" t="n"/>
      <c r="R128" s="38" t="n"/>
      <c r="S128" s="38" t="n"/>
      <c r="T128" s="39" t="n"/>
      <c r="U128" s="43" t="n"/>
      <c r="V128" s="44">
        <f>IFERROR(IF($A128="","",MAX($F128-$G128,0)),"")</f>
        <v/>
      </c>
      <c r="W128" s="45">
        <f>IFERROR(IF($A128="","",$H128+$I128),"")</f>
        <v/>
      </c>
      <c r="X128" s="45">
        <f>IFERROR(IF($A128="","",$H128*IF($J128="",'Assumptions'!$B$4,$J128)),"")</f>
        <v/>
      </c>
      <c r="Y128" s="45">
        <f>IFERROR(IF($A128="","",$X128*IF($K128="",'Assumptions'!$B$12,$K128)),"")</f>
        <v/>
      </c>
      <c r="Z128" s="45">
        <f>IFERROR(IF($A128="","",($X128+$Y128)*IF($L128="",'Assumptions'!$B$13,$L128)),"")</f>
        <v/>
      </c>
      <c r="AA128" s="45">
        <f>IFERROR(IF($A128="","",$X128+$Y128+$Z128),"")</f>
        <v/>
      </c>
      <c r="AB128" s="45">
        <f>IFERROR(IF($A128="","",$V128*'Assumptions'!$B$5),"")</f>
        <v/>
      </c>
      <c r="AC128" s="45">
        <f>IFERROR(IF($A128="","",$I128*'Assumptions'!$B$6),"")</f>
        <v/>
      </c>
      <c r="AD128" s="45">
        <f>IFERROR(IF($A128="","",$AB128+$AC128),"")</f>
        <v/>
      </c>
      <c r="AE128" s="45">
        <f>IFERROR(IF($A128="","",($M128+$N128)*'Assumptions'!$B$7),"")</f>
        <v/>
      </c>
      <c r="AF128" s="45">
        <f>IFERROR(IF($A128="","",($Q128/60)*'Assumptions'!$B$8),"")</f>
        <v/>
      </c>
      <c r="AG128" s="45">
        <f>IFERROR(IF($A128="","",$P128+$AE128+$AF128),"")</f>
        <v/>
      </c>
      <c r="AH128" s="45">
        <f>IFERROR(IF($A128="","",$M128+$O128),"")</f>
        <v/>
      </c>
      <c r="AI128" s="46">
        <f>IFERROR(IF($A128="","",IFERROR($AH128/$W128,0)),"")</f>
        <v/>
      </c>
      <c r="AJ128" s="45">
        <f>IFERROR(IF($A128="","",$W128-$AH128-$AD128+$AG128),"")</f>
        <v/>
      </c>
      <c r="AK128" s="47">
        <f>IFERROR(IF($A128="","",IF(OR($S128="Collected",$S128="Waived",$S128="Uncollectible",$S128="No Charge Due"),"",IF($T128="",$B128+'Assumptions'!$B$9,$T128+'Assumptions'!$B$9))),"")</f>
        <v/>
      </c>
      <c r="AL128" s="48">
        <f>IFERROR(IF($A128="","",IF(OR($S128="Collected",$S128="Waived",$S128="Uncollectible",$S128="No Charge Due"),"Closed",IF($AK128&lt;TODAY(),"Overdue",IF($AK128=TODAY(),"Due","Open")))),"")</f>
        <v/>
      </c>
      <c r="AM128" s="49">
        <f>IFERROR(IF($A128="","",IF(COUNTIF($A$5:$A$504,$A128)&gt;1,"Duplicate reservation ID",IF($C128&lt;=$B128,"Check stay dates",IF($G128&gt;$F128,"Resold nights exceed booked nights",IF($M128+$N128&gt;$AA128+0.01,"Collection exceeds expected amount",IF(AND($S128="Collected",$M128=0),"Collected status has no amount",IF($AJ128&gt;='Assumptions'!$B$10,"High-cost review","OK"))))))),"")</f>
        <v/>
      </c>
    </row>
    <row r="129">
      <c r="A129" s="38" t="n"/>
      <c r="B129" s="39" t="n"/>
      <c r="C129" s="39" t="n"/>
      <c r="D129" s="38" t="n"/>
      <c r="E129" s="38" t="n"/>
      <c r="F129" s="40" t="n"/>
      <c r="G129" s="40" t="n"/>
      <c r="H129" s="41" t="n"/>
      <c r="I129" s="41" t="n"/>
      <c r="J129" s="42" t="n"/>
      <c r="K129" s="42" t="n"/>
      <c r="L129" s="42" t="n"/>
      <c r="M129" s="41" t="n"/>
      <c r="N129" s="41" t="n"/>
      <c r="O129" s="41" t="n"/>
      <c r="P129" s="41" t="n"/>
      <c r="Q129" s="40" t="n"/>
      <c r="R129" s="38" t="n"/>
      <c r="S129" s="38" t="n"/>
      <c r="T129" s="39" t="n"/>
      <c r="U129" s="43" t="n"/>
      <c r="V129" s="44">
        <f>IFERROR(IF($A129="","",MAX($F129-$G129,0)),"")</f>
        <v/>
      </c>
      <c r="W129" s="45">
        <f>IFERROR(IF($A129="","",$H129+$I129),"")</f>
        <v/>
      </c>
      <c r="X129" s="45">
        <f>IFERROR(IF($A129="","",$H129*IF($J129="",'Assumptions'!$B$4,$J129)),"")</f>
        <v/>
      </c>
      <c r="Y129" s="45">
        <f>IFERROR(IF($A129="","",$X129*IF($K129="",'Assumptions'!$B$12,$K129)),"")</f>
        <v/>
      </c>
      <c r="Z129" s="45">
        <f>IFERROR(IF($A129="","",($X129+$Y129)*IF($L129="",'Assumptions'!$B$13,$L129)),"")</f>
        <v/>
      </c>
      <c r="AA129" s="45">
        <f>IFERROR(IF($A129="","",$X129+$Y129+$Z129),"")</f>
        <v/>
      </c>
      <c r="AB129" s="45">
        <f>IFERROR(IF($A129="","",$V129*'Assumptions'!$B$5),"")</f>
        <v/>
      </c>
      <c r="AC129" s="45">
        <f>IFERROR(IF($A129="","",$I129*'Assumptions'!$B$6),"")</f>
        <v/>
      </c>
      <c r="AD129" s="45">
        <f>IFERROR(IF($A129="","",$AB129+$AC129),"")</f>
        <v/>
      </c>
      <c r="AE129" s="45">
        <f>IFERROR(IF($A129="","",($M129+$N129)*'Assumptions'!$B$7),"")</f>
        <v/>
      </c>
      <c r="AF129" s="45">
        <f>IFERROR(IF($A129="","",($Q129/60)*'Assumptions'!$B$8),"")</f>
        <v/>
      </c>
      <c r="AG129" s="45">
        <f>IFERROR(IF($A129="","",$P129+$AE129+$AF129),"")</f>
        <v/>
      </c>
      <c r="AH129" s="45">
        <f>IFERROR(IF($A129="","",$M129+$O129),"")</f>
        <v/>
      </c>
      <c r="AI129" s="46">
        <f>IFERROR(IF($A129="","",IFERROR($AH129/$W129,0)),"")</f>
        <v/>
      </c>
      <c r="AJ129" s="45">
        <f>IFERROR(IF($A129="","",$W129-$AH129-$AD129+$AG129),"")</f>
        <v/>
      </c>
      <c r="AK129" s="47">
        <f>IFERROR(IF($A129="","",IF(OR($S129="Collected",$S129="Waived",$S129="Uncollectible",$S129="No Charge Due"),"",IF($T129="",$B129+'Assumptions'!$B$9,$T129+'Assumptions'!$B$9))),"")</f>
        <v/>
      </c>
      <c r="AL129" s="48">
        <f>IFERROR(IF($A129="","",IF(OR($S129="Collected",$S129="Waived",$S129="Uncollectible",$S129="No Charge Due"),"Closed",IF($AK129&lt;TODAY(),"Overdue",IF($AK129=TODAY(),"Due","Open")))),"")</f>
        <v/>
      </c>
      <c r="AM129" s="49">
        <f>IFERROR(IF($A129="","",IF(COUNTIF($A$5:$A$504,$A129)&gt;1,"Duplicate reservation ID",IF($C129&lt;=$B129,"Check stay dates",IF($G129&gt;$F129,"Resold nights exceed booked nights",IF($M129+$N129&gt;$AA129+0.01,"Collection exceeds expected amount",IF(AND($S129="Collected",$M129=0),"Collected status has no amount",IF($AJ129&gt;='Assumptions'!$B$10,"High-cost review","OK"))))))),"")</f>
        <v/>
      </c>
    </row>
    <row r="130">
      <c r="A130" s="38" t="n"/>
      <c r="B130" s="39" t="n"/>
      <c r="C130" s="39" t="n"/>
      <c r="D130" s="38" t="n"/>
      <c r="E130" s="38" t="n"/>
      <c r="F130" s="40" t="n"/>
      <c r="G130" s="40" t="n"/>
      <c r="H130" s="41" t="n"/>
      <c r="I130" s="41" t="n"/>
      <c r="J130" s="42" t="n"/>
      <c r="K130" s="42" t="n"/>
      <c r="L130" s="42" t="n"/>
      <c r="M130" s="41" t="n"/>
      <c r="N130" s="41" t="n"/>
      <c r="O130" s="41" t="n"/>
      <c r="P130" s="41" t="n"/>
      <c r="Q130" s="40" t="n"/>
      <c r="R130" s="38" t="n"/>
      <c r="S130" s="38" t="n"/>
      <c r="T130" s="39" t="n"/>
      <c r="U130" s="43" t="n"/>
      <c r="V130" s="44">
        <f>IFERROR(IF($A130="","",MAX($F130-$G130,0)),"")</f>
        <v/>
      </c>
      <c r="W130" s="45">
        <f>IFERROR(IF($A130="","",$H130+$I130),"")</f>
        <v/>
      </c>
      <c r="X130" s="45">
        <f>IFERROR(IF($A130="","",$H130*IF($J130="",'Assumptions'!$B$4,$J130)),"")</f>
        <v/>
      </c>
      <c r="Y130" s="45">
        <f>IFERROR(IF($A130="","",$X130*IF($K130="",'Assumptions'!$B$12,$K130)),"")</f>
        <v/>
      </c>
      <c r="Z130" s="45">
        <f>IFERROR(IF($A130="","",($X130+$Y130)*IF($L130="",'Assumptions'!$B$13,$L130)),"")</f>
        <v/>
      </c>
      <c r="AA130" s="45">
        <f>IFERROR(IF($A130="","",$X130+$Y130+$Z130),"")</f>
        <v/>
      </c>
      <c r="AB130" s="45">
        <f>IFERROR(IF($A130="","",$V130*'Assumptions'!$B$5),"")</f>
        <v/>
      </c>
      <c r="AC130" s="45">
        <f>IFERROR(IF($A130="","",$I130*'Assumptions'!$B$6),"")</f>
        <v/>
      </c>
      <c r="AD130" s="45">
        <f>IFERROR(IF($A130="","",$AB130+$AC130),"")</f>
        <v/>
      </c>
      <c r="AE130" s="45">
        <f>IFERROR(IF($A130="","",($M130+$N130)*'Assumptions'!$B$7),"")</f>
        <v/>
      </c>
      <c r="AF130" s="45">
        <f>IFERROR(IF($A130="","",($Q130/60)*'Assumptions'!$B$8),"")</f>
        <v/>
      </c>
      <c r="AG130" s="45">
        <f>IFERROR(IF($A130="","",$P130+$AE130+$AF130),"")</f>
        <v/>
      </c>
      <c r="AH130" s="45">
        <f>IFERROR(IF($A130="","",$M130+$O130),"")</f>
        <v/>
      </c>
      <c r="AI130" s="46">
        <f>IFERROR(IF($A130="","",IFERROR($AH130/$W130,0)),"")</f>
        <v/>
      </c>
      <c r="AJ130" s="45">
        <f>IFERROR(IF($A130="","",$W130-$AH130-$AD130+$AG130),"")</f>
        <v/>
      </c>
      <c r="AK130" s="47">
        <f>IFERROR(IF($A130="","",IF(OR($S130="Collected",$S130="Waived",$S130="Uncollectible",$S130="No Charge Due"),"",IF($T130="",$B130+'Assumptions'!$B$9,$T130+'Assumptions'!$B$9))),"")</f>
        <v/>
      </c>
      <c r="AL130" s="48">
        <f>IFERROR(IF($A130="","",IF(OR($S130="Collected",$S130="Waived",$S130="Uncollectible",$S130="No Charge Due"),"Closed",IF($AK130&lt;TODAY(),"Overdue",IF($AK130=TODAY(),"Due","Open")))),"")</f>
        <v/>
      </c>
      <c r="AM130" s="49">
        <f>IFERROR(IF($A130="","",IF(COUNTIF($A$5:$A$504,$A130)&gt;1,"Duplicate reservation ID",IF($C130&lt;=$B130,"Check stay dates",IF($G130&gt;$F130,"Resold nights exceed booked nights",IF($M130+$N130&gt;$AA130+0.01,"Collection exceeds expected amount",IF(AND($S130="Collected",$M130=0),"Collected status has no amount",IF($AJ130&gt;='Assumptions'!$B$10,"High-cost review","OK"))))))),"")</f>
        <v/>
      </c>
    </row>
    <row r="131">
      <c r="A131" s="38" t="n"/>
      <c r="B131" s="39" t="n"/>
      <c r="C131" s="39" t="n"/>
      <c r="D131" s="38" t="n"/>
      <c r="E131" s="38" t="n"/>
      <c r="F131" s="40" t="n"/>
      <c r="G131" s="40" t="n"/>
      <c r="H131" s="41" t="n"/>
      <c r="I131" s="41" t="n"/>
      <c r="J131" s="42" t="n"/>
      <c r="K131" s="42" t="n"/>
      <c r="L131" s="42" t="n"/>
      <c r="M131" s="41" t="n"/>
      <c r="N131" s="41" t="n"/>
      <c r="O131" s="41" t="n"/>
      <c r="P131" s="41" t="n"/>
      <c r="Q131" s="40" t="n"/>
      <c r="R131" s="38" t="n"/>
      <c r="S131" s="38" t="n"/>
      <c r="T131" s="39" t="n"/>
      <c r="U131" s="43" t="n"/>
      <c r="V131" s="44">
        <f>IFERROR(IF($A131="","",MAX($F131-$G131,0)),"")</f>
        <v/>
      </c>
      <c r="W131" s="45">
        <f>IFERROR(IF($A131="","",$H131+$I131),"")</f>
        <v/>
      </c>
      <c r="X131" s="45">
        <f>IFERROR(IF($A131="","",$H131*IF($J131="",'Assumptions'!$B$4,$J131)),"")</f>
        <v/>
      </c>
      <c r="Y131" s="45">
        <f>IFERROR(IF($A131="","",$X131*IF($K131="",'Assumptions'!$B$12,$K131)),"")</f>
        <v/>
      </c>
      <c r="Z131" s="45">
        <f>IFERROR(IF($A131="","",($X131+$Y131)*IF($L131="",'Assumptions'!$B$13,$L131)),"")</f>
        <v/>
      </c>
      <c r="AA131" s="45">
        <f>IFERROR(IF($A131="","",$X131+$Y131+$Z131),"")</f>
        <v/>
      </c>
      <c r="AB131" s="45">
        <f>IFERROR(IF($A131="","",$V131*'Assumptions'!$B$5),"")</f>
        <v/>
      </c>
      <c r="AC131" s="45">
        <f>IFERROR(IF($A131="","",$I131*'Assumptions'!$B$6),"")</f>
        <v/>
      </c>
      <c r="AD131" s="45">
        <f>IFERROR(IF($A131="","",$AB131+$AC131),"")</f>
        <v/>
      </c>
      <c r="AE131" s="45">
        <f>IFERROR(IF($A131="","",($M131+$N131)*'Assumptions'!$B$7),"")</f>
        <v/>
      </c>
      <c r="AF131" s="45">
        <f>IFERROR(IF($A131="","",($Q131/60)*'Assumptions'!$B$8),"")</f>
        <v/>
      </c>
      <c r="AG131" s="45">
        <f>IFERROR(IF($A131="","",$P131+$AE131+$AF131),"")</f>
        <v/>
      </c>
      <c r="AH131" s="45">
        <f>IFERROR(IF($A131="","",$M131+$O131),"")</f>
        <v/>
      </c>
      <c r="AI131" s="46">
        <f>IFERROR(IF($A131="","",IFERROR($AH131/$W131,0)),"")</f>
        <v/>
      </c>
      <c r="AJ131" s="45">
        <f>IFERROR(IF($A131="","",$W131-$AH131-$AD131+$AG131),"")</f>
        <v/>
      </c>
      <c r="AK131" s="47">
        <f>IFERROR(IF($A131="","",IF(OR($S131="Collected",$S131="Waived",$S131="Uncollectible",$S131="No Charge Due"),"",IF($T131="",$B131+'Assumptions'!$B$9,$T131+'Assumptions'!$B$9))),"")</f>
        <v/>
      </c>
      <c r="AL131" s="48">
        <f>IFERROR(IF($A131="","",IF(OR($S131="Collected",$S131="Waived",$S131="Uncollectible",$S131="No Charge Due"),"Closed",IF($AK131&lt;TODAY(),"Overdue",IF($AK131=TODAY(),"Due","Open")))),"")</f>
        <v/>
      </c>
      <c r="AM131" s="49">
        <f>IFERROR(IF($A131="","",IF(COUNTIF($A$5:$A$504,$A131)&gt;1,"Duplicate reservation ID",IF($C131&lt;=$B131,"Check stay dates",IF($G131&gt;$F131,"Resold nights exceed booked nights",IF($M131+$N131&gt;$AA131+0.01,"Collection exceeds expected amount",IF(AND($S131="Collected",$M131=0),"Collected status has no amount",IF($AJ131&gt;='Assumptions'!$B$10,"High-cost review","OK"))))))),"")</f>
        <v/>
      </c>
    </row>
    <row r="132">
      <c r="A132" s="38" t="n"/>
      <c r="B132" s="39" t="n"/>
      <c r="C132" s="39" t="n"/>
      <c r="D132" s="38" t="n"/>
      <c r="E132" s="38" t="n"/>
      <c r="F132" s="40" t="n"/>
      <c r="G132" s="40" t="n"/>
      <c r="H132" s="41" t="n"/>
      <c r="I132" s="41" t="n"/>
      <c r="J132" s="42" t="n"/>
      <c r="K132" s="42" t="n"/>
      <c r="L132" s="42" t="n"/>
      <c r="M132" s="41" t="n"/>
      <c r="N132" s="41" t="n"/>
      <c r="O132" s="41" t="n"/>
      <c r="P132" s="41" t="n"/>
      <c r="Q132" s="40" t="n"/>
      <c r="R132" s="38" t="n"/>
      <c r="S132" s="38" t="n"/>
      <c r="T132" s="39" t="n"/>
      <c r="U132" s="43" t="n"/>
      <c r="V132" s="44">
        <f>IFERROR(IF($A132="","",MAX($F132-$G132,0)),"")</f>
        <v/>
      </c>
      <c r="W132" s="45">
        <f>IFERROR(IF($A132="","",$H132+$I132),"")</f>
        <v/>
      </c>
      <c r="X132" s="45">
        <f>IFERROR(IF($A132="","",$H132*IF($J132="",'Assumptions'!$B$4,$J132)),"")</f>
        <v/>
      </c>
      <c r="Y132" s="45">
        <f>IFERROR(IF($A132="","",$X132*IF($K132="",'Assumptions'!$B$12,$K132)),"")</f>
        <v/>
      </c>
      <c r="Z132" s="45">
        <f>IFERROR(IF($A132="","",($X132+$Y132)*IF($L132="",'Assumptions'!$B$13,$L132)),"")</f>
        <v/>
      </c>
      <c r="AA132" s="45">
        <f>IFERROR(IF($A132="","",$X132+$Y132+$Z132),"")</f>
        <v/>
      </c>
      <c r="AB132" s="45">
        <f>IFERROR(IF($A132="","",$V132*'Assumptions'!$B$5),"")</f>
        <v/>
      </c>
      <c r="AC132" s="45">
        <f>IFERROR(IF($A132="","",$I132*'Assumptions'!$B$6),"")</f>
        <v/>
      </c>
      <c r="AD132" s="45">
        <f>IFERROR(IF($A132="","",$AB132+$AC132),"")</f>
        <v/>
      </c>
      <c r="AE132" s="45">
        <f>IFERROR(IF($A132="","",($M132+$N132)*'Assumptions'!$B$7),"")</f>
        <v/>
      </c>
      <c r="AF132" s="45">
        <f>IFERROR(IF($A132="","",($Q132/60)*'Assumptions'!$B$8),"")</f>
        <v/>
      </c>
      <c r="AG132" s="45">
        <f>IFERROR(IF($A132="","",$P132+$AE132+$AF132),"")</f>
        <v/>
      </c>
      <c r="AH132" s="45">
        <f>IFERROR(IF($A132="","",$M132+$O132),"")</f>
        <v/>
      </c>
      <c r="AI132" s="46">
        <f>IFERROR(IF($A132="","",IFERROR($AH132/$W132,0)),"")</f>
        <v/>
      </c>
      <c r="AJ132" s="45">
        <f>IFERROR(IF($A132="","",$W132-$AH132-$AD132+$AG132),"")</f>
        <v/>
      </c>
      <c r="AK132" s="47">
        <f>IFERROR(IF($A132="","",IF(OR($S132="Collected",$S132="Waived",$S132="Uncollectible",$S132="No Charge Due"),"",IF($T132="",$B132+'Assumptions'!$B$9,$T132+'Assumptions'!$B$9))),"")</f>
        <v/>
      </c>
      <c r="AL132" s="48">
        <f>IFERROR(IF($A132="","",IF(OR($S132="Collected",$S132="Waived",$S132="Uncollectible",$S132="No Charge Due"),"Closed",IF($AK132&lt;TODAY(),"Overdue",IF($AK132=TODAY(),"Due","Open")))),"")</f>
        <v/>
      </c>
      <c r="AM132" s="49">
        <f>IFERROR(IF($A132="","",IF(COUNTIF($A$5:$A$504,$A132)&gt;1,"Duplicate reservation ID",IF($C132&lt;=$B132,"Check stay dates",IF($G132&gt;$F132,"Resold nights exceed booked nights",IF($M132+$N132&gt;$AA132+0.01,"Collection exceeds expected amount",IF(AND($S132="Collected",$M132=0),"Collected status has no amount",IF($AJ132&gt;='Assumptions'!$B$10,"High-cost review","OK"))))))),"")</f>
        <v/>
      </c>
    </row>
    <row r="133">
      <c r="A133" s="38" t="n"/>
      <c r="B133" s="39" t="n"/>
      <c r="C133" s="39" t="n"/>
      <c r="D133" s="38" t="n"/>
      <c r="E133" s="38" t="n"/>
      <c r="F133" s="40" t="n"/>
      <c r="G133" s="40" t="n"/>
      <c r="H133" s="41" t="n"/>
      <c r="I133" s="41" t="n"/>
      <c r="J133" s="42" t="n"/>
      <c r="K133" s="42" t="n"/>
      <c r="L133" s="42" t="n"/>
      <c r="M133" s="41" t="n"/>
      <c r="N133" s="41" t="n"/>
      <c r="O133" s="41" t="n"/>
      <c r="P133" s="41" t="n"/>
      <c r="Q133" s="40" t="n"/>
      <c r="R133" s="38" t="n"/>
      <c r="S133" s="38" t="n"/>
      <c r="T133" s="39" t="n"/>
      <c r="U133" s="43" t="n"/>
      <c r="V133" s="44">
        <f>IFERROR(IF($A133="","",MAX($F133-$G133,0)),"")</f>
        <v/>
      </c>
      <c r="W133" s="45">
        <f>IFERROR(IF($A133="","",$H133+$I133),"")</f>
        <v/>
      </c>
      <c r="X133" s="45">
        <f>IFERROR(IF($A133="","",$H133*IF($J133="",'Assumptions'!$B$4,$J133)),"")</f>
        <v/>
      </c>
      <c r="Y133" s="45">
        <f>IFERROR(IF($A133="","",$X133*IF($K133="",'Assumptions'!$B$12,$K133)),"")</f>
        <v/>
      </c>
      <c r="Z133" s="45">
        <f>IFERROR(IF($A133="","",($X133+$Y133)*IF($L133="",'Assumptions'!$B$13,$L133)),"")</f>
        <v/>
      </c>
      <c r="AA133" s="45">
        <f>IFERROR(IF($A133="","",$X133+$Y133+$Z133),"")</f>
        <v/>
      </c>
      <c r="AB133" s="45">
        <f>IFERROR(IF($A133="","",$V133*'Assumptions'!$B$5),"")</f>
        <v/>
      </c>
      <c r="AC133" s="45">
        <f>IFERROR(IF($A133="","",$I133*'Assumptions'!$B$6),"")</f>
        <v/>
      </c>
      <c r="AD133" s="45">
        <f>IFERROR(IF($A133="","",$AB133+$AC133),"")</f>
        <v/>
      </c>
      <c r="AE133" s="45">
        <f>IFERROR(IF($A133="","",($M133+$N133)*'Assumptions'!$B$7),"")</f>
        <v/>
      </c>
      <c r="AF133" s="45">
        <f>IFERROR(IF($A133="","",($Q133/60)*'Assumptions'!$B$8),"")</f>
        <v/>
      </c>
      <c r="AG133" s="45">
        <f>IFERROR(IF($A133="","",$P133+$AE133+$AF133),"")</f>
        <v/>
      </c>
      <c r="AH133" s="45">
        <f>IFERROR(IF($A133="","",$M133+$O133),"")</f>
        <v/>
      </c>
      <c r="AI133" s="46">
        <f>IFERROR(IF($A133="","",IFERROR($AH133/$W133,0)),"")</f>
        <v/>
      </c>
      <c r="AJ133" s="45">
        <f>IFERROR(IF($A133="","",$W133-$AH133-$AD133+$AG133),"")</f>
        <v/>
      </c>
      <c r="AK133" s="47">
        <f>IFERROR(IF($A133="","",IF(OR($S133="Collected",$S133="Waived",$S133="Uncollectible",$S133="No Charge Due"),"",IF($T133="",$B133+'Assumptions'!$B$9,$T133+'Assumptions'!$B$9))),"")</f>
        <v/>
      </c>
      <c r="AL133" s="48">
        <f>IFERROR(IF($A133="","",IF(OR($S133="Collected",$S133="Waived",$S133="Uncollectible",$S133="No Charge Due"),"Closed",IF($AK133&lt;TODAY(),"Overdue",IF($AK133=TODAY(),"Due","Open")))),"")</f>
        <v/>
      </c>
      <c r="AM133" s="49">
        <f>IFERROR(IF($A133="","",IF(COUNTIF($A$5:$A$504,$A133)&gt;1,"Duplicate reservation ID",IF($C133&lt;=$B133,"Check stay dates",IF($G133&gt;$F133,"Resold nights exceed booked nights",IF($M133+$N133&gt;$AA133+0.01,"Collection exceeds expected amount",IF(AND($S133="Collected",$M133=0),"Collected status has no amount",IF($AJ133&gt;='Assumptions'!$B$10,"High-cost review","OK"))))))),"")</f>
        <v/>
      </c>
    </row>
    <row r="134">
      <c r="A134" s="38" t="n"/>
      <c r="B134" s="39" t="n"/>
      <c r="C134" s="39" t="n"/>
      <c r="D134" s="38" t="n"/>
      <c r="E134" s="38" t="n"/>
      <c r="F134" s="40" t="n"/>
      <c r="G134" s="40" t="n"/>
      <c r="H134" s="41" t="n"/>
      <c r="I134" s="41" t="n"/>
      <c r="J134" s="42" t="n"/>
      <c r="K134" s="42" t="n"/>
      <c r="L134" s="42" t="n"/>
      <c r="M134" s="41" t="n"/>
      <c r="N134" s="41" t="n"/>
      <c r="O134" s="41" t="n"/>
      <c r="P134" s="41" t="n"/>
      <c r="Q134" s="40" t="n"/>
      <c r="R134" s="38" t="n"/>
      <c r="S134" s="38" t="n"/>
      <c r="T134" s="39" t="n"/>
      <c r="U134" s="43" t="n"/>
      <c r="V134" s="44">
        <f>IFERROR(IF($A134="","",MAX($F134-$G134,0)),"")</f>
        <v/>
      </c>
      <c r="W134" s="45">
        <f>IFERROR(IF($A134="","",$H134+$I134),"")</f>
        <v/>
      </c>
      <c r="X134" s="45">
        <f>IFERROR(IF($A134="","",$H134*IF($J134="",'Assumptions'!$B$4,$J134)),"")</f>
        <v/>
      </c>
      <c r="Y134" s="45">
        <f>IFERROR(IF($A134="","",$X134*IF($K134="",'Assumptions'!$B$12,$K134)),"")</f>
        <v/>
      </c>
      <c r="Z134" s="45">
        <f>IFERROR(IF($A134="","",($X134+$Y134)*IF($L134="",'Assumptions'!$B$13,$L134)),"")</f>
        <v/>
      </c>
      <c r="AA134" s="45">
        <f>IFERROR(IF($A134="","",$X134+$Y134+$Z134),"")</f>
        <v/>
      </c>
      <c r="AB134" s="45">
        <f>IFERROR(IF($A134="","",$V134*'Assumptions'!$B$5),"")</f>
        <v/>
      </c>
      <c r="AC134" s="45">
        <f>IFERROR(IF($A134="","",$I134*'Assumptions'!$B$6),"")</f>
        <v/>
      </c>
      <c r="AD134" s="45">
        <f>IFERROR(IF($A134="","",$AB134+$AC134),"")</f>
        <v/>
      </c>
      <c r="AE134" s="45">
        <f>IFERROR(IF($A134="","",($M134+$N134)*'Assumptions'!$B$7),"")</f>
        <v/>
      </c>
      <c r="AF134" s="45">
        <f>IFERROR(IF($A134="","",($Q134/60)*'Assumptions'!$B$8),"")</f>
        <v/>
      </c>
      <c r="AG134" s="45">
        <f>IFERROR(IF($A134="","",$P134+$AE134+$AF134),"")</f>
        <v/>
      </c>
      <c r="AH134" s="45">
        <f>IFERROR(IF($A134="","",$M134+$O134),"")</f>
        <v/>
      </c>
      <c r="AI134" s="46">
        <f>IFERROR(IF($A134="","",IFERROR($AH134/$W134,0)),"")</f>
        <v/>
      </c>
      <c r="AJ134" s="45">
        <f>IFERROR(IF($A134="","",$W134-$AH134-$AD134+$AG134),"")</f>
        <v/>
      </c>
      <c r="AK134" s="47">
        <f>IFERROR(IF($A134="","",IF(OR($S134="Collected",$S134="Waived",$S134="Uncollectible",$S134="No Charge Due"),"",IF($T134="",$B134+'Assumptions'!$B$9,$T134+'Assumptions'!$B$9))),"")</f>
        <v/>
      </c>
      <c r="AL134" s="48">
        <f>IFERROR(IF($A134="","",IF(OR($S134="Collected",$S134="Waived",$S134="Uncollectible",$S134="No Charge Due"),"Closed",IF($AK134&lt;TODAY(),"Overdue",IF($AK134=TODAY(),"Due","Open")))),"")</f>
        <v/>
      </c>
      <c r="AM134" s="49">
        <f>IFERROR(IF($A134="","",IF(COUNTIF($A$5:$A$504,$A134)&gt;1,"Duplicate reservation ID",IF($C134&lt;=$B134,"Check stay dates",IF($G134&gt;$F134,"Resold nights exceed booked nights",IF($M134+$N134&gt;$AA134+0.01,"Collection exceeds expected amount",IF(AND($S134="Collected",$M134=0),"Collected status has no amount",IF($AJ134&gt;='Assumptions'!$B$10,"High-cost review","OK"))))))),"")</f>
        <v/>
      </c>
    </row>
    <row r="135">
      <c r="A135" s="38" t="n"/>
      <c r="B135" s="39" t="n"/>
      <c r="C135" s="39" t="n"/>
      <c r="D135" s="38" t="n"/>
      <c r="E135" s="38" t="n"/>
      <c r="F135" s="40" t="n"/>
      <c r="G135" s="40" t="n"/>
      <c r="H135" s="41" t="n"/>
      <c r="I135" s="41" t="n"/>
      <c r="J135" s="42" t="n"/>
      <c r="K135" s="42" t="n"/>
      <c r="L135" s="42" t="n"/>
      <c r="M135" s="41" t="n"/>
      <c r="N135" s="41" t="n"/>
      <c r="O135" s="41" t="n"/>
      <c r="P135" s="41" t="n"/>
      <c r="Q135" s="40" t="n"/>
      <c r="R135" s="38" t="n"/>
      <c r="S135" s="38" t="n"/>
      <c r="T135" s="39" t="n"/>
      <c r="U135" s="43" t="n"/>
      <c r="V135" s="44">
        <f>IFERROR(IF($A135="","",MAX($F135-$G135,0)),"")</f>
        <v/>
      </c>
      <c r="W135" s="45">
        <f>IFERROR(IF($A135="","",$H135+$I135),"")</f>
        <v/>
      </c>
      <c r="X135" s="45">
        <f>IFERROR(IF($A135="","",$H135*IF($J135="",'Assumptions'!$B$4,$J135)),"")</f>
        <v/>
      </c>
      <c r="Y135" s="45">
        <f>IFERROR(IF($A135="","",$X135*IF($K135="",'Assumptions'!$B$12,$K135)),"")</f>
        <v/>
      </c>
      <c r="Z135" s="45">
        <f>IFERROR(IF($A135="","",($X135+$Y135)*IF($L135="",'Assumptions'!$B$13,$L135)),"")</f>
        <v/>
      </c>
      <c r="AA135" s="45">
        <f>IFERROR(IF($A135="","",$X135+$Y135+$Z135),"")</f>
        <v/>
      </c>
      <c r="AB135" s="45">
        <f>IFERROR(IF($A135="","",$V135*'Assumptions'!$B$5),"")</f>
        <v/>
      </c>
      <c r="AC135" s="45">
        <f>IFERROR(IF($A135="","",$I135*'Assumptions'!$B$6),"")</f>
        <v/>
      </c>
      <c r="AD135" s="45">
        <f>IFERROR(IF($A135="","",$AB135+$AC135),"")</f>
        <v/>
      </c>
      <c r="AE135" s="45">
        <f>IFERROR(IF($A135="","",($M135+$N135)*'Assumptions'!$B$7),"")</f>
        <v/>
      </c>
      <c r="AF135" s="45">
        <f>IFERROR(IF($A135="","",($Q135/60)*'Assumptions'!$B$8),"")</f>
        <v/>
      </c>
      <c r="AG135" s="45">
        <f>IFERROR(IF($A135="","",$P135+$AE135+$AF135),"")</f>
        <v/>
      </c>
      <c r="AH135" s="45">
        <f>IFERROR(IF($A135="","",$M135+$O135),"")</f>
        <v/>
      </c>
      <c r="AI135" s="46">
        <f>IFERROR(IF($A135="","",IFERROR($AH135/$W135,0)),"")</f>
        <v/>
      </c>
      <c r="AJ135" s="45">
        <f>IFERROR(IF($A135="","",$W135-$AH135-$AD135+$AG135),"")</f>
        <v/>
      </c>
      <c r="AK135" s="47">
        <f>IFERROR(IF($A135="","",IF(OR($S135="Collected",$S135="Waived",$S135="Uncollectible",$S135="No Charge Due"),"",IF($T135="",$B135+'Assumptions'!$B$9,$T135+'Assumptions'!$B$9))),"")</f>
        <v/>
      </c>
      <c r="AL135" s="48">
        <f>IFERROR(IF($A135="","",IF(OR($S135="Collected",$S135="Waived",$S135="Uncollectible",$S135="No Charge Due"),"Closed",IF($AK135&lt;TODAY(),"Overdue",IF($AK135=TODAY(),"Due","Open")))),"")</f>
        <v/>
      </c>
      <c r="AM135" s="49">
        <f>IFERROR(IF($A135="","",IF(COUNTIF($A$5:$A$504,$A135)&gt;1,"Duplicate reservation ID",IF($C135&lt;=$B135,"Check stay dates",IF($G135&gt;$F135,"Resold nights exceed booked nights",IF($M135+$N135&gt;$AA135+0.01,"Collection exceeds expected amount",IF(AND($S135="Collected",$M135=0),"Collected status has no amount",IF($AJ135&gt;='Assumptions'!$B$10,"High-cost review","OK"))))))),"")</f>
        <v/>
      </c>
    </row>
    <row r="136">
      <c r="A136" s="38" t="n"/>
      <c r="B136" s="39" t="n"/>
      <c r="C136" s="39" t="n"/>
      <c r="D136" s="38" t="n"/>
      <c r="E136" s="38" t="n"/>
      <c r="F136" s="40" t="n"/>
      <c r="G136" s="40" t="n"/>
      <c r="H136" s="41" t="n"/>
      <c r="I136" s="41" t="n"/>
      <c r="J136" s="42" t="n"/>
      <c r="K136" s="42" t="n"/>
      <c r="L136" s="42" t="n"/>
      <c r="M136" s="41" t="n"/>
      <c r="N136" s="41" t="n"/>
      <c r="O136" s="41" t="n"/>
      <c r="P136" s="41" t="n"/>
      <c r="Q136" s="40" t="n"/>
      <c r="R136" s="38" t="n"/>
      <c r="S136" s="38" t="n"/>
      <c r="T136" s="39" t="n"/>
      <c r="U136" s="43" t="n"/>
      <c r="V136" s="44">
        <f>IFERROR(IF($A136="","",MAX($F136-$G136,0)),"")</f>
        <v/>
      </c>
      <c r="W136" s="45">
        <f>IFERROR(IF($A136="","",$H136+$I136),"")</f>
        <v/>
      </c>
      <c r="X136" s="45">
        <f>IFERROR(IF($A136="","",$H136*IF($J136="",'Assumptions'!$B$4,$J136)),"")</f>
        <v/>
      </c>
      <c r="Y136" s="45">
        <f>IFERROR(IF($A136="","",$X136*IF($K136="",'Assumptions'!$B$12,$K136)),"")</f>
        <v/>
      </c>
      <c r="Z136" s="45">
        <f>IFERROR(IF($A136="","",($X136+$Y136)*IF($L136="",'Assumptions'!$B$13,$L136)),"")</f>
        <v/>
      </c>
      <c r="AA136" s="45">
        <f>IFERROR(IF($A136="","",$X136+$Y136+$Z136),"")</f>
        <v/>
      </c>
      <c r="AB136" s="45">
        <f>IFERROR(IF($A136="","",$V136*'Assumptions'!$B$5),"")</f>
        <v/>
      </c>
      <c r="AC136" s="45">
        <f>IFERROR(IF($A136="","",$I136*'Assumptions'!$B$6),"")</f>
        <v/>
      </c>
      <c r="AD136" s="45">
        <f>IFERROR(IF($A136="","",$AB136+$AC136),"")</f>
        <v/>
      </c>
      <c r="AE136" s="45">
        <f>IFERROR(IF($A136="","",($M136+$N136)*'Assumptions'!$B$7),"")</f>
        <v/>
      </c>
      <c r="AF136" s="45">
        <f>IFERROR(IF($A136="","",($Q136/60)*'Assumptions'!$B$8),"")</f>
        <v/>
      </c>
      <c r="AG136" s="45">
        <f>IFERROR(IF($A136="","",$P136+$AE136+$AF136),"")</f>
        <v/>
      </c>
      <c r="AH136" s="45">
        <f>IFERROR(IF($A136="","",$M136+$O136),"")</f>
        <v/>
      </c>
      <c r="AI136" s="46">
        <f>IFERROR(IF($A136="","",IFERROR($AH136/$W136,0)),"")</f>
        <v/>
      </c>
      <c r="AJ136" s="45">
        <f>IFERROR(IF($A136="","",$W136-$AH136-$AD136+$AG136),"")</f>
        <v/>
      </c>
      <c r="AK136" s="47">
        <f>IFERROR(IF($A136="","",IF(OR($S136="Collected",$S136="Waived",$S136="Uncollectible",$S136="No Charge Due"),"",IF($T136="",$B136+'Assumptions'!$B$9,$T136+'Assumptions'!$B$9))),"")</f>
        <v/>
      </c>
      <c r="AL136" s="48">
        <f>IFERROR(IF($A136="","",IF(OR($S136="Collected",$S136="Waived",$S136="Uncollectible",$S136="No Charge Due"),"Closed",IF($AK136&lt;TODAY(),"Overdue",IF($AK136=TODAY(),"Due","Open")))),"")</f>
        <v/>
      </c>
      <c r="AM136" s="49">
        <f>IFERROR(IF($A136="","",IF(COUNTIF($A$5:$A$504,$A136)&gt;1,"Duplicate reservation ID",IF($C136&lt;=$B136,"Check stay dates",IF($G136&gt;$F136,"Resold nights exceed booked nights",IF($M136+$N136&gt;$AA136+0.01,"Collection exceeds expected amount",IF(AND($S136="Collected",$M136=0),"Collected status has no amount",IF($AJ136&gt;='Assumptions'!$B$10,"High-cost review","OK"))))))),"")</f>
        <v/>
      </c>
    </row>
    <row r="137">
      <c r="A137" s="38" t="n"/>
      <c r="B137" s="39" t="n"/>
      <c r="C137" s="39" t="n"/>
      <c r="D137" s="38" t="n"/>
      <c r="E137" s="38" t="n"/>
      <c r="F137" s="40" t="n"/>
      <c r="G137" s="40" t="n"/>
      <c r="H137" s="41" t="n"/>
      <c r="I137" s="41" t="n"/>
      <c r="J137" s="42" t="n"/>
      <c r="K137" s="42" t="n"/>
      <c r="L137" s="42" t="n"/>
      <c r="M137" s="41" t="n"/>
      <c r="N137" s="41" t="n"/>
      <c r="O137" s="41" t="n"/>
      <c r="P137" s="41" t="n"/>
      <c r="Q137" s="40" t="n"/>
      <c r="R137" s="38" t="n"/>
      <c r="S137" s="38" t="n"/>
      <c r="T137" s="39" t="n"/>
      <c r="U137" s="43" t="n"/>
      <c r="V137" s="44">
        <f>IFERROR(IF($A137="","",MAX($F137-$G137,0)),"")</f>
        <v/>
      </c>
      <c r="W137" s="45">
        <f>IFERROR(IF($A137="","",$H137+$I137),"")</f>
        <v/>
      </c>
      <c r="X137" s="45">
        <f>IFERROR(IF($A137="","",$H137*IF($J137="",'Assumptions'!$B$4,$J137)),"")</f>
        <v/>
      </c>
      <c r="Y137" s="45">
        <f>IFERROR(IF($A137="","",$X137*IF($K137="",'Assumptions'!$B$12,$K137)),"")</f>
        <v/>
      </c>
      <c r="Z137" s="45">
        <f>IFERROR(IF($A137="","",($X137+$Y137)*IF($L137="",'Assumptions'!$B$13,$L137)),"")</f>
        <v/>
      </c>
      <c r="AA137" s="45">
        <f>IFERROR(IF($A137="","",$X137+$Y137+$Z137),"")</f>
        <v/>
      </c>
      <c r="AB137" s="45">
        <f>IFERROR(IF($A137="","",$V137*'Assumptions'!$B$5),"")</f>
        <v/>
      </c>
      <c r="AC137" s="45">
        <f>IFERROR(IF($A137="","",$I137*'Assumptions'!$B$6),"")</f>
        <v/>
      </c>
      <c r="AD137" s="45">
        <f>IFERROR(IF($A137="","",$AB137+$AC137),"")</f>
        <v/>
      </c>
      <c r="AE137" s="45">
        <f>IFERROR(IF($A137="","",($M137+$N137)*'Assumptions'!$B$7),"")</f>
        <v/>
      </c>
      <c r="AF137" s="45">
        <f>IFERROR(IF($A137="","",($Q137/60)*'Assumptions'!$B$8),"")</f>
        <v/>
      </c>
      <c r="AG137" s="45">
        <f>IFERROR(IF($A137="","",$P137+$AE137+$AF137),"")</f>
        <v/>
      </c>
      <c r="AH137" s="45">
        <f>IFERROR(IF($A137="","",$M137+$O137),"")</f>
        <v/>
      </c>
      <c r="AI137" s="46">
        <f>IFERROR(IF($A137="","",IFERROR($AH137/$W137,0)),"")</f>
        <v/>
      </c>
      <c r="AJ137" s="45">
        <f>IFERROR(IF($A137="","",$W137-$AH137-$AD137+$AG137),"")</f>
        <v/>
      </c>
      <c r="AK137" s="47">
        <f>IFERROR(IF($A137="","",IF(OR($S137="Collected",$S137="Waived",$S137="Uncollectible",$S137="No Charge Due"),"",IF($T137="",$B137+'Assumptions'!$B$9,$T137+'Assumptions'!$B$9))),"")</f>
        <v/>
      </c>
      <c r="AL137" s="48">
        <f>IFERROR(IF($A137="","",IF(OR($S137="Collected",$S137="Waived",$S137="Uncollectible",$S137="No Charge Due"),"Closed",IF($AK137&lt;TODAY(),"Overdue",IF($AK137=TODAY(),"Due","Open")))),"")</f>
        <v/>
      </c>
      <c r="AM137" s="49">
        <f>IFERROR(IF($A137="","",IF(COUNTIF($A$5:$A$504,$A137)&gt;1,"Duplicate reservation ID",IF($C137&lt;=$B137,"Check stay dates",IF($G137&gt;$F137,"Resold nights exceed booked nights",IF($M137+$N137&gt;$AA137+0.01,"Collection exceeds expected amount",IF(AND($S137="Collected",$M137=0),"Collected status has no amount",IF($AJ137&gt;='Assumptions'!$B$10,"High-cost review","OK"))))))),"")</f>
        <v/>
      </c>
    </row>
    <row r="138">
      <c r="A138" s="38" t="n"/>
      <c r="B138" s="39" t="n"/>
      <c r="C138" s="39" t="n"/>
      <c r="D138" s="38" t="n"/>
      <c r="E138" s="38" t="n"/>
      <c r="F138" s="40" t="n"/>
      <c r="G138" s="40" t="n"/>
      <c r="H138" s="41" t="n"/>
      <c r="I138" s="41" t="n"/>
      <c r="J138" s="42" t="n"/>
      <c r="K138" s="42" t="n"/>
      <c r="L138" s="42" t="n"/>
      <c r="M138" s="41" t="n"/>
      <c r="N138" s="41" t="n"/>
      <c r="O138" s="41" t="n"/>
      <c r="P138" s="41" t="n"/>
      <c r="Q138" s="40" t="n"/>
      <c r="R138" s="38" t="n"/>
      <c r="S138" s="38" t="n"/>
      <c r="T138" s="39" t="n"/>
      <c r="U138" s="43" t="n"/>
      <c r="V138" s="44">
        <f>IFERROR(IF($A138="","",MAX($F138-$G138,0)),"")</f>
        <v/>
      </c>
      <c r="W138" s="45">
        <f>IFERROR(IF($A138="","",$H138+$I138),"")</f>
        <v/>
      </c>
      <c r="X138" s="45">
        <f>IFERROR(IF($A138="","",$H138*IF($J138="",'Assumptions'!$B$4,$J138)),"")</f>
        <v/>
      </c>
      <c r="Y138" s="45">
        <f>IFERROR(IF($A138="","",$X138*IF($K138="",'Assumptions'!$B$12,$K138)),"")</f>
        <v/>
      </c>
      <c r="Z138" s="45">
        <f>IFERROR(IF($A138="","",($X138+$Y138)*IF($L138="",'Assumptions'!$B$13,$L138)),"")</f>
        <v/>
      </c>
      <c r="AA138" s="45">
        <f>IFERROR(IF($A138="","",$X138+$Y138+$Z138),"")</f>
        <v/>
      </c>
      <c r="AB138" s="45">
        <f>IFERROR(IF($A138="","",$V138*'Assumptions'!$B$5),"")</f>
        <v/>
      </c>
      <c r="AC138" s="45">
        <f>IFERROR(IF($A138="","",$I138*'Assumptions'!$B$6),"")</f>
        <v/>
      </c>
      <c r="AD138" s="45">
        <f>IFERROR(IF($A138="","",$AB138+$AC138),"")</f>
        <v/>
      </c>
      <c r="AE138" s="45">
        <f>IFERROR(IF($A138="","",($M138+$N138)*'Assumptions'!$B$7),"")</f>
        <v/>
      </c>
      <c r="AF138" s="45">
        <f>IFERROR(IF($A138="","",($Q138/60)*'Assumptions'!$B$8),"")</f>
        <v/>
      </c>
      <c r="AG138" s="45">
        <f>IFERROR(IF($A138="","",$P138+$AE138+$AF138),"")</f>
        <v/>
      </c>
      <c r="AH138" s="45">
        <f>IFERROR(IF($A138="","",$M138+$O138),"")</f>
        <v/>
      </c>
      <c r="AI138" s="46">
        <f>IFERROR(IF($A138="","",IFERROR($AH138/$W138,0)),"")</f>
        <v/>
      </c>
      <c r="AJ138" s="45">
        <f>IFERROR(IF($A138="","",$W138-$AH138-$AD138+$AG138),"")</f>
        <v/>
      </c>
      <c r="AK138" s="47">
        <f>IFERROR(IF($A138="","",IF(OR($S138="Collected",$S138="Waived",$S138="Uncollectible",$S138="No Charge Due"),"",IF($T138="",$B138+'Assumptions'!$B$9,$T138+'Assumptions'!$B$9))),"")</f>
        <v/>
      </c>
      <c r="AL138" s="48">
        <f>IFERROR(IF($A138="","",IF(OR($S138="Collected",$S138="Waived",$S138="Uncollectible",$S138="No Charge Due"),"Closed",IF($AK138&lt;TODAY(),"Overdue",IF($AK138=TODAY(),"Due","Open")))),"")</f>
        <v/>
      </c>
      <c r="AM138" s="49">
        <f>IFERROR(IF($A138="","",IF(COUNTIF($A$5:$A$504,$A138)&gt;1,"Duplicate reservation ID",IF($C138&lt;=$B138,"Check stay dates",IF($G138&gt;$F138,"Resold nights exceed booked nights",IF($M138+$N138&gt;$AA138+0.01,"Collection exceeds expected amount",IF(AND($S138="Collected",$M138=0),"Collected status has no amount",IF($AJ138&gt;='Assumptions'!$B$10,"High-cost review","OK"))))))),"")</f>
        <v/>
      </c>
    </row>
    <row r="139">
      <c r="A139" s="38" t="n"/>
      <c r="B139" s="39" t="n"/>
      <c r="C139" s="39" t="n"/>
      <c r="D139" s="38" t="n"/>
      <c r="E139" s="38" t="n"/>
      <c r="F139" s="40" t="n"/>
      <c r="G139" s="40" t="n"/>
      <c r="H139" s="41" t="n"/>
      <c r="I139" s="41" t="n"/>
      <c r="J139" s="42" t="n"/>
      <c r="K139" s="42" t="n"/>
      <c r="L139" s="42" t="n"/>
      <c r="M139" s="41" t="n"/>
      <c r="N139" s="41" t="n"/>
      <c r="O139" s="41" t="n"/>
      <c r="P139" s="41" t="n"/>
      <c r="Q139" s="40" t="n"/>
      <c r="R139" s="38" t="n"/>
      <c r="S139" s="38" t="n"/>
      <c r="T139" s="39" t="n"/>
      <c r="U139" s="43" t="n"/>
      <c r="V139" s="44">
        <f>IFERROR(IF($A139="","",MAX($F139-$G139,0)),"")</f>
        <v/>
      </c>
      <c r="W139" s="45">
        <f>IFERROR(IF($A139="","",$H139+$I139),"")</f>
        <v/>
      </c>
      <c r="X139" s="45">
        <f>IFERROR(IF($A139="","",$H139*IF($J139="",'Assumptions'!$B$4,$J139)),"")</f>
        <v/>
      </c>
      <c r="Y139" s="45">
        <f>IFERROR(IF($A139="","",$X139*IF($K139="",'Assumptions'!$B$12,$K139)),"")</f>
        <v/>
      </c>
      <c r="Z139" s="45">
        <f>IFERROR(IF($A139="","",($X139+$Y139)*IF($L139="",'Assumptions'!$B$13,$L139)),"")</f>
        <v/>
      </c>
      <c r="AA139" s="45">
        <f>IFERROR(IF($A139="","",$X139+$Y139+$Z139),"")</f>
        <v/>
      </c>
      <c r="AB139" s="45">
        <f>IFERROR(IF($A139="","",$V139*'Assumptions'!$B$5),"")</f>
        <v/>
      </c>
      <c r="AC139" s="45">
        <f>IFERROR(IF($A139="","",$I139*'Assumptions'!$B$6),"")</f>
        <v/>
      </c>
      <c r="AD139" s="45">
        <f>IFERROR(IF($A139="","",$AB139+$AC139),"")</f>
        <v/>
      </c>
      <c r="AE139" s="45">
        <f>IFERROR(IF($A139="","",($M139+$N139)*'Assumptions'!$B$7),"")</f>
        <v/>
      </c>
      <c r="AF139" s="45">
        <f>IFERROR(IF($A139="","",($Q139/60)*'Assumptions'!$B$8),"")</f>
        <v/>
      </c>
      <c r="AG139" s="45">
        <f>IFERROR(IF($A139="","",$P139+$AE139+$AF139),"")</f>
        <v/>
      </c>
      <c r="AH139" s="45">
        <f>IFERROR(IF($A139="","",$M139+$O139),"")</f>
        <v/>
      </c>
      <c r="AI139" s="46">
        <f>IFERROR(IF($A139="","",IFERROR($AH139/$W139,0)),"")</f>
        <v/>
      </c>
      <c r="AJ139" s="45">
        <f>IFERROR(IF($A139="","",$W139-$AH139-$AD139+$AG139),"")</f>
        <v/>
      </c>
      <c r="AK139" s="47">
        <f>IFERROR(IF($A139="","",IF(OR($S139="Collected",$S139="Waived",$S139="Uncollectible",$S139="No Charge Due"),"",IF($T139="",$B139+'Assumptions'!$B$9,$T139+'Assumptions'!$B$9))),"")</f>
        <v/>
      </c>
      <c r="AL139" s="48">
        <f>IFERROR(IF($A139="","",IF(OR($S139="Collected",$S139="Waived",$S139="Uncollectible",$S139="No Charge Due"),"Closed",IF($AK139&lt;TODAY(),"Overdue",IF($AK139=TODAY(),"Due","Open")))),"")</f>
        <v/>
      </c>
      <c r="AM139" s="49">
        <f>IFERROR(IF($A139="","",IF(COUNTIF($A$5:$A$504,$A139)&gt;1,"Duplicate reservation ID",IF($C139&lt;=$B139,"Check stay dates",IF($G139&gt;$F139,"Resold nights exceed booked nights",IF($M139+$N139&gt;$AA139+0.01,"Collection exceeds expected amount",IF(AND($S139="Collected",$M139=0),"Collected status has no amount",IF($AJ139&gt;='Assumptions'!$B$10,"High-cost review","OK"))))))),"")</f>
        <v/>
      </c>
    </row>
    <row r="140">
      <c r="A140" s="38" t="n"/>
      <c r="B140" s="39" t="n"/>
      <c r="C140" s="39" t="n"/>
      <c r="D140" s="38" t="n"/>
      <c r="E140" s="38" t="n"/>
      <c r="F140" s="40" t="n"/>
      <c r="G140" s="40" t="n"/>
      <c r="H140" s="41" t="n"/>
      <c r="I140" s="41" t="n"/>
      <c r="J140" s="42" t="n"/>
      <c r="K140" s="42" t="n"/>
      <c r="L140" s="42" t="n"/>
      <c r="M140" s="41" t="n"/>
      <c r="N140" s="41" t="n"/>
      <c r="O140" s="41" t="n"/>
      <c r="P140" s="41" t="n"/>
      <c r="Q140" s="40" t="n"/>
      <c r="R140" s="38" t="n"/>
      <c r="S140" s="38" t="n"/>
      <c r="T140" s="39" t="n"/>
      <c r="U140" s="43" t="n"/>
      <c r="V140" s="44">
        <f>IFERROR(IF($A140="","",MAX($F140-$G140,0)),"")</f>
        <v/>
      </c>
      <c r="W140" s="45">
        <f>IFERROR(IF($A140="","",$H140+$I140),"")</f>
        <v/>
      </c>
      <c r="X140" s="45">
        <f>IFERROR(IF($A140="","",$H140*IF($J140="",'Assumptions'!$B$4,$J140)),"")</f>
        <v/>
      </c>
      <c r="Y140" s="45">
        <f>IFERROR(IF($A140="","",$X140*IF($K140="",'Assumptions'!$B$12,$K140)),"")</f>
        <v/>
      </c>
      <c r="Z140" s="45">
        <f>IFERROR(IF($A140="","",($X140+$Y140)*IF($L140="",'Assumptions'!$B$13,$L140)),"")</f>
        <v/>
      </c>
      <c r="AA140" s="45">
        <f>IFERROR(IF($A140="","",$X140+$Y140+$Z140),"")</f>
        <v/>
      </c>
      <c r="AB140" s="45">
        <f>IFERROR(IF($A140="","",$V140*'Assumptions'!$B$5),"")</f>
        <v/>
      </c>
      <c r="AC140" s="45">
        <f>IFERROR(IF($A140="","",$I140*'Assumptions'!$B$6),"")</f>
        <v/>
      </c>
      <c r="AD140" s="45">
        <f>IFERROR(IF($A140="","",$AB140+$AC140),"")</f>
        <v/>
      </c>
      <c r="AE140" s="45">
        <f>IFERROR(IF($A140="","",($M140+$N140)*'Assumptions'!$B$7),"")</f>
        <v/>
      </c>
      <c r="AF140" s="45">
        <f>IFERROR(IF($A140="","",($Q140/60)*'Assumptions'!$B$8),"")</f>
        <v/>
      </c>
      <c r="AG140" s="45">
        <f>IFERROR(IF($A140="","",$P140+$AE140+$AF140),"")</f>
        <v/>
      </c>
      <c r="AH140" s="45">
        <f>IFERROR(IF($A140="","",$M140+$O140),"")</f>
        <v/>
      </c>
      <c r="AI140" s="46">
        <f>IFERROR(IF($A140="","",IFERROR($AH140/$W140,0)),"")</f>
        <v/>
      </c>
      <c r="AJ140" s="45">
        <f>IFERROR(IF($A140="","",$W140-$AH140-$AD140+$AG140),"")</f>
        <v/>
      </c>
      <c r="AK140" s="47">
        <f>IFERROR(IF($A140="","",IF(OR($S140="Collected",$S140="Waived",$S140="Uncollectible",$S140="No Charge Due"),"",IF($T140="",$B140+'Assumptions'!$B$9,$T140+'Assumptions'!$B$9))),"")</f>
        <v/>
      </c>
      <c r="AL140" s="48">
        <f>IFERROR(IF($A140="","",IF(OR($S140="Collected",$S140="Waived",$S140="Uncollectible",$S140="No Charge Due"),"Closed",IF($AK140&lt;TODAY(),"Overdue",IF($AK140=TODAY(),"Due","Open")))),"")</f>
        <v/>
      </c>
      <c r="AM140" s="49">
        <f>IFERROR(IF($A140="","",IF(COUNTIF($A$5:$A$504,$A140)&gt;1,"Duplicate reservation ID",IF($C140&lt;=$B140,"Check stay dates",IF($G140&gt;$F140,"Resold nights exceed booked nights",IF($M140+$N140&gt;$AA140+0.01,"Collection exceeds expected amount",IF(AND($S140="Collected",$M140=0),"Collected status has no amount",IF($AJ140&gt;='Assumptions'!$B$10,"High-cost review","OK"))))))),"")</f>
        <v/>
      </c>
    </row>
    <row r="141">
      <c r="A141" s="38" t="n"/>
      <c r="B141" s="39" t="n"/>
      <c r="C141" s="39" t="n"/>
      <c r="D141" s="38" t="n"/>
      <c r="E141" s="38" t="n"/>
      <c r="F141" s="40" t="n"/>
      <c r="G141" s="40" t="n"/>
      <c r="H141" s="41" t="n"/>
      <c r="I141" s="41" t="n"/>
      <c r="J141" s="42" t="n"/>
      <c r="K141" s="42" t="n"/>
      <c r="L141" s="42" t="n"/>
      <c r="M141" s="41" t="n"/>
      <c r="N141" s="41" t="n"/>
      <c r="O141" s="41" t="n"/>
      <c r="P141" s="41" t="n"/>
      <c r="Q141" s="40" t="n"/>
      <c r="R141" s="38" t="n"/>
      <c r="S141" s="38" t="n"/>
      <c r="T141" s="39" t="n"/>
      <c r="U141" s="43" t="n"/>
      <c r="V141" s="44">
        <f>IFERROR(IF($A141="","",MAX($F141-$G141,0)),"")</f>
        <v/>
      </c>
      <c r="W141" s="45">
        <f>IFERROR(IF($A141="","",$H141+$I141),"")</f>
        <v/>
      </c>
      <c r="X141" s="45">
        <f>IFERROR(IF($A141="","",$H141*IF($J141="",'Assumptions'!$B$4,$J141)),"")</f>
        <v/>
      </c>
      <c r="Y141" s="45">
        <f>IFERROR(IF($A141="","",$X141*IF($K141="",'Assumptions'!$B$12,$K141)),"")</f>
        <v/>
      </c>
      <c r="Z141" s="45">
        <f>IFERROR(IF($A141="","",($X141+$Y141)*IF($L141="",'Assumptions'!$B$13,$L141)),"")</f>
        <v/>
      </c>
      <c r="AA141" s="45">
        <f>IFERROR(IF($A141="","",$X141+$Y141+$Z141),"")</f>
        <v/>
      </c>
      <c r="AB141" s="45">
        <f>IFERROR(IF($A141="","",$V141*'Assumptions'!$B$5),"")</f>
        <v/>
      </c>
      <c r="AC141" s="45">
        <f>IFERROR(IF($A141="","",$I141*'Assumptions'!$B$6),"")</f>
        <v/>
      </c>
      <c r="AD141" s="45">
        <f>IFERROR(IF($A141="","",$AB141+$AC141),"")</f>
        <v/>
      </c>
      <c r="AE141" s="45">
        <f>IFERROR(IF($A141="","",($M141+$N141)*'Assumptions'!$B$7),"")</f>
        <v/>
      </c>
      <c r="AF141" s="45">
        <f>IFERROR(IF($A141="","",($Q141/60)*'Assumptions'!$B$8),"")</f>
        <v/>
      </c>
      <c r="AG141" s="45">
        <f>IFERROR(IF($A141="","",$P141+$AE141+$AF141),"")</f>
        <v/>
      </c>
      <c r="AH141" s="45">
        <f>IFERROR(IF($A141="","",$M141+$O141),"")</f>
        <v/>
      </c>
      <c r="AI141" s="46">
        <f>IFERROR(IF($A141="","",IFERROR($AH141/$W141,0)),"")</f>
        <v/>
      </c>
      <c r="AJ141" s="45">
        <f>IFERROR(IF($A141="","",$W141-$AH141-$AD141+$AG141),"")</f>
        <v/>
      </c>
      <c r="AK141" s="47">
        <f>IFERROR(IF($A141="","",IF(OR($S141="Collected",$S141="Waived",$S141="Uncollectible",$S141="No Charge Due"),"",IF($T141="",$B141+'Assumptions'!$B$9,$T141+'Assumptions'!$B$9))),"")</f>
        <v/>
      </c>
      <c r="AL141" s="48">
        <f>IFERROR(IF($A141="","",IF(OR($S141="Collected",$S141="Waived",$S141="Uncollectible",$S141="No Charge Due"),"Closed",IF($AK141&lt;TODAY(),"Overdue",IF($AK141=TODAY(),"Due","Open")))),"")</f>
        <v/>
      </c>
      <c r="AM141" s="49">
        <f>IFERROR(IF($A141="","",IF(COUNTIF($A$5:$A$504,$A141)&gt;1,"Duplicate reservation ID",IF($C141&lt;=$B141,"Check stay dates",IF($G141&gt;$F141,"Resold nights exceed booked nights",IF($M141+$N141&gt;$AA141+0.01,"Collection exceeds expected amount",IF(AND($S141="Collected",$M141=0),"Collected status has no amount",IF($AJ141&gt;='Assumptions'!$B$10,"High-cost review","OK"))))))),"")</f>
        <v/>
      </c>
    </row>
    <row r="142">
      <c r="A142" s="38" t="n"/>
      <c r="B142" s="39" t="n"/>
      <c r="C142" s="39" t="n"/>
      <c r="D142" s="38" t="n"/>
      <c r="E142" s="38" t="n"/>
      <c r="F142" s="40" t="n"/>
      <c r="G142" s="40" t="n"/>
      <c r="H142" s="41" t="n"/>
      <c r="I142" s="41" t="n"/>
      <c r="J142" s="42" t="n"/>
      <c r="K142" s="42" t="n"/>
      <c r="L142" s="42" t="n"/>
      <c r="M142" s="41" t="n"/>
      <c r="N142" s="41" t="n"/>
      <c r="O142" s="41" t="n"/>
      <c r="P142" s="41" t="n"/>
      <c r="Q142" s="40" t="n"/>
      <c r="R142" s="38" t="n"/>
      <c r="S142" s="38" t="n"/>
      <c r="T142" s="39" t="n"/>
      <c r="U142" s="43" t="n"/>
      <c r="V142" s="44">
        <f>IFERROR(IF($A142="","",MAX($F142-$G142,0)),"")</f>
        <v/>
      </c>
      <c r="W142" s="45">
        <f>IFERROR(IF($A142="","",$H142+$I142),"")</f>
        <v/>
      </c>
      <c r="X142" s="45">
        <f>IFERROR(IF($A142="","",$H142*IF($J142="",'Assumptions'!$B$4,$J142)),"")</f>
        <v/>
      </c>
      <c r="Y142" s="45">
        <f>IFERROR(IF($A142="","",$X142*IF($K142="",'Assumptions'!$B$12,$K142)),"")</f>
        <v/>
      </c>
      <c r="Z142" s="45">
        <f>IFERROR(IF($A142="","",($X142+$Y142)*IF($L142="",'Assumptions'!$B$13,$L142)),"")</f>
        <v/>
      </c>
      <c r="AA142" s="45">
        <f>IFERROR(IF($A142="","",$X142+$Y142+$Z142),"")</f>
        <v/>
      </c>
      <c r="AB142" s="45">
        <f>IFERROR(IF($A142="","",$V142*'Assumptions'!$B$5),"")</f>
        <v/>
      </c>
      <c r="AC142" s="45">
        <f>IFERROR(IF($A142="","",$I142*'Assumptions'!$B$6),"")</f>
        <v/>
      </c>
      <c r="AD142" s="45">
        <f>IFERROR(IF($A142="","",$AB142+$AC142),"")</f>
        <v/>
      </c>
      <c r="AE142" s="45">
        <f>IFERROR(IF($A142="","",($M142+$N142)*'Assumptions'!$B$7),"")</f>
        <v/>
      </c>
      <c r="AF142" s="45">
        <f>IFERROR(IF($A142="","",($Q142/60)*'Assumptions'!$B$8),"")</f>
        <v/>
      </c>
      <c r="AG142" s="45">
        <f>IFERROR(IF($A142="","",$P142+$AE142+$AF142),"")</f>
        <v/>
      </c>
      <c r="AH142" s="45">
        <f>IFERROR(IF($A142="","",$M142+$O142),"")</f>
        <v/>
      </c>
      <c r="AI142" s="46">
        <f>IFERROR(IF($A142="","",IFERROR($AH142/$W142,0)),"")</f>
        <v/>
      </c>
      <c r="AJ142" s="45">
        <f>IFERROR(IF($A142="","",$W142-$AH142-$AD142+$AG142),"")</f>
        <v/>
      </c>
      <c r="AK142" s="47">
        <f>IFERROR(IF($A142="","",IF(OR($S142="Collected",$S142="Waived",$S142="Uncollectible",$S142="No Charge Due"),"",IF($T142="",$B142+'Assumptions'!$B$9,$T142+'Assumptions'!$B$9))),"")</f>
        <v/>
      </c>
      <c r="AL142" s="48">
        <f>IFERROR(IF($A142="","",IF(OR($S142="Collected",$S142="Waived",$S142="Uncollectible",$S142="No Charge Due"),"Closed",IF($AK142&lt;TODAY(),"Overdue",IF($AK142=TODAY(),"Due","Open")))),"")</f>
        <v/>
      </c>
      <c r="AM142" s="49">
        <f>IFERROR(IF($A142="","",IF(COUNTIF($A$5:$A$504,$A142)&gt;1,"Duplicate reservation ID",IF($C142&lt;=$B142,"Check stay dates",IF($G142&gt;$F142,"Resold nights exceed booked nights",IF($M142+$N142&gt;$AA142+0.01,"Collection exceeds expected amount",IF(AND($S142="Collected",$M142=0),"Collected status has no amount",IF($AJ142&gt;='Assumptions'!$B$10,"High-cost review","OK"))))))),"")</f>
        <v/>
      </c>
    </row>
    <row r="143">
      <c r="A143" s="38" t="n"/>
      <c r="B143" s="39" t="n"/>
      <c r="C143" s="39" t="n"/>
      <c r="D143" s="38" t="n"/>
      <c r="E143" s="38" t="n"/>
      <c r="F143" s="40" t="n"/>
      <c r="G143" s="40" t="n"/>
      <c r="H143" s="41" t="n"/>
      <c r="I143" s="41" t="n"/>
      <c r="J143" s="42" t="n"/>
      <c r="K143" s="42" t="n"/>
      <c r="L143" s="42" t="n"/>
      <c r="M143" s="41" t="n"/>
      <c r="N143" s="41" t="n"/>
      <c r="O143" s="41" t="n"/>
      <c r="P143" s="41" t="n"/>
      <c r="Q143" s="40" t="n"/>
      <c r="R143" s="38" t="n"/>
      <c r="S143" s="38" t="n"/>
      <c r="T143" s="39" t="n"/>
      <c r="U143" s="43" t="n"/>
      <c r="V143" s="44">
        <f>IFERROR(IF($A143="","",MAX($F143-$G143,0)),"")</f>
        <v/>
      </c>
      <c r="W143" s="45">
        <f>IFERROR(IF($A143="","",$H143+$I143),"")</f>
        <v/>
      </c>
      <c r="X143" s="45">
        <f>IFERROR(IF($A143="","",$H143*IF($J143="",'Assumptions'!$B$4,$J143)),"")</f>
        <v/>
      </c>
      <c r="Y143" s="45">
        <f>IFERROR(IF($A143="","",$X143*IF($K143="",'Assumptions'!$B$12,$K143)),"")</f>
        <v/>
      </c>
      <c r="Z143" s="45">
        <f>IFERROR(IF($A143="","",($X143+$Y143)*IF($L143="",'Assumptions'!$B$13,$L143)),"")</f>
        <v/>
      </c>
      <c r="AA143" s="45">
        <f>IFERROR(IF($A143="","",$X143+$Y143+$Z143),"")</f>
        <v/>
      </c>
      <c r="AB143" s="45">
        <f>IFERROR(IF($A143="","",$V143*'Assumptions'!$B$5),"")</f>
        <v/>
      </c>
      <c r="AC143" s="45">
        <f>IFERROR(IF($A143="","",$I143*'Assumptions'!$B$6),"")</f>
        <v/>
      </c>
      <c r="AD143" s="45">
        <f>IFERROR(IF($A143="","",$AB143+$AC143),"")</f>
        <v/>
      </c>
      <c r="AE143" s="45">
        <f>IFERROR(IF($A143="","",($M143+$N143)*'Assumptions'!$B$7),"")</f>
        <v/>
      </c>
      <c r="AF143" s="45">
        <f>IFERROR(IF($A143="","",($Q143/60)*'Assumptions'!$B$8),"")</f>
        <v/>
      </c>
      <c r="AG143" s="45">
        <f>IFERROR(IF($A143="","",$P143+$AE143+$AF143),"")</f>
        <v/>
      </c>
      <c r="AH143" s="45">
        <f>IFERROR(IF($A143="","",$M143+$O143),"")</f>
        <v/>
      </c>
      <c r="AI143" s="46">
        <f>IFERROR(IF($A143="","",IFERROR($AH143/$W143,0)),"")</f>
        <v/>
      </c>
      <c r="AJ143" s="45">
        <f>IFERROR(IF($A143="","",$W143-$AH143-$AD143+$AG143),"")</f>
        <v/>
      </c>
      <c r="AK143" s="47">
        <f>IFERROR(IF($A143="","",IF(OR($S143="Collected",$S143="Waived",$S143="Uncollectible",$S143="No Charge Due"),"",IF($T143="",$B143+'Assumptions'!$B$9,$T143+'Assumptions'!$B$9))),"")</f>
        <v/>
      </c>
      <c r="AL143" s="48">
        <f>IFERROR(IF($A143="","",IF(OR($S143="Collected",$S143="Waived",$S143="Uncollectible",$S143="No Charge Due"),"Closed",IF($AK143&lt;TODAY(),"Overdue",IF($AK143=TODAY(),"Due","Open")))),"")</f>
        <v/>
      </c>
      <c r="AM143" s="49">
        <f>IFERROR(IF($A143="","",IF(COUNTIF($A$5:$A$504,$A143)&gt;1,"Duplicate reservation ID",IF($C143&lt;=$B143,"Check stay dates",IF($G143&gt;$F143,"Resold nights exceed booked nights",IF($M143+$N143&gt;$AA143+0.01,"Collection exceeds expected amount",IF(AND($S143="Collected",$M143=0),"Collected status has no amount",IF($AJ143&gt;='Assumptions'!$B$10,"High-cost review","OK"))))))),"")</f>
        <v/>
      </c>
    </row>
    <row r="144">
      <c r="A144" s="38" t="n"/>
      <c r="B144" s="39" t="n"/>
      <c r="C144" s="39" t="n"/>
      <c r="D144" s="38" t="n"/>
      <c r="E144" s="38" t="n"/>
      <c r="F144" s="40" t="n"/>
      <c r="G144" s="40" t="n"/>
      <c r="H144" s="41" t="n"/>
      <c r="I144" s="41" t="n"/>
      <c r="J144" s="42" t="n"/>
      <c r="K144" s="42" t="n"/>
      <c r="L144" s="42" t="n"/>
      <c r="M144" s="41" t="n"/>
      <c r="N144" s="41" t="n"/>
      <c r="O144" s="41" t="n"/>
      <c r="P144" s="41" t="n"/>
      <c r="Q144" s="40" t="n"/>
      <c r="R144" s="38" t="n"/>
      <c r="S144" s="38" t="n"/>
      <c r="T144" s="39" t="n"/>
      <c r="U144" s="43" t="n"/>
      <c r="V144" s="44">
        <f>IFERROR(IF($A144="","",MAX($F144-$G144,0)),"")</f>
        <v/>
      </c>
      <c r="W144" s="45">
        <f>IFERROR(IF($A144="","",$H144+$I144),"")</f>
        <v/>
      </c>
      <c r="X144" s="45">
        <f>IFERROR(IF($A144="","",$H144*IF($J144="",'Assumptions'!$B$4,$J144)),"")</f>
        <v/>
      </c>
      <c r="Y144" s="45">
        <f>IFERROR(IF($A144="","",$X144*IF($K144="",'Assumptions'!$B$12,$K144)),"")</f>
        <v/>
      </c>
      <c r="Z144" s="45">
        <f>IFERROR(IF($A144="","",($X144+$Y144)*IF($L144="",'Assumptions'!$B$13,$L144)),"")</f>
        <v/>
      </c>
      <c r="AA144" s="45">
        <f>IFERROR(IF($A144="","",$X144+$Y144+$Z144),"")</f>
        <v/>
      </c>
      <c r="AB144" s="45">
        <f>IFERROR(IF($A144="","",$V144*'Assumptions'!$B$5),"")</f>
        <v/>
      </c>
      <c r="AC144" s="45">
        <f>IFERROR(IF($A144="","",$I144*'Assumptions'!$B$6),"")</f>
        <v/>
      </c>
      <c r="AD144" s="45">
        <f>IFERROR(IF($A144="","",$AB144+$AC144),"")</f>
        <v/>
      </c>
      <c r="AE144" s="45">
        <f>IFERROR(IF($A144="","",($M144+$N144)*'Assumptions'!$B$7),"")</f>
        <v/>
      </c>
      <c r="AF144" s="45">
        <f>IFERROR(IF($A144="","",($Q144/60)*'Assumptions'!$B$8),"")</f>
        <v/>
      </c>
      <c r="AG144" s="45">
        <f>IFERROR(IF($A144="","",$P144+$AE144+$AF144),"")</f>
        <v/>
      </c>
      <c r="AH144" s="45">
        <f>IFERROR(IF($A144="","",$M144+$O144),"")</f>
        <v/>
      </c>
      <c r="AI144" s="46">
        <f>IFERROR(IF($A144="","",IFERROR($AH144/$W144,0)),"")</f>
        <v/>
      </c>
      <c r="AJ144" s="45">
        <f>IFERROR(IF($A144="","",$W144-$AH144-$AD144+$AG144),"")</f>
        <v/>
      </c>
      <c r="AK144" s="47">
        <f>IFERROR(IF($A144="","",IF(OR($S144="Collected",$S144="Waived",$S144="Uncollectible",$S144="No Charge Due"),"",IF($T144="",$B144+'Assumptions'!$B$9,$T144+'Assumptions'!$B$9))),"")</f>
        <v/>
      </c>
      <c r="AL144" s="48">
        <f>IFERROR(IF($A144="","",IF(OR($S144="Collected",$S144="Waived",$S144="Uncollectible",$S144="No Charge Due"),"Closed",IF($AK144&lt;TODAY(),"Overdue",IF($AK144=TODAY(),"Due","Open")))),"")</f>
        <v/>
      </c>
      <c r="AM144" s="49">
        <f>IFERROR(IF($A144="","",IF(COUNTIF($A$5:$A$504,$A144)&gt;1,"Duplicate reservation ID",IF($C144&lt;=$B144,"Check stay dates",IF($G144&gt;$F144,"Resold nights exceed booked nights",IF($M144+$N144&gt;$AA144+0.01,"Collection exceeds expected amount",IF(AND($S144="Collected",$M144=0),"Collected status has no amount",IF($AJ144&gt;='Assumptions'!$B$10,"High-cost review","OK"))))))),"")</f>
        <v/>
      </c>
    </row>
    <row r="145">
      <c r="A145" s="38" t="n"/>
      <c r="B145" s="39" t="n"/>
      <c r="C145" s="39" t="n"/>
      <c r="D145" s="38" t="n"/>
      <c r="E145" s="38" t="n"/>
      <c r="F145" s="40" t="n"/>
      <c r="G145" s="40" t="n"/>
      <c r="H145" s="41" t="n"/>
      <c r="I145" s="41" t="n"/>
      <c r="J145" s="42" t="n"/>
      <c r="K145" s="42" t="n"/>
      <c r="L145" s="42" t="n"/>
      <c r="M145" s="41" t="n"/>
      <c r="N145" s="41" t="n"/>
      <c r="O145" s="41" t="n"/>
      <c r="P145" s="41" t="n"/>
      <c r="Q145" s="40" t="n"/>
      <c r="R145" s="38" t="n"/>
      <c r="S145" s="38" t="n"/>
      <c r="T145" s="39" t="n"/>
      <c r="U145" s="43" t="n"/>
      <c r="V145" s="44">
        <f>IFERROR(IF($A145="","",MAX($F145-$G145,0)),"")</f>
        <v/>
      </c>
      <c r="W145" s="45">
        <f>IFERROR(IF($A145="","",$H145+$I145),"")</f>
        <v/>
      </c>
      <c r="X145" s="45">
        <f>IFERROR(IF($A145="","",$H145*IF($J145="",'Assumptions'!$B$4,$J145)),"")</f>
        <v/>
      </c>
      <c r="Y145" s="45">
        <f>IFERROR(IF($A145="","",$X145*IF($K145="",'Assumptions'!$B$12,$K145)),"")</f>
        <v/>
      </c>
      <c r="Z145" s="45">
        <f>IFERROR(IF($A145="","",($X145+$Y145)*IF($L145="",'Assumptions'!$B$13,$L145)),"")</f>
        <v/>
      </c>
      <c r="AA145" s="45">
        <f>IFERROR(IF($A145="","",$X145+$Y145+$Z145),"")</f>
        <v/>
      </c>
      <c r="AB145" s="45">
        <f>IFERROR(IF($A145="","",$V145*'Assumptions'!$B$5),"")</f>
        <v/>
      </c>
      <c r="AC145" s="45">
        <f>IFERROR(IF($A145="","",$I145*'Assumptions'!$B$6),"")</f>
        <v/>
      </c>
      <c r="AD145" s="45">
        <f>IFERROR(IF($A145="","",$AB145+$AC145),"")</f>
        <v/>
      </c>
      <c r="AE145" s="45">
        <f>IFERROR(IF($A145="","",($M145+$N145)*'Assumptions'!$B$7),"")</f>
        <v/>
      </c>
      <c r="AF145" s="45">
        <f>IFERROR(IF($A145="","",($Q145/60)*'Assumptions'!$B$8),"")</f>
        <v/>
      </c>
      <c r="AG145" s="45">
        <f>IFERROR(IF($A145="","",$P145+$AE145+$AF145),"")</f>
        <v/>
      </c>
      <c r="AH145" s="45">
        <f>IFERROR(IF($A145="","",$M145+$O145),"")</f>
        <v/>
      </c>
      <c r="AI145" s="46">
        <f>IFERROR(IF($A145="","",IFERROR($AH145/$W145,0)),"")</f>
        <v/>
      </c>
      <c r="AJ145" s="45">
        <f>IFERROR(IF($A145="","",$W145-$AH145-$AD145+$AG145),"")</f>
        <v/>
      </c>
      <c r="AK145" s="47">
        <f>IFERROR(IF($A145="","",IF(OR($S145="Collected",$S145="Waived",$S145="Uncollectible",$S145="No Charge Due"),"",IF($T145="",$B145+'Assumptions'!$B$9,$T145+'Assumptions'!$B$9))),"")</f>
        <v/>
      </c>
      <c r="AL145" s="48">
        <f>IFERROR(IF($A145="","",IF(OR($S145="Collected",$S145="Waived",$S145="Uncollectible",$S145="No Charge Due"),"Closed",IF($AK145&lt;TODAY(),"Overdue",IF($AK145=TODAY(),"Due","Open")))),"")</f>
        <v/>
      </c>
      <c r="AM145" s="49">
        <f>IFERROR(IF($A145="","",IF(COUNTIF($A$5:$A$504,$A145)&gt;1,"Duplicate reservation ID",IF($C145&lt;=$B145,"Check stay dates",IF($G145&gt;$F145,"Resold nights exceed booked nights",IF($M145+$N145&gt;$AA145+0.01,"Collection exceeds expected amount",IF(AND($S145="Collected",$M145=0),"Collected status has no amount",IF($AJ145&gt;='Assumptions'!$B$10,"High-cost review","OK"))))))),"")</f>
        <v/>
      </c>
    </row>
    <row r="146">
      <c r="A146" s="38" t="n"/>
      <c r="B146" s="39" t="n"/>
      <c r="C146" s="39" t="n"/>
      <c r="D146" s="38" t="n"/>
      <c r="E146" s="38" t="n"/>
      <c r="F146" s="40" t="n"/>
      <c r="G146" s="40" t="n"/>
      <c r="H146" s="41" t="n"/>
      <c r="I146" s="41" t="n"/>
      <c r="J146" s="42" t="n"/>
      <c r="K146" s="42" t="n"/>
      <c r="L146" s="42" t="n"/>
      <c r="M146" s="41" t="n"/>
      <c r="N146" s="41" t="n"/>
      <c r="O146" s="41" t="n"/>
      <c r="P146" s="41" t="n"/>
      <c r="Q146" s="40" t="n"/>
      <c r="R146" s="38" t="n"/>
      <c r="S146" s="38" t="n"/>
      <c r="T146" s="39" t="n"/>
      <c r="U146" s="43" t="n"/>
      <c r="V146" s="44">
        <f>IFERROR(IF($A146="","",MAX($F146-$G146,0)),"")</f>
        <v/>
      </c>
      <c r="W146" s="45">
        <f>IFERROR(IF($A146="","",$H146+$I146),"")</f>
        <v/>
      </c>
      <c r="X146" s="45">
        <f>IFERROR(IF($A146="","",$H146*IF($J146="",'Assumptions'!$B$4,$J146)),"")</f>
        <v/>
      </c>
      <c r="Y146" s="45">
        <f>IFERROR(IF($A146="","",$X146*IF($K146="",'Assumptions'!$B$12,$K146)),"")</f>
        <v/>
      </c>
      <c r="Z146" s="45">
        <f>IFERROR(IF($A146="","",($X146+$Y146)*IF($L146="",'Assumptions'!$B$13,$L146)),"")</f>
        <v/>
      </c>
      <c r="AA146" s="45">
        <f>IFERROR(IF($A146="","",$X146+$Y146+$Z146),"")</f>
        <v/>
      </c>
      <c r="AB146" s="45">
        <f>IFERROR(IF($A146="","",$V146*'Assumptions'!$B$5),"")</f>
        <v/>
      </c>
      <c r="AC146" s="45">
        <f>IFERROR(IF($A146="","",$I146*'Assumptions'!$B$6),"")</f>
        <v/>
      </c>
      <c r="AD146" s="45">
        <f>IFERROR(IF($A146="","",$AB146+$AC146),"")</f>
        <v/>
      </c>
      <c r="AE146" s="45">
        <f>IFERROR(IF($A146="","",($M146+$N146)*'Assumptions'!$B$7),"")</f>
        <v/>
      </c>
      <c r="AF146" s="45">
        <f>IFERROR(IF($A146="","",($Q146/60)*'Assumptions'!$B$8),"")</f>
        <v/>
      </c>
      <c r="AG146" s="45">
        <f>IFERROR(IF($A146="","",$P146+$AE146+$AF146),"")</f>
        <v/>
      </c>
      <c r="AH146" s="45">
        <f>IFERROR(IF($A146="","",$M146+$O146),"")</f>
        <v/>
      </c>
      <c r="AI146" s="46">
        <f>IFERROR(IF($A146="","",IFERROR($AH146/$W146,0)),"")</f>
        <v/>
      </c>
      <c r="AJ146" s="45">
        <f>IFERROR(IF($A146="","",$W146-$AH146-$AD146+$AG146),"")</f>
        <v/>
      </c>
      <c r="AK146" s="47">
        <f>IFERROR(IF($A146="","",IF(OR($S146="Collected",$S146="Waived",$S146="Uncollectible",$S146="No Charge Due"),"",IF($T146="",$B146+'Assumptions'!$B$9,$T146+'Assumptions'!$B$9))),"")</f>
        <v/>
      </c>
      <c r="AL146" s="48">
        <f>IFERROR(IF($A146="","",IF(OR($S146="Collected",$S146="Waived",$S146="Uncollectible",$S146="No Charge Due"),"Closed",IF($AK146&lt;TODAY(),"Overdue",IF($AK146=TODAY(),"Due","Open")))),"")</f>
        <v/>
      </c>
      <c r="AM146" s="49">
        <f>IFERROR(IF($A146="","",IF(COUNTIF($A$5:$A$504,$A146)&gt;1,"Duplicate reservation ID",IF($C146&lt;=$B146,"Check stay dates",IF($G146&gt;$F146,"Resold nights exceed booked nights",IF($M146+$N146&gt;$AA146+0.01,"Collection exceeds expected amount",IF(AND($S146="Collected",$M146=0),"Collected status has no amount",IF($AJ146&gt;='Assumptions'!$B$10,"High-cost review","OK"))))))),"")</f>
        <v/>
      </c>
    </row>
    <row r="147">
      <c r="A147" s="38" t="n"/>
      <c r="B147" s="39" t="n"/>
      <c r="C147" s="39" t="n"/>
      <c r="D147" s="38" t="n"/>
      <c r="E147" s="38" t="n"/>
      <c r="F147" s="40" t="n"/>
      <c r="G147" s="40" t="n"/>
      <c r="H147" s="41" t="n"/>
      <c r="I147" s="41" t="n"/>
      <c r="J147" s="42" t="n"/>
      <c r="K147" s="42" t="n"/>
      <c r="L147" s="42" t="n"/>
      <c r="M147" s="41" t="n"/>
      <c r="N147" s="41" t="n"/>
      <c r="O147" s="41" t="n"/>
      <c r="P147" s="41" t="n"/>
      <c r="Q147" s="40" t="n"/>
      <c r="R147" s="38" t="n"/>
      <c r="S147" s="38" t="n"/>
      <c r="T147" s="39" t="n"/>
      <c r="U147" s="43" t="n"/>
      <c r="V147" s="44">
        <f>IFERROR(IF($A147="","",MAX($F147-$G147,0)),"")</f>
        <v/>
      </c>
      <c r="W147" s="45">
        <f>IFERROR(IF($A147="","",$H147+$I147),"")</f>
        <v/>
      </c>
      <c r="X147" s="45">
        <f>IFERROR(IF($A147="","",$H147*IF($J147="",'Assumptions'!$B$4,$J147)),"")</f>
        <v/>
      </c>
      <c r="Y147" s="45">
        <f>IFERROR(IF($A147="","",$X147*IF($K147="",'Assumptions'!$B$12,$K147)),"")</f>
        <v/>
      </c>
      <c r="Z147" s="45">
        <f>IFERROR(IF($A147="","",($X147+$Y147)*IF($L147="",'Assumptions'!$B$13,$L147)),"")</f>
        <v/>
      </c>
      <c r="AA147" s="45">
        <f>IFERROR(IF($A147="","",$X147+$Y147+$Z147),"")</f>
        <v/>
      </c>
      <c r="AB147" s="45">
        <f>IFERROR(IF($A147="","",$V147*'Assumptions'!$B$5),"")</f>
        <v/>
      </c>
      <c r="AC147" s="45">
        <f>IFERROR(IF($A147="","",$I147*'Assumptions'!$B$6),"")</f>
        <v/>
      </c>
      <c r="AD147" s="45">
        <f>IFERROR(IF($A147="","",$AB147+$AC147),"")</f>
        <v/>
      </c>
      <c r="AE147" s="45">
        <f>IFERROR(IF($A147="","",($M147+$N147)*'Assumptions'!$B$7),"")</f>
        <v/>
      </c>
      <c r="AF147" s="45">
        <f>IFERROR(IF($A147="","",($Q147/60)*'Assumptions'!$B$8),"")</f>
        <v/>
      </c>
      <c r="AG147" s="45">
        <f>IFERROR(IF($A147="","",$P147+$AE147+$AF147),"")</f>
        <v/>
      </c>
      <c r="AH147" s="45">
        <f>IFERROR(IF($A147="","",$M147+$O147),"")</f>
        <v/>
      </c>
      <c r="AI147" s="46">
        <f>IFERROR(IF($A147="","",IFERROR($AH147/$W147,0)),"")</f>
        <v/>
      </c>
      <c r="AJ147" s="45">
        <f>IFERROR(IF($A147="","",$W147-$AH147-$AD147+$AG147),"")</f>
        <v/>
      </c>
      <c r="AK147" s="47">
        <f>IFERROR(IF($A147="","",IF(OR($S147="Collected",$S147="Waived",$S147="Uncollectible",$S147="No Charge Due"),"",IF($T147="",$B147+'Assumptions'!$B$9,$T147+'Assumptions'!$B$9))),"")</f>
        <v/>
      </c>
      <c r="AL147" s="48">
        <f>IFERROR(IF($A147="","",IF(OR($S147="Collected",$S147="Waived",$S147="Uncollectible",$S147="No Charge Due"),"Closed",IF($AK147&lt;TODAY(),"Overdue",IF($AK147=TODAY(),"Due","Open")))),"")</f>
        <v/>
      </c>
      <c r="AM147" s="49">
        <f>IFERROR(IF($A147="","",IF(COUNTIF($A$5:$A$504,$A147)&gt;1,"Duplicate reservation ID",IF($C147&lt;=$B147,"Check stay dates",IF($G147&gt;$F147,"Resold nights exceed booked nights",IF($M147+$N147&gt;$AA147+0.01,"Collection exceeds expected amount",IF(AND($S147="Collected",$M147=0),"Collected status has no amount",IF($AJ147&gt;='Assumptions'!$B$10,"High-cost review","OK"))))))),"")</f>
        <v/>
      </c>
    </row>
    <row r="148">
      <c r="A148" s="38" t="n"/>
      <c r="B148" s="39" t="n"/>
      <c r="C148" s="39" t="n"/>
      <c r="D148" s="38" t="n"/>
      <c r="E148" s="38" t="n"/>
      <c r="F148" s="40" t="n"/>
      <c r="G148" s="40" t="n"/>
      <c r="H148" s="41" t="n"/>
      <c r="I148" s="41" t="n"/>
      <c r="J148" s="42" t="n"/>
      <c r="K148" s="42" t="n"/>
      <c r="L148" s="42" t="n"/>
      <c r="M148" s="41" t="n"/>
      <c r="N148" s="41" t="n"/>
      <c r="O148" s="41" t="n"/>
      <c r="P148" s="41" t="n"/>
      <c r="Q148" s="40" t="n"/>
      <c r="R148" s="38" t="n"/>
      <c r="S148" s="38" t="n"/>
      <c r="T148" s="39" t="n"/>
      <c r="U148" s="43" t="n"/>
      <c r="V148" s="44">
        <f>IFERROR(IF($A148="","",MAX($F148-$G148,0)),"")</f>
        <v/>
      </c>
      <c r="W148" s="45">
        <f>IFERROR(IF($A148="","",$H148+$I148),"")</f>
        <v/>
      </c>
      <c r="X148" s="45">
        <f>IFERROR(IF($A148="","",$H148*IF($J148="",'Assumptions'!$B$4,$J148)),"")</f>
        <v/>
      </c>
      <c r="Y148" s="45">
        <f>IFERROR(IF($A148="","",$X148*IF($K148="",'Assumptions'!$B$12,$K148)),"")</f>
        <v/>
      </c>
      <c r="Z148" s="45">
        <f>IFERROR(IF($A148="","",($X148+$Y148)*IF($L148="",'Assumptions'!$B$13,$L148)),"")</f>
        <v/>
      </c>
      <c r="AA148" s="45">
        <f>IFERROR(IF($A148="","",$X148+$Y148+$Z148),"")</f>
        <v/>
      </c>
      <c r="AB148" s="45">
        <f>IFERROR(IF($A148="","",$V148*'Assumptions'!$B$5),"")</f>
        <v/>
      </c>
      <c r="AC148" s="45">
        <f>IFERROR(IF($A148="","",$I148*'Assumptions'!$B$6),"")</f>
        <v/>
      </c>
      <c r="AD148" s="45">
        <f>IFERROR(IF($A148="","",$AB148+$AC148),"")</f>
        <v/>
      </c>
      <c r="AE148" s="45">
        <f>IFERROR(IF($A148="","",($M148+$N148)*'Assumptions'!$B$7),"")</f>
        <v/>
      </c>
      <c r="AF148" s="45">
        <f>IFERROR(IF($A148="","",($Q148/60)*'Assumptions'!$B$8),"")</f>
        <v/>
      </c>
      <c r="AG148" s="45">
        <f>IFERROR(IF($A148="","",$P148+$AE148+$AF148),"")</f>
        <v/>
      </c>
      <c r="AH148" s="45">
        <f>IFERROR(IF($A148="","",$M148+$O148),"")</f>
        <v/>
      </c>
      <c r="AI148" s="46">
        <f>IFERROR(IF($A148="","",IFERROR($AH148/$W148,0)),"")</f>
        <v/>
      </c>
      <c r="AJ148" s="45">
        <f>IFERROR(IF($A148="","",$W148-$AH148-$AD148+$AG148),"")</f>
        <v/>
      </c>
      <c r="AK148" s="47">
        <f>IFERROR(IF($A148="","",IF(OR($S148="Collected",$S148="Waived",$S148="Uncollectible",$S148="No Charge Due"),"",IF($T148="",$B148+'Assumptions'!$B$9,$T148+'Assumptions'!$B$9))),"")</f>
        <v/>
      </c>
      <c r="AL148" s="48">
        <f>IFERROR(IF($A148="","",IF(OR($S148="Collected",$S148="Waived",$S148="Uncollectible",$S148="No Charge Due"),"Closed",IF($AK148&lt;TODAY(),"Overdue",IF($AK148=TODAY(),"Due","Open")))),"")</f>
        <v/>
      </c>
      <c r="AM148" s="49">
        <f>IFERROR(IF($A148="","",IF(COUNTIF($A$5:$A$504,$A148)&gt;1,"Duplicate reservation ID",IF($C148&lt;=$B148,"Check stay dates",IF($G148&gt;$F148,"Resold nights exceed booked nights",IF($M148+$N148&gt;$AA148+0.01,"Collection exceeds expected amount",IF(AND($S148="Collected",$M148=0),"Collected status has no amount",IF($AJ148&gt;='Assumptions'!$B$10,"High-cost review","OK"))))))),"")</f>
        <v/>
      </c>
    </row>
    <row r="149">
      <c r="A149" s="38" t="n"/>
      <c r="B149" s="39" t="n"/>
      <c r="C149" s="39" t="n"/>
      <c r="D149" s="38" t="n"/>
      <c r="E149" s="38" t="n"/>
      <c r="F149" s="40" t="n"/>
      <c r="G149" s="40" t="n"/>
      <c r="H149" s="41" t="n"/>
      <c r="I149" s="41" t="n"/>
      <c r="J149" s="42" t="n"/>
      <c r="K149" s="42" t="n"/>
      <c r="L149" s="42" t="n"/>
      <c r="M149" s="41" t="n"/>
      <c r="N149" s="41" t="n"/>
      <c r="O149" s="41" t="n"/>
      <c r="P149" s="41" t="n"/>
      <c r="Q149" s="40" t="n"/>
      <c r="R149" s="38" t="n"/>
      <c r="S149" s="38" t="n"/>
      <c r="T149" s="39" t="n"/>
      <c r="U149" s="43" t="n"/>
      <c r="V149" s="44">
        <f>IFERROR(IF($A149="","",MAX($F149-$G149,0)),"")</f>
        <v/>
      </c>
      <c r="W149" s="45">
        <f>IFERROR(IF($A149="","",$H149+$I149),"")</f>
        <v/>
      </c>
      <c r="X149" s="45">
        <f>IFERROR(IF($A149="","",$H149*IF($J149="",'Assumptions'!$B$4,$J149)),"")</f>
        <v/>
      </c>
      <c r="Y149" s="45">
        <f>IFERROR(IF($A149="","",$X149*IF($K149="",'Assumptions'!$B$12,$K149)),"")</f>
        <v/>
      </c>
      <c r="Z149" s="45">
        <f>IFERROR(IF($A149="","",($X149+$Y149)*IF($L149="",'Assumptions'!$B$13,$L149)),"")</f>
        <v/>
      </c>
      <c r="AA149" s="45">
        <f>IFERROR(IF($A149="","",$X149+$Y149+$Z149),"")</f>
        <v/>
      </c>
      <c r="AB149" s="45">
        <f>IFERROR(IF($A149="","",$V149*'Assumptions'!$B$5),"")</f>
        <v/>
      </c>
      <c r="AC149" s="45">
        <f>IFERROR(IF($A149="","",$I149*'Assumptions'!$B$6),"")</f>
        <v/>
      </c>
      <c r="AD149" s="45">
        <f>IFERROR(IF($A149="","",$AB149+$AC149),"")</f>
        <v/>
      </c>
      <c r="AE149" s="45">
        <f>IFERROR(IF($A149="","",($M149+$N149)*'Assumptions'!$B$7),"")</f>
        <v/>
      </c>
      <c r="AF149" s="45">
        <f>IFERROR(IF($A149="","",($Q149/60)*'Assumptions'!$B$8),"")</f>
        <v/>
      </c>
      <c r="AG149" s="45">
        <f>IFERROR(IF($A149="","",$P149+$AE149+$AF149),"")</f>
        <v/>
      </c>
      <c r="AH149" s="45">
        <f>IFERROR(IF($A149="","",$M149+$O149),"")</f>
        <v/>
      </c>
      <c r="AI149" s="46">
        <f>IFERROR(IF($A149="","",IFERROR($AH149/$W149,0)),"")</f>
        <v/>
      </c>
      <c r="AJ149" s="45">
        <f>IFERROR(IF($A149="","",$W149-$AH149-$AD149+$AG149),"")</f>
        <v/>
      </c>
      <c r="AK149" s="47">
        <f>IFERROR(IF($A149="","",IF(OR($S149="Collected",$S149="Waived",$S149="Uncollectible",$S149="No Charge Due"),"",IF($T149="",$B149+'Assumptions'!$B$9,$T149+'Assumptions'!$B$9))),"")</f>
        <v/>
      </c>
      <c r="AL149" s="48">
        <f>IFERROR(IF($A149="","",IF(OR($S149="Collected",$S149="Waived",$S149="Uncollectible",$S149="No Charge Due"),"Closed",IF($AK149&lt;TODAY(),"Overdue",IF($AK149=TODAY(),"Due","Open")))),"")</f>
        <v/>
      </c>
      <c r="AM149" s="49">
        <f>IFERROR(IF($A149="","",IF(COUNTIF($A$5:$A$504,$A149)&gt;1,"Duplicate reservation ID",IF($C149&lt;=$B149,"Check stay dates",IF($G149&gt;$F149,"Resold nights exceed booked nights",IF($M149+$N149&gt;$AA149+0.01,"Collection exceeds expected amount",IF(AND($S149="Collected",$M149=0),"Collected status has no amount",IF($AJ149&gt;='Assumptions'!$B$10,"High-cost review","OK"))))))),"")</f>
        <v/>
      </c>
    </row>
    <row r="150">
      <c r="A150" s="38" t="n"/>
      <c r="B150" s="39" t="n"/>
      <c r="C150" s="39" t="n"/>
      <c r="D150" s="38" t="n"/>
      <c r="E150" s="38" t="n"/>
      <c r="F150" s="40" t="n"/>
      <c r="G150" s="40" t="n"/>
      <c r="H150" s="41" t="n"/>
      <c r="I150" s="41" t="n"/>
      <c r="J150" s="42" t="n"/>
      <c r="K150" s="42" t="n"/>
      <c r="L150" s="42" t="n"/>
      <c r="M150" s="41" t="n"/>
      <c r="N150" s="41" t="n"/>
      <c r="O150" s="41" t="n"/>
      <c r="P150" s="41" t="n"/>
      <c r="Q150" s="40" t="n"/>
      <c r="R150" s="38" t="n"/>
      <c r="S150" s="38" t="n"/>
      <c r="T150" s="39" t="n"/>
      <c r="U150" s="43" t="n"/>
      <c r="V150" s="44">
        <f>IFERROR(IF($A150="","",MAX($F150-$G150,0)),"")</f>
        <v/>
      </c>
      <c r="W150" s="45">
        <f>IFERROR(IF($A150="","",$H150+$I150),"")</f>
        <v/>
      </c>
      <c r="X150" s="45">
        <f>IFERROR(IF($A150="","",$H150*IF($J150="",'Assumptions'!$B$4,$J150)),"")</f>
        <v/>
      </c>
      <c r="Y150" s="45">
        <f>IFERROR(IF($A150="","",$X150*IF($K150="",'Assumptions'!$B$12,$K150)),"")</f>
        <v/>
      </c>
      <c r="Z150" s="45">
        <f>IFERROR(IF($A150="","",($X150+$Y150)*IF($L150="",'Assumptions'!$B$13,$L150)),"")</f>
        <v/>
      </c>
      <c r="AA150" s="45">
        <f>IFERROR(IF($A150="","",$X150+$Y150+$Z150),"")</f>
        <v/>
      </c>
      <c r="AB150" s="45">
        <f>IFERROR(IF($A150="","",$V150*'Assumptions'!$B$5),"")</f>
        <v/>
      </c>
      <c r="AC150" s="45">
        <f>IFERROR(IF($A150="","",$I150*'Assumptions'!$B$6),"")</f>
        <v/>
      </c>
      <c r="AD150" s="45">
        <f>IFERROR(IF($A150="","",$AB150+$AC150),"")</f>
        <v/>
      </c>
      <c r="AE150" s="45">
        <f>IFERROR(IF($A150="","",($M150+$N150)*'Assumptions'!$B$7),"")</f>
        <v/>
      </c>
      <c r="AF150" s="45">
        <f>IFERROR(IF($A150="","",($Q150/60)*'Assumptions'!$B$8),"")</f>
        <v/>
      </c>
      <c r="AG150" s="45">
        <f>IFERROR(IF($A150="","",$P150+$AE150+$AF150),"")</f>
        <v/>
      </c>
      <c r="AH150" s="45">
        <f>IFERROR(IF($A150="","",$M150+$O150),"")</f>
        <v/>
      </c>
      <c r="AI150" s="46">
        <f>IFERROR(IF($A150="","",IFERROR($AH150/$W150,0)),"")</f>
        <v/>
      </c>
      <c r="AJ150" s="45">
        <f>IFERROR(IF($A150="","",$W150-$AH150-$AD150+$AG150),"")</f>
        <v/>
      </c>
      <c r="AK150" s="47">
        <f>IFERROR(IF($A150="","",IF(OR($S150="Collected",$S150="Waived",$S150="Uncollectible",$S150="No Charge Due"),"",IF($T150="",$B150+'Assumptions'!$B$9,$T150+'Assumptions'!$B$9))),"")</f>
        <v/>
      </c>
      <c r="AL150" s="48">
        <f>IFERROR(IF($A150="","",IF(OR($S150="Collected",$S150="Waived",$S150="Uncollectible",$S150="No Charge Due"),"Closed",IF($AK150&lt;TODAY(),"Overdue",IF($AK150=TODAY(),"Due","Open")))),"")</f>
        <v/>
      </c>
      <c r="AM150" s="49">
        <f>IFERROR(IF($A150="","",IF(COUNTIF($A$5:$A$504,$A150)&gt;1,"Duplicate reservation ID",IF($C150&lt;=$B150,"Check stay dates",IF($G150&gt;$F150,"Resold nights exceed booked nights",IF($M150+$N150&gt;$AA150+0.01,"Collection exceeds expected amount",IF(AND($S150="Collected",$M150=0),"Collected status has no amount",IF($AJ150&gt;='Assumptions'!$B$10,"High-cost review","OK"))))))),"")</f>
        <v/>
      </c>
    </row>
    <row r="151">
      <c r="A151" s="38" t="n"/>
      <c r="B151" s="39" t="n"/>
      <c r="C151" s="39" t="n"/>
      <c r="D151" s="38" t="n"/>
      <c r="E151" s="38" t="n"/>
      <c r="F151" s="40" t="n"/>
      <c r="G151" s="40" t="n"/>
      <c r="H151" s="41" t="n"/>
      <c r="I151" s="41" t="n"/>
      <c r="J151" s="42" t="n"/>
      <c r="K151" s="42" t="n"/>
      <c r="L151" s="42" t="n"/>
      <c r="M151" s="41" t="n"/>
      <c r="N151" s="41" t="n"/>
      <c r="O151" s="41" t="n"/>
      <c r="P151" s="41" t="n"/>
      <c r="Q151" s="40" t="n"/>
      <c r="R151" s="38" t="n"/>
      <c r="S151" s="38" t="n"/>
      <c r="T151" s="39" t="n"/>
      <c r="U151" s="43" t="n"/>
      <c r="V151" s="44">
        <f>IFERROR(IF($A151="","",MAX($F151-$G151,0)),"")</f>
        <v/>
      </c>
      <c r="W151" s="45">
        <f>IFERROR(IF($A151="","",$H151+$I151),"")</f>
        <v/>
      </c>
      <c r="X151" s="45">
        <f>IFERROR(IF($A151="","",$H151*IF($J151="",'Assumptions'!$B$4,$J151)),"")</f>
        <v/>
      </c>
      <c r="Y151" s="45">
        <f>IFERROR(IF($A151="","",$X151*IF($K151="",'Assumptions'!$B$12,$K151)),"")</f>
        <v/>
      </c>
      <c r="Z151" s="45">
        <f>IFERROR(IF($A151="","",($X151+$Y151)*IF($L151="",'Assumptions'!$B$13,$L151)),"")</f>
        <v/>
      </c>
      <c r="AA151" s="45">
        <f>IFERROR(IF($A151="","",$X151+$Y151+$Z151),"")</f>
        <v/>
      </c>
      <c r="AB151" s="45">
        <f>IFERROR(IF($A151="","",$V151*'Assumptions'!$B$5),"")</f>
        <v/>
      </c>
      <c r="AC151" s="45">
        <f>IFERROR(IF($A151="","",$I151*'Assumptions'!$B$6),"")</f>
        <v/>
      </c>
      <c r="AD151" s="45">
        <f>IFERROR(IF($A151="","",$AB151+$AC151),"")</f>
        <v/>
      </c>
      <c r="AE151" s="45">
        <f>IFERROR(IF($A151="","",($M151+$N151)*'Assumptions'!$B$7),"")</f>
        <v/>
      </c>
      <c r="AF151" s="45">
        <f>IFERROR(IF($A151="","",($Q151/60)*'Assumptions'!$B$8),"")</f>
        <v/>
      </c>
      <c r="AG151" s="45">
        <f>IFERROR(IF($A151="","",$P151+$AE151+$AF151),"")</f>
        <v/>
      </c>
      <c r="AH151" s="45">
        <f>IFERROR(IF($A151="","",$M151+$O151),"")</f>
        <v/>
      </c>
      <c r="AI151" s="46">
        <f>IFERROR(IF($A151="","",IFERROR($AH151/$W151,0)),"")</f>
        <v/>
      </c>
      <c r="AJ151" s="45">
        <f>IFERROR(IF($A151="","",$W151-$AH151-$AD151+$AG151),"")</f>
        <v/>
      </c>
      <c r="AK151" s="47">
        <f>IFERROR(IF($A151="","",IF(OR($S151="Collected",$S151="Waived",$S151="Uncollectible",$S151="No Charge Due"),"",IF($T151="",$B151+'Assumptions'!$B$9,$T151+'Assumptions'!$B$9))),"")</f>
        <v/>
      </c>
      <c r="AL151" s="48">
        <f>IFERROR(IF($A151="","",IF(OR($S151="Collected",$S151="Waived",$S151="Uncollectible",$S151="No Charge Due"),"Closed",IF($AK151&lt;TODAY(),"Overdue",IF($AK151=TODAY(),"Due","Open")))),"")</f>
        <v/>
      </c>
      <c r="AM151" s="49">
        <f>IFERROR(IF($A151="","",IF(COUNTIF($A$5:$A$504,$A151)&gt;1,"Duplicate reservation ID",IF($C151&lt;=$B151,"Check stay dates",IF($G151&gt;$F151,"Resold nights exceed booked nights",IF($M151+$N151&gt;$AA151+0.01,"Collection exceeds expected amount",IF(AND($S151="Collected",$M151=0),"Collected status has no amount",IF($AJ151&gt;='Assumptions'!$B$10,"High-cost review","OK"))))))),"")</f>
        <v/>
      </c>
    </row>
    <row r="152">
      <c r="A152" s="38" t="n"/>
      <c r="B152" s="39" t="n"/>
      <c r="C152" s="39" t="n"/>
      <c r="D152" s="38" t="n"/>
      <c r="E152" s="38" t="n"/>
      <c r="F152" s="40" t="n"/>
      <c r="G152" s="40" t="n"/>
      <c r="H152" s="41" t="n"/>
      <c r="I152" s="41" t="n"/>
      <c r="J152" s="42" t="n"/>
      <c r="K152" s="42" t="n"/>
      <c r="L152" s="42" t="n"/>
      <c r="M152" s="41" t="n"/>
      <c r="N152" s="41" t="n"/>
      <c r="O152" s="41" t="n"/>
      <c r="P152" s="41" t="n"/>
      <c r="Q152" s="40" t="n"/>
      <c r="R152" s="38" t="n"/>
      <c r="S152" s="38" t="n"/>
      <c r="T152" s="39" t="n"/>
      <c r="U152" s="43" t="n"/>
      <c r="V152" s="44">
        <f>IFERROR(IF($A152="","",MAX($F152-$G152,0)),"")</f>
        <v/>
      </c>
      <c r="W152" s="45">
        <f>IFERROR(IF($A152="","",$H152+$I152),"")</f>
        <v/>
      </c>
      <c r="X152" s="45">
        <f>IFERROR(IF($A152="","",$H152*IF($J152="",'Assumptions'!$B$4,$J152)),"")</f>
        <v/>
      </c>
      <c r="Y152" s="45">
        <f>IFERROR(IF($A152="","",$X152*IF($K152="",'Assumptions'!$B$12,$K152)),"")</f>
        <v/>
      </c>
      <c r="Z152" s="45">
        <f>IFERROR(IF($A152="","",($X152+$Y152)*IF($L152="",'Assumptions'!$B$13,$L152)),"")</f>
        <v/>
      </c>
      <c r="AA152" s="45">
        <f>IFERROR(IF($A152="","",$X152+$Y152+$Z152),"")</f>
        <v/>
      </c>
      <c r="AB152" s="45">
        <f>IFERROR(IF($A152="","",$V152*'Assumptions'!$B$5),"")</f>
        <v/>
      </c>
      <c r="AC152" s="45">
        <f>IFERROR(IF($A152="","",$I152*'Assumptions'!$B$6),"")</f>
        <v/>
      </c>
      <c r="AD152" s="45">
        <f>IFERROR(IF($A152="","",$AB152+$AC152),"")</f>
        <v/>
      </c>
      <c r="AE152" s="45">
        <f>IFERROR(IF($A152="","",($M152+$N152)*'Assumptions'!$B$7),"")</f>
        <v/>
      </c>
      <c r="AF152" s="45">
        <f>IFERROR(IF($A152="","",($Q152/60)*'Assumptions'!$B$8),"")</f>
        <v/>
      </c>
      <c r="AG152" s="45">
        <f>IFERROR(IF($A152="","",$P152+$AE152+$AF152),"")</f>
        <v/>
      </c>
      <c r="AH152" s="45">
        <f>IFERROR(IF($A152="","",$M152+$O152),"")</f>
        <v/>
      </c>
      <c r="AI152" s="46">
        <f>IFERROR(IF($A152="","",IFERROR($AH152/$W152,0)),"")</f>
        <v/>
      </c>
      <c r="AJ152" s="45">
        <f>IFERROR(IF($A152="","",$W152-$AH152-$AD152+$AG152),"")</f>
        <v/>
      </c>
      <c r="AK152" s="47">
        <f>IFERROR(IF($A152="","",IF(OR($S152="Collected",$S152="Waived",$S152="Uncollectible",$S152="No Charge Due"),"",IF($T152="",$B152+'Assumptions'!$B$9,$T152+'Assumptions'!$B$9))),"")</f>
        <v/>
      </c>
      <c r="AL152" s="48">
        <f>IFERROR(IF($A152="","",IF(OR($S152="Collected",$S152="Waived",$S152="Uncollectible",$S152="No Charge Due"),"Closed",IF($AK152&lt;TODAY(),"Overdue",IF($AK152=TODAY(),"Due","Open")))),"")</f>
        <v/>
      </c>
      <c r="AM152" s="49">
        <f>IFERROR(IF($A152="","",IF(COUNTIF($A$5:$A$504,$A152)&gt;1,"Duplicate reservation ID",IF($C152&lt;=$B152,"Check stay dates",IF($G152&gt;$F152,"Resold nights exceed booked nights",IF($M152+$N152&gt;$AA152+0.01,"Collection exceeds expected amount",IF(AND($S152="Collected",$M152=0),"Collected status has no amount",IF($AJ152&gt;='Assumptions'!$B$10,"High-cost review","OK"))))))),"")</f>
        <v/>
      </c>
    </row>
    <row r="153">
      <c r="A153" s="38" t="n"/>
      <c r="B153" s="39" t="n"/>
      <c r="C153" s="39" t="n"/>
      <c r="D153" s="38" t="n"/>
      <c r="E153" s="38" t="n"/>
      <c r="F153" s="40" t="n"/>
      <c r="G153" s="40" t="n"/>
      <c r="H153" s="41" t="n"/>
      <c r="I153" s="41" t="n"/>
      <c r="J153" s="42" t="n"/>
      <c r="K153" s="42" t="n"/>
      <c r="L153" s="42" t="n"/>
      <c r="M153" s="41" t="n"/>
      <c r="N153" s="41" t="n"/>
      <c r="O153" s="41" t="n"/>
      <c r="P153" s="41" t="n"/>
      <c r="Q153" s="40" t="n"/>
      <c r="R153" s="38" t="n"/>
      <c r="S153" s="38" t="n"/>
      <c r="T153" s="39" t="n"/>
      <c r="U153" s="43" t="n"/>
      <c r="V153" s="44">
        <f>IFERROR(IF($A153="","",MAX($F153-$G153,0)),"")</f>
        <v/>
      </c>
      <c r="W153" s="45">
        <f>IFERROR(IF($A153="","",$H153+$I153),"")</f>
        <v/>
      </c>
      <c r="X153" s="45">
        <f>IFERROR(IF($A153="","",$H153*IF($J153="",'Assumptions'!$B$4,$J153)),"")</f>
        <v/>
      </c>
      <c r="Y153" s="45">
        <f>IFERROR(IF($A153="","",$X153*IF($K153="",'Assumptions'!$B$12,$K153)),"")</f>
        <v/>
      </c>
      <c r="Z153" s="45">
        <f>IFERROR(IF($A153="","",($X153+$Y153)*IF($L153="",'Assumptions'!$B$13,$L153)),"")</f>
        <v/>
      </c>
      <c r="AA153" s="45">
        <f>IFERROR(IF($A153="","",$X153+$Y153+$Z153),"")</f>
        <v/>
      </c>
      <c r="AB153" s="45">
        <f>IFERROR(IF($A153="","",$V153*'Assumptions'!$B$5),"")</f>
        <v/>
      </c>
      <c r="AC153" s="45">
        <f>IFERROR(IF($A153="","",$I153*'Assumptions'!$B$6),"")</f>
        <v/>
      </c>
      <c r="AD153" s="45">
        <f>IFERROR(IF($A153="","",$AB153+$AC153),"")</f>
        <v/>
      </c>
      <c r="AE153" s="45">
        <f>IFERROR(IF($A153="","",($M153+$N153)*'Assumptions'!$B$7),"")</f>
        <v/>
      </c>
      <c r="AF153" s="45">
        <f>IFERROR(IF($A153="","",($Q153/60)*'Assumptions'!$B$8),"")</f>
        <v/>
      </c>
      <c r="AG153" s="45">
        <f>IFERROR(IF($A153="","",$P153+$AE153+$AF153),"")</f>
        <v/>
      </c>
      <c r="AH153" s="45">
        <f>IFERROR(IF($A153="","",$M153+$O153),"")</f>
        <v/>
      </c>
      <c r="AI153" s="46">
        <f>IFERROR(IF($A153="","",IFERROR($AH153/$W153,0)),"")</f>
        <v/>
      </c>
      <c r="AJ153" s="45">
        <f>IFERROR(IF($A153="","",$W153-$AH153-$AD153+$AG153),"")</f>
        <v/>
      </c>
      <c r="AK153" s="47">
        <f>IFERROR(IF($A153="","",IF(OR($S153="Collected",$S153="Waived",$S153="Uncollectible",$S153="No Charge Due"),"",IF($T153="",$B153+'Assumptions'!$B$9,$T153+'Assumptions'!$B$9))),"")</f>
        <v/>
      </c>
      <c r="AL153" s="48">
        <f>IFERROR(IF($A153="","",IF(OR($S153="Collected",$S153="Waived",$S153="Uncollectible",$S153="No Charge Due"),"Closed",IF($AK153&lt;TODAY(),"Overdue",IF($AK153=TODAY(),"Due","Open")))),"")</f>
        <v/>
      </c>
      <c r="AM153" s="49">
        <f>IFERROR(IF($A153="","",IF(COUNTIF($A$5:$A$504,$A153)&gt;1,"Duplicate reservation ID",IF($C153&lt;=$B153,"Check stay dates",IF($G153&gt;$F153,"Resold nights exceed booked nights",IF($M153+$N153&gt;$AA153+0.01,"Collection exceeds expected amount",IF(AND($S153="Collected",$M153=0),"Collected status has no amount",IF($AJ153&gt;='Assumptions'!$B$10,"High-cost review","OK"))))))),"")</f>
        <v/>
      </c>
    </row>
    <row r="154">
      <c r="A154" s="38" t="n"/>
      <c r="B154" s="39" t="n"/>
      <c r="C154" s="39" t="n"/>
      <c r="D154" s="38" t="n"/>
      <c r="E154" s="38" t="n"/>
      <c r="F154" s="40" t="n"/>
      <c r="G154" s="40" t="n"/>
      <c r="H154" s="41" t="n"/>
      <c r="I154" s="41" t="n"/>
      <c r="J154" s="42" t="n"/>
      <c r="K154" s="42" t="n"/>
      <c r="L154" s="42" t="n"/>
      <c r="M154" s="41" t="n"/>
      <c r="N154" s="41" t="n"/>
      <c r="O154" s="41" t="n"/>
      <c r="P154" s="41" t="n"/>
      <c r="Q154" s="40" t="n"/>
      <c r="R154" s="38" t="n"/>
      <c r="S154" s="38" t="n"/>
      <c r="T154" s="39" t="n"/>
      <c r="U154" s="43" t="n"/>
      <c r="V154" s="44">
        <f>IFERROR(IF($A154="","",MAX($F154-$G154,0)),"")</f>
        <v/>
      </c>
      <c r="W154" s="45">
        <f>IFERROR(IF($A154="","",$H154+$I154),"")</f>
        <v/>
      </c>
      <c r="X154" s="45">
        <f>IFERROR(IF($A154="","",$H154*IF($J154="",'Assumptions'!$B$4,$J154)),"")</f>
        <v/>
      </c>
      <c r="Y154" s="45">
        <f>IFERROR(IF($A154="","",$X154*IF($K154="",'Assumptions'!$B$12,$K154)),"")</f>
        <v/>
      </c>
      <c r="Z154" s="45">
        <f>IFERROR(IF($A154="","",($X154+$Y154)*IF($L154="",'Assumptions'!$B$13,$L154)),"")</f>
        <v/>
      </c>
      <c r="AA154" s="45">
        <f>IFERROR(IF($A154="","",$X154+$Y154+$Z154),"")</f>
        <v/>
      </c>
      <c r="AB154" s="45">
        <f>IFERROR(IF($A154="","",$V154*'Assumptions'!$B$5),"")</f>
        <v/>
      </c>
      <c r="AC154" s="45">
        <f>IFERROR(IF($A154="","",$I154*'Assumptions'!$B$6),"")</f>
        <v/>
      </c>
      <c r="AD154" s="45">
        <f>IFERROR(IF($A154="","",$AB154+$AC154),"")</f>
        <v/>
      </c>
      <c r="AE154" s="45">
        <f>IFERROR(IF($A154="","",($M154+$N154)*'Assumptions'!$B$7),"")</f>
        <v/>
      </c>
      <c r="AF154" s="45">
        <f>IFERROR(IF($A154="","",($Q154/60)*'Assumptions'!$B$8),"")</f>
        <v/>
      </c>
      <c r="AG154" s="45">
        <f>IFERROR(IF($A154="","",$P154+$AE154+$AF154),"")</f>
        <v/>
      </c>
      <c r="AH154" s="45">
        <f>IFERROR(IF($A154="","",$M154+$O154),"")</f>
        <v/>
      </c>
      <c r="AI154" s="46">
        <f>IFERROR(IF($A154="","",IFERROR($AH154/$W154,0)),"")</f>
        <v/>
      </c>
      <c r="AJ154" s="45">
        <f>IFERROR(IF($A154="","",$W154-$AH154-$AD154+$AG154),"")</f>
        <v/>
      </c>
      <c r="AK154" s="47">
        <f>IFERROR(IF($A154="","",IF(OR($S154="Collected",$S154="Waived",$S154="Uncollectible",$S154="No Charge Due"),"",IF($T154="",$B154+'Assumptions'!$B$9,$T154+'Assumptions'!$B$9))),"")</f>
        <v/>
      </c>
      <c r="AL154" s="48">
        <f>IFERROR(IF($A154="","",IF(OR($S154="Collected",$S154="Waived",$S154="Uncollectible",$S154="No Charge Due"),"Closed",IF($AK154&lt;TODAY(),"Overdue",IF($AK154=TODAY(),"Due","Open")))),"")</f>
        <v/>
      </c>
      <c r="AM154" s="49">
        <f>IFERROR(IF($A154="","",IF(COUNTIF($A$5:$A$504,$A154)&gt;1,"Duplicate reservation ID",IF($C154&lt;=$B154,"Check stay dates",IF($G154&gt;$F154,"Resold nights exceed booked nights",IF($M154+$N154&gt;$AA154+0.01,"Collection exceeds expected amount",IF(AND($S154="Collected",$M154=0),"Collected status has no amount",IF($AJ154&gt;='Assumptions'!$B$10,"High-cost review","OK"))))))),"")</f>
        <v/>
      </c>
    </row>
    <row r="155">
      <c r="A155" s="38" t="n"/>
      <c r="B155" s="39" t="n"/>
      <c r="C155" s="39" t="n"/>
      <c r="D155" s="38" t="n"/>
      <c r="E155" s="38" t="n"/>
      <c r="F155" s="40" t="n"/>
      <c r="G155" s="40" t="n"/>
      <c r="H155" s="41" t="n"/>
      <c r="I155" s="41" t="n"/>
      <c r="J155" s="42" t="n"/>
      <c r="K155" s="42" t="n"/>
      <c r="L155" s="42" t="n"/>
      <c r="M155" s="41" t="n"/>
      <c r="N155" s="41" t="n"/>
      <c r="O155" s="41" t="n"/>
      <c r="P155" s="41" t="n"/>
      <c r="Q155" s="40" t="n"/>
      <c r="R155" s="38" t="n"/>
      <c r="S155" s="38" t="n"/>
      <c r="T155" s="39" t="n"/>
      <c r="U155" s="43" t="n"/>
      <c r="V155" s="44">
        <f>IFERROR(IF($A155="","",MAX($F155-$G155,0)),"")</f>
        <v/>
      </c>
      <c r="W155" s="45">
        <f>IFERROR(IF($A155="","",$H155+$I155),"")</f>
        <v/>
      </c>
      <c r="X155" s="45">
        <f>IFERROR(IF($A155="","",$H155*IF($J155="",'Assumptions'!$B$4,$J155)),"")</f>
        <v/>
      </c>
      <c r="Y155" s="45">
        <f>IFERROR(IF($A155="","",$X155*IF($K155="",'Assumptions'!$B$12,$K155)),"")</f>
        <v/>
      </c>
      <c r="Z155" s="45">
        <f>IFERROR(IF($A155="","",($X155+$Y155)*IF($L155="",'Assumptions'!$B$13,$L155)),"")</f>
        <v/>
      </c>
      <c r="AA155" s="45">
        <f>IFERROR(IF($A155="","",$X155+$Y155+$Z155),"")</f>
        <v/>
      </c>
      <c r="AB155" s="45">
        <f>IFERROR(IF($A155="","",$V155*'Assumptions'!$B$5),"")</f>
        <v/>
      </c>
      <c r="AC155" s="45">
        <f>IFERROR(IF($A155="","",$I155*'Assumptions'!$B$6),"")</f>
        <v/>
      </c>
      <c r="AD155" s="45">
        <f>IFERROR(IF($A155="","",$AB155+$AC155),"")</f>
        <v/>
      </c>
      <c r="AE155" s="45">
        <f>IFERROR(IF($A155="","",($M155+$N155)*'Assumptions'!$B$7),"")</f>
        <v/>
      </c>
      <c r="AF155" s="45">
        <f>IFERROR(IF($A155="","",($Q155/60)*'Assumptions'!$B$8),"")</f>
        <v/>
      </c>
      <c r="AG155" s="45">
        <f>IFERROR(IF($A155="","",$P155+$AE155+$AF155),"")</f>
        <v/>
      </c>
      <c r="AH155" s="45">
        <f>IFERROR(IF($A155="","",$M155+$O155),"")</f>
        <v/>
      </c>
      <c r="AI155" s="46">
        <f>IFERROR(IF($A155="","",IFERROR($AH155/$W155,0)),"")</f>
        <v/>
      </c>
      <c r="AJ155" s="45">
        <f>IFERROR(IF($A155="","",$W155-$AH155-$AD155+$AG155),"")</f>
        <v/>
      </c>
      <c r="AK155" s="47">
        <f>IFERROR(IF($A155="","",IF(OR($S155="Collected",$S155="Waived",$S155="Uncollectible",$S155="No Charge Due"),"",IF($T155="",$B155+'Assumptions'!$B$9,$T155+'Assumptions'!$B$9))),"")</f>
        <v/>
      </c>
      <c r="AL155" s="48">
        <f>IFERROR(IF($A155="","",IF(OR($S155="Collected",$S155="Waived",$S155="Uncollectible",$S155="No Charge Due"),"Closed",IF($AK155&lt;TODAY(),"Overdue",IF($AK155=TODAY(),"Due","Open")))),"")</f>
        <v/>
      </c>
      <c r="AM155" s="49">
        <f>IFERROR(IF($A155="","",IF(COUNTIF($A$5:$A$504,$A155)&gt;1,"Duplicate reservation ID",IF($C155&lt;=$B155,"Check stay dates",IF($G155&gt;$F155,"Resold nights exceed booked nights",IF($M155+$N155&gt;$AA155+0.01,"Collection exceeds expected amount",IF(AND($S155="Collected",$M155=0),"Collected status has no amount",IF($AJ155&gt;='Assumptions'!$B$10,"High-cost review","OK"))))))),"")</f>
        <v/>
      </c>
    </row>
    <row r="156">
      <c r="A156" s="38" t="n"/>
      <c r="B156" s="39" t="n"/>
      <c r="C156" s="39" t="n"/>
      <c r="D156" s="38" t="n"/>
      <c r="E156" s="38" t="n"/>
      <c r="F156" s="40" t="n"/>
      <c r="G156" s="40" t="n"/>
      <c r="H156" s="41" t="n"/>
      <c r="I156" s="41" t="n"/>
      <c r="J156" s="42" t="n"/>
      <c r="K156" s="42" t="n"/>
      <c r="L156" s="42" t="n"/>
      <c r="M156" s="41" t="n"/>
      <c r="N156" s="41" t="n"/>
      <c r="O156" s="41" t="n"/>
      <c r="P156" s="41" t="n"/>
      <c r="Q156" s="40" t="n"/>
      <c r="R156" s="38" t="n"/>
      <c r="S156" s="38" t="n"/>
      <c r="T156" s="39" t="n"/>
      <c r="U156" s="43" t="n"/>
      <c r="V156" s="44">
        <f>IFERROR(IF($A156="","",MAX($F156-$G156,0)),"")</f>
        <v/>
      </c>
      <c r="W156" s="45">
        <f>IFERROR(IF($A156="","",$H156+$I156),"")</f>
        <v/>
      </c>
      <c r="X156" s="45">
        <f>IFERROR(IF($A156="","",$H156*IF($J156="",'Assumptions'!$B$4,$J156)),"")</f>
        <v/>
      </c>
      <c r="Y156" s="45">
        <f>IFERROR(IF($A156="","",$X156*IF($K156="",'Assumptions'!$B$12,$K156)),"")</f>
        <v/>
      </c>
      <c r="Z156" s="45">
        <f>IFERROR(IF($A156="","",($X156+$Y156)*IF($L156="",'Assumptions'!$B$13,$L156)),"")</f>
        <v/>
      </c>
      <c r="AA156" s="45">
        <f>IFERROR(IF($A156="","",$X156+$Y156+$Z156),"")</f>
        <v/>
      </c>
      <c r="AB156" s="45">
        <f>IFERROR(IF($A156="","",$V156*'Assumptions'!$B$5),"")</f>
        <v/>
      </c>
      <c r="AC156" s="45">
        <f>IFERROR(IF($A156="","",$I156*'Assumptions'!$B$6),"")</f>
        <v/>
      </c>
      <c r="AD156" s="45">
        <f>IFERROR(IF($A156="","",$AB156+$AC156),"")</f>
        <v/>
      </c>
      <c r="AE156" s="45">
        <f>IFERROR(IF($A156="","",($M156+$N156)*'Assumptions'!$B$7),"")</f>
        <v/>
      </c>
      <c r="AF156" s="45">
        <f>IFERROR(IF($A156="","",($Q156/60)*'Assumptions'!$B$8),"")</f>
        <v/>
      </c>
      <c r="AG156" s="45">
        <f>IFERROR(IF($A156="","",$P156+$AE156+$AF156),"")</f>
        <v/>
      </c>
      <c r="AH156" s="45">
        <f>IFERROR(IF($A156="","",$M156+$O156),"")</f>
        <v/>
      </c>
      <c r="AI156" s="46">
        <f>IFERROR(IF($A156="","",IFERROR($AH156/$W156,0)),"")</f>
        <v/>
      </c>
      <c r="AJ156" s="45">
        <f>IFERROR(IF($A156="","",$W156-$AH156-$AD156+$AG156),"")</f>
        <v/>
      </c>
      <c r="AK156" s="47">
        <f>IFERROR(IF($A156="","",IF(OR($S156="Collected",$S156="Waived",$S156="Uncollectible",$S156="No Charge Due"),"",IF($T156="",$B156+'Assumptions'!$B$9,$T156+'Assumptions'!$B$9))),"")</f>
        <v/>
      </c>
      <c r="AL156" s="48">
        <f>IFERROR(IF($A156="","",IF(OR($S156="Collected",$S156="Waived",$S156="Uncollectible",$S156="No Charge Due"),"Closed",IF($AK156&lt;TODAY(),"Overdue",IF($AK156=TODAY(),"Due","Open")))),"")</f>
        <v/>
      </c>
      <c r="AM156" s="49">
        <f>IFERROR(IF($A156="","",IF(COUNTIF($A$5:$A$504,$A156)&gt;1,"Duplicate reservation ID",IF($C156&lt;=$B156,"Check stay dates",IF($G156&gt;$F156,"Resold nights exceed booked nights",IF($M156+$N156&gt;$AA156+0.01,"Collection exceeds expected amount",IF(AND($S156="Collected",$M156=0),"Collected status has no amount",IF($AJ156&gt;='Assumptions'!$B$10,"High-cost review","OK"))))))),"")</f>
        <v/>
      </c>
    </row>
    <row r="157">
      <c r="A157" s="38" t="n"/>
      <c r="B157" s="39" t="n"/>
      <c r="C157" s="39" t="n"/>
      <c r="D157" s="38" t="n"/>
      <c r="E157" s="38" t="n"/>
      <c r="F157" s="40" t="n"/>
      <c r="G157" s="40" t="n"/>
      <c r="H157" s="41" t="n"/>
      <c r="I157" s="41" t="n"/>
      <c r="J157" s="42" t="n"/>
      <c r="K157" s="42" t="n"/>
      <c r="L157" s="42" t="n"/>
      <c r="M157" s="41" t="n"/>
      <c r="N157" s="41" t="n"/>
      <c r="O157" s="41" t="n"/>
      <c r="P157" s="41" t="n"/>
      <c r="Q157" s="40" t="n"/>
      <c r="R157" s="38" t="n"/>
      <c r="S157" s="38" t="n"/>
      <c r="T157" s="39" t="n"/>
      <c r="U157" s="43" t="n"/>
      <c r="V157" s="44">
        <f>IFERROR(IF($A157="","",MAX($F157-$G157,0)),"")</f>
        <v/>
      </c>
      <c r="W157" s="45">
        <f>IFERROR(IF($A157="","",$H157+$I157),"")</f>
        <v/>
      </c>
      <c r="X157" s="45">
        <f>IFERROR(IF($A157="","",$H157*IF($J157="",'Assumptions'!$B$4,$J157)),"")</f>
        <v/>
      </c>
      <c r="Y157" s="45">
        <f>IFERROR(IF($A157="","",$X157*IF($K157="",'Assumptions'!$B$12,$K157)),"")</f>
        <v/>
      </c>
      <c r="Z157" s="45">
        <f>IFERROR(IF($A157="","",($X157+$Y157)*IF($L157="",'Assumptions'!$B$13,$L157)),"")</f>
        <v/>
      </c>
      <c r="AA157" s="45">
        <f>IFERROR(IF($A157="","",$X157+$Y157+$Z157),"")</f>
        <v/>
      </c>
      <c r="AB157" s="45">
        <f>IFERROR(IF($A157="","",$V157*'Assumptions'!$B$5),"")</f>
        <v/>
      </c>
      <c r="AC157" s="45">
        <f>IFERROR(IF($A157="","",$I157*'Assumptions'!$B$6),"")</f>
        <v/>
      </c>
      <c r="AD157" s="45">
        <f>IFERROR(IF($A157="","",$AB157+$AC157),"")</f>
        <v/>
      </c>
      <c r="AE157" s="45">
        <f>IFERROR(IF($A157="","",($M157+$N157)*'Assumptions'!$B$7),"")</f>
        <v/>
      </c>
      <c r="AF157" s="45">
        <f>IFERROR(IF($A157="","",($Q157/60)*'Assumptions'!$B$8),"")</f>
        <v/>
      </c>
      <c r="AG157" s="45">
        <f>IFERROR(IF($A157="","",$P157+$AE157+$AF157),"")</f>
        <v/>
      </c>
      <c r="AH157" s="45">
        <f>IFERROR(IF($A157="","",$M157+$O157),"")</f>
        <v/>
      </c>
      <c r="AI157" s="46">
        <f>IFERROR(IF($A157="","",IFERROR($AH157/$W157,0)),"")</f>
        <v/>
      </c>
      <c r="AJ157" s="45">
        <f>IFERROR(IF($A157="","",$W157-$AH157-$AD157+$AG157),"")</f>
        <v/>
      </c>
      <c r="AK157" s="47">
        <f>IFERROR(IF($A157="","",IF(OR($S157="Collected",$S157="Waived",$S157="Uncollectible",$S157="No Charge Due"),"",IF($T157="",$B157+'Assumptions'!$B$9,$T157+'Assumptions'!$B$9))),"")</f>
        <v/>
      </c>
      <c r="AL157" s="48">
        <f>IFERROR(IF($A157="","",IF(OR($S157="Collected",$S157="Waived",$S157="Uncollectible",$S157="No Charge Due"),"Closed",IF($AK157&lt;TODAY(),"Overdue",IF($AK157=TODAY(),"Due","Open")))),"")</f>
        <v/>
      </c>
      <c r="AM157" s="49">
        <f>IFERROR(IF($A157="","",IF(COUNTIF($A$5:$A$504,$A157)&gt;1,"Duplicate reservation ID",IF($C157&lt;=$B157,"Check stay dates",IF($G157&gt;$F157,"Resold nights exceed booked nights",IF($M157+$N157&gt;$AA157+0.01,"Collection exceeds expected amount",IF(AND($S157="Collected",$M157=0),"Collected status has no amount",IF($AJ157&gt;='Assumptions'!$B$10,"High-cost review","OK"))))))),"")</f>
        <v/>
      </c>
    </row>
    <row r="158">
      <c r="A158" s="38" t="n"/>
      <c r="B158" s="39" t="n"/>
      <c r="C158" s="39" t="n"/>
      <c r="D158" s="38" t="n"/>
      <c r="E158" s="38" t="n"/>
      <c r="F158" s="40" t="n"/>
      <c r="G158" s="40" t="n"/>
      <c r="H158" s="41" t="n"/>
      <c r="I158" s="41" t="n"/>
      <c r="J158" s="42" t="n"/>
      <c r="K158" s="42" t="n"/>
      <c r="L158" s="42" t="n"/>
      <c r="M158" s="41" t="n"/>
      <c r="N158" s="41" t="n"/>
      <c r="O158" s="41" t="n"/>
      <c r="P158" s="41" t="n"/>
      <c r="Q158" s="40" t="n"/>
      <c r="R158" s="38" t="n"/>
      <c r="S158" s="38" t="n"/>
      <c r="T158" s="39" t="n"/>
      <c r="U158" s="43" t="n"/>
      <c r="V158" s="44">
        <f>IFERROR(IF($A158="","",MAX($F158-$G158,0)),"")</f>
        <v/>
      </c>
      <c r="W158" s="45">
        <f>IFERROR(IF($A158="","",$H158+$I158),"")</f>
        <v/>
      </c>
      <c r="X158" s="45">
        <f>IFERROR(IF($A158="","",$H158*IF($J158="",'Assumptions'!$B$4,$J158)),"")</f>
        <v/>
      </c>
      <c r="Y158" s="45">
        <f>IFERROR(IF($A158="","",$X158*IF($K158="",'Assumptions'!$B$12,$K158)),"")</f>
        <v/>
      </c>
      <c r="Z158" s="45">
        <f>IFERROR(IF($A158="","",($X158+$Y158)*IF($L158="",'Assumptions'!$B$13,$L158)),"")</f>
        <v/>
      </c>
      <c r="AA158" s="45">
        <f>IFERROR(IF($A158="","",$X158+$Y158+$Z158),"")</f>
        <v/>
      </c>
      <c r="AB158" s="45">
        <f>IFERROR(IF($A158="","",$V158*'Assumptions'!$B$5),"")</f>
        <v/>
      </c>
      <c r="AC158" s="45">
        <f>IFERROR(IF($A158="","",$I158*'Assumptions'!$B$6),"")</f>
        <v/>
      </c>
      <c r="AD158" s="45">
        <f>IFERROR(IF($A158="","",$AB158+$AC158),"")</f>
        <v/>
      </c>
      <c r="AE158" s="45">
        <f>IFERROR(IF($A158="","",($M158+$N158)*'Assumptions'!$B$7),"")</f>
        <v/>
      </c>
      <c r="AF158" s="45">
        <f>IFERROR(IF($A158="","",($Q158/60)*'Assumptions'!$B$8),"")</f>
        <v/>
      </c>
      <c r="AG158" s="45">
        <f>IFERROR(IF($A158="","",$P158+$AE158+$AF158),"")</f>
        <v/>
      </c>
      <c r="AH158" s="45">
        <f>IFERROR(IF($A158="","",$M158+$O158),"")</f>
        <v/>
      </c>
      <c r="AI158" s="46">
        <f>IFERROR(IF($A158="","",IFERROR($AH158/$W158,0)),"")</f>
        <v/>
      </c>
      <c r="AJ158" s="45">
        <f>IFERROR(IF($A158="","",$W158-$AH158-$AD158+$AG158),"")</f>
        <v/>
      </c>
      <c r="AK158" s="47">
        <f>IFERROR(IF($A158="","",IF(OR($S158="Collected",$S158="Waived",$S158="Uncollectible",$S158="No Charge Due"),"",IF($T158="",$B158+'Assumptions'!$B$9,$T158+'Assumptions'!$B$9))),"")</f>
        <v/>
      </c>
      <c r="AL158" s="48">
        <f>IFERROR(IF($A158="","",IF(OR($S158="Collected",$S158="Waived",$S158="Uncollectible",$S158="No Charge Due"),"Closed",IF($AK158&lt;TODAY(),"Overdue",IF($AK158=TODAY(),"Due","Open")))),"")</f>
        <v/>
      </c>
      <c r="AM158" s="49">
        <f>IFERROR(IF($A158="","",IF(COUNTIF($A$5:$A$504,$A158)&gt;1,"Duplicate reservation ID",IF($C158&lt;=$B158,"Check stay dates",IF($G158&gt;$F158,"Resold nights exceed booked nights",IF($M158+$N158&gt;$AA158+0.01,"Collection exceeds expected amount",IF(AND($S158="Collected",$M158=0),"Collected status has no amount",IF($AJ158&gt;='Assumptions'!$B$10,"High-cost review","OK"))))))),"")</f>
        <v/>
      </c>
    </row>
    <row r="159">
      <c r="A159" s="38" t="n"/>
      <c r="B159" s="39" t="n"/>
      <c r="C159" s="39" t="n"/>
      <c r="D159" s="38" t="n"/>
      <c r="E159" s="38" t="n"/>
      <c r="F159" s="40" t="n"/>
      <c r="G159" s="40" t="n"/>
      <c r="H159" s="41" t="n"/>
      <c r="I159" s="41" t="n"/>
      <c r="J159" s="42" t="n"/>
      <c r="K159" s="42" t="n"/>
      <c r="L159" s="42" t="n"/>
      <c r="M159" s="41" t="n"/>
      <c r="N159" s="41" t="n"/>
      <c r="O159" s="41" t="n"/>
      <c r="P159" s="41" t="n"/>
      <c r="Q159" s="40" t="n"/>
      <c r="R159" s="38" t="n"/>
      <c r="S159" s="38" t="n"/>
      <c r="T159" s="39" t="n"/>
      <c r="U159" s="43" t="n"/>
      <c r="V159" s="44">
        <f>IFERROR(IF($A159="","",MAX($F159-$G159,0)),"")</f>
        <v/>
      </c>
      <c r="W159" s="45">
        <f>IFERROR(IF($A159="","",$H159+$I159),"")</f>
        <v/>
      </c>
      <c r="X159" s="45">
        <f>IFERROR(IF($A159="","",$H159*IF($J159="",'Assumptions'!$B$4,$J159)),"")</f>
        <v/>
      </c>
      <c r="Y159" s="45">
        <f>IFERROR(IF($A159="","",$X159*IF($K159="",'Assumptions'!$B$12,$K159)),"")</f>
        <v/>
      </c>
      <c r="Z159" s="45">
        <f>IFERROR(IF($A159="","",($X159+$Y159)*IF($L159="",'Assumptions'!$B$13,$L159)),"")</f>
        <v/>
      </c>
      <c r="AA159" s="45">
        <f>IFERROR(IF($A159="","",$X159+$Y159+$Z159),"")</f>
        <v/>
      </c>
      <c r="AB159" s="45">
        <f>IFERROR(IF($A159="","",$V159*'Assumptions'!$B$5),"")</f>
        <v/>
      </c>
      <c r="AC159" s="45">
        <f>IFERROR(IF($A159="","",$I159*'Assumptions'!$B$6),"")</f>
        <v/>
      </c>
      <c r="AD159" s="45">
        <f>IFERROR(IF($A159="","",$AB159+$AC159),"")</f>
        <v/>
      </c>
      <c r="AE159" s="45">
        <f>IFERROR(IF($A159="","",($M159+$N159)*'Assumptions'!$B$7),"")</f>
        <v/>
      </c>
      <c r="AF159" s="45">
        <f>IFERROR(IF($A159="","",($Q159/60)*'Assumptions'!$B$8),"")</f>
        <v/>
      </c>
      <c r="AG159" s="45">
        <f>IFERROR(IF($A159="","",$P159+$AE159+$AF159),"")</f>
        <v/>
      </c>
      <c r="AH159" s="45">
        <f>IFERROR(IF($A159="","",$M159+$O159),"")</f>
        <v/>
      </c>
      <c r="AI159" s="46">
        <f>IFERROR(IF($A159="","",IFERROR($AH159/$W159,0)),"")</f>
        <v/>
      </c>
      <c r="AJ159" s="45">
        <f>IFERROR(IF($A159="","",$W159-$AH159-$AD159+$AG159),"")</f>
        <v/>
      </c>
      <c r="AK159" s="47">
        <f>IFERROR(IF($A159="","",IF(OR($S159="Collected",$S159="Waived",$S159="Uncollectible",$S159="No Charge Due"),"",IF($T159="",$B159+'Assumptions'!$B$9,$T159+'Assumptions'!$B$9))),"")</f>
        <v/>
      </c>
      <c r="AL159" s="48">
        <f>IFERROR(IF($A159="","",IF(OR($S159="Collected",$S159="Waived",$S159="Uncollectible",$S159="No Charge Due"),"Closed",IF($AK159&lt;TODAY(),"Overdue",IF($AK159=TODAY(),"Due","Open")))),"")</f>
        <v/>
      </c>
      <c r="AM159" s="49">
        <f>IFERROR(IF($A159="","",IF(COUNTIF($A$5:$A$504,$A159)&gt;1,"Duplicate reservation ID",IF($C159&lt;=$B159,"Check stay dates",IF($G159&gt;$F159,"Resold nights exceed booked nights",IF($M159+$N159&gt;$AA159+0.01,"Collection exceeds expected amount",IF(AND($S159="Collected",$M159=0),"Collected status has no amount",IF($AJ159&gt;='Assumptions'!$B$10,"High-cost review","OK"))))))),"")</f>
        <v/>
      </c>
    </row>
    <row r="160">
      <c r="A160" s="38" t="n"/>
      <c r="B160" s="39" t="n"/>
      <c r="C160" s="39" t="n"/>
      <c r="D160" s="38" t="n"/>
      <c r="E160" s="38" t="n"/>
      <c r="F160" s="40" t="n"/>
      <c r="G160" s="40" t="n"/>
      <c r="H160" s="41" t="n"/>
      <c r="I160" s="41" t="n"/>
      <c r="J160" s="42" t="n"/>
      <c r="K160" s="42" t="n"/>
      <c r="L160" s="42" t="n"/>
      <c r="M160" s="41" t="n"/>
      <c r="N160" s="41" t="n"/>
      <c r="O160" s="41" t="n"/>
      <c r="P160" s="41" t="n"/>
      <c r="Q160" s="40" t="n"/>
      <c r="R160" s="38" t="n"/>
      <c r="S160" s="38" t="n"/>
      <c r="T160" s="39" t="n"/>
      <c r="U160" s="43" t="n"/>
      <c r="V160" s="44">
        <f>IFERROR(IF($A160="","",MAX($F160-$G160,0)),"")</f>
        <v/>
      </c>
      <c r="W160" s="45">
        <f>IFERROR(IF($A160="","",$H160+$I160),"")</f>
        <v/>
      </c>
      <c r="X160" s="45">
        <f>IFERROR(IF($A160="","",$H160*IF($J160="",'Assumptions'!$B$4,$J160)),"")</f>
        <v/>
      </c>
      <c r="Y160" s="45">
        <f>IFERROR(IF($A160="","",$X160*IF($K160="",'Assumptions'!$B$12,$K160)),"")</f>
        <v/>
      </c>
      <c r="Z160" s="45">
        <f>IFERROR(IF($A160="","",($X160+$Y160)*IF($L160="",'Assumptions'!$B$13,$L160)),"")</f>
        <v/>
      </c>
      <c r="AA160" s="45">
        <f>IFERROR(IF($A160="","",$X160+$Y160+$Z160),"")</f>
        <v/>
      </c>
      <c r="AB160" s="45">
        <f>IFERROR(IF($A160="","",$V160*'Assumptions'!$B$5),"")</f>
        <v/>
      </c>
      <c r="AC160" s="45">
        <f>IFERROR(IF($A160="","",$I160*'Assumptions'!$B$6),"")</f>
        <v/>
      </c>
      <c r="AD160" s="45">
        <f>IFERROR(IF($A160="","",$AB160+$AC160),"")</f>
        <v/>
      </c>
      <c r="AE160" s="45">
        <f>IFERROR(IF($A160="","",($M160+$N160)*'Assumptions'!$B$7),"")</f>
        <v/>
      </c>
      <c r="AF160" s="45">
        <f>IFERROR(IF($A160="","",($Q160/60)*'Assumptions'!$B$8),"")</f>
        <v/>
      </c>
      <c r="AG160" s="45">
        <f>IFERROR(IF($A160="","",$P160+$AE160+$AF160),"")</f>
        <v/>
      </c>
      <c r="AH160" s="45">
        <f>IFERROR(IF($A160="","",$M160+$O160),"")</f>
        <v/>
      </c>
      <c r="AI160" s="46">
        <f>IFERROR(IF($A160="","",IFERROR($AH160/$W160,0)),"")</f>
        <v/>
      </c>
      <c r="AJ160" s="45">
        <f>IFERROR(IF($A160="","",$W160-$AH160-$AD160+$AG160),"")</f>
        <v/>
      </c>
      <c r="AK160" s="47">
        <f>IFERROR(IF($A160="","",IF(OR($S160="Collected",$S160="Waived",$S160="Uncollectible",$S160="No Charge Due"),"",IF($T160="",$B160+'Assumptions'!$B$9,$T160+'Assumptions'!$B$9))),"")</f>
        <v/>
      </c>
      <c r="AL160" s="48">
        <f>IFERROR(IF($A160="","",IF(OR($S160="Collected",$S160="Waived",$S160="Uncollectible",$S160="No Charge Due"),"Closed",IF($AK160&lt;TODAY(),"Overdue",IF($AK160=TODAY(),"Due","Open")))),"")</f>
        <v/>
      </c>
      <c r="AM160" s="49">
        <f>IFERROR(IF($A160="","",IF(COUNTIF($A$5:$A$504,$A160)&gt;1,"Duplicate reservation ID",IF($C160&lt;=$B160,"Check stay dates",IF($G160&gt;$F160,"Resold nights exceed booked nights",IF($M160+$N160&gt;$AA160+0.01,"Collection exceeds expected amount",IF(AND($S160="Collected",$M160=0),"Collected status has no amount",IF($AJ160&gt;='Assumptions'!$B$10,"High-cost review","OK"))))))),"")</f>
        <v/>
      </c>
    </row>
    <row r="161">
      <c r="A161" s="38" t="n"/>
      <c r="B161" s="39" t="n"/>
      <c r="C161" s="39" t="n"/>
      <c r="D161" s="38" t="n"/>
      <c r="E161" s="38" t="n"/>
      <c r="F161" s="40" t="n"/>
      <c r="G161" s="40" t="n"/>
      <c r="H161" s="41" t="n"/>
      <c r="I161" s="41" t="n"/>
      <c r="J161" s="42" t="n"/>
      <c r="K161" s="42" t="n"/>
      <c r="L161" s="42" t="n"/>
      <c r="M161" s="41" t="n"/>
      <c r="N161" s="41" t="n"/>
      <c r="O161" s="41" t="n"/>
      <c r="P161" s="41" t="n"/>
      <c r="Q161" s="40" t="n"/>
      <c r="R161" s="38" t="n"/>
      <c r="S161" s="38" t="n"/>
      <c r="T161" s="39" t="n"/>
      <c r="U161" s="43" t="n"/>
      <c r="V161" s="44">
        <f>IFERROR(IF($A161="","",MAX($F161-$G161,0)),"")</f>
        <v/>
      </c>
      <c r="W161" s="45">
        <f>IFERROR(IF($A161="","",$H161+$I161),"")</f>
        <v/>
      </c>
      <c r="X161" s="45">
        <f>IFERROR(IF($A161="","",$H161*IF($J161="",'Assumptions'!$B$4,$J161)),"")</f>
        <v/>
      </c>
      <c r="Y161" s="45">
        <f>IFERROR(IF($A161="","",$X161*IF($K161="",'Assumptions'!$B$12,$K161)),"")</f>
        <v/>
      </c>
      <c r="Z161" s="45">
        <f>IFERROR(IF($A161="","",($X161+$Y161)*IF($L161="",'Assumptions'!$B$13,$L161)),"")</f>
        <v/>
      </c>
      <c r="AA161" s="45">
        <f>IFERROR(IF($A161="","",$X161+$Y161+$Z161),"")</f>
        <v/>
      </c>
      <c r="AB161" s="45">
        <f>IFERROR(IF($A161="","",$V161*'Assumptions'!$B$5),"")</f>
        <v/>
      </c>
      <c r="AC161" s="45">
        <f>IFERROR(IF($A161="","",$I161*'Assumptions'!$B$6),"")</f>
        <v/>
      </c>
      <c r="AD161" s="45">
        <f>IFERROR(IF($A161="","",$AB161+$AC161),"")</f>
        <v/>
      </c>
      <c r="AE161" s="45">
        <f>IFERROR(IF($A161="","",($M161+$N161)*'Assumptions'!$B$7),"")</f>
        <v/>
      </c>
      <c r="AF161" s="45">
        <f>IFERROR(IF($A161="","",($Q161/60)*'Assumptions'!$B$8),"")</f>
        <v/>
      </c>
      <c r="AG161" s="45">
        <f>IFERROR(IF($A161="","",$P161+$AE161+$AF161),"")</f>
        <v/>
      </c>
      <c r="AH161" s="45">
        <f>IFERROR(IF($A161="","",$M161+$O161),"")</f>
        <v/>
      </c>
      <c r="AI161" s="46">
        <f>IFERROR(IF($A161="","",IFERROR($AH161/$W161,0)),"")</f>
        <v/>
      </c>
      <c r="AJ161" s="45">
        <f>IFERROR(IF($A161="","",$W161-$AH161-$AD161+$AG161),"")</f>
        <v/>
      </c>
      <c r="AK161" s="47">
        <f>IFERROR(IF($A161="","",IF(OR($S161="Collected",$S161="Waived",$S161="Uncollectible",$S161="No Charge Due"),"",IF($T161="",$B161+'Assumptions'!$B$9,$T161+'Assumptions'!$B$9))),"")</f>
        <v/>
      </c>
      <c r="AL161" s="48">
        <f>IFERROR(IF($A161="","",IF(OR($S161="Collected",$S161="Waived",$S161="Uncollectible",$S161="No Charge Due"),"Closed",IF($AK161&lt;TODAY(),"Overdue",IF($AK161=TODAY(),"Due","Open")))),"")</f>
        <v/>
      </c>
      <c r="AM161" s="49">
        <f>IFERROR(IF($A161="","",IF(COUNTIF($A$5:$A$504,$A161)&gt;1,"Duplicate reservation ID",IF($C161&lt;=$B161,"Check stay dates",IF($G161&gt;$F161,"Resold nights exceed booked nights",IF($M161+$N161&gt;$AA161+0.01,"Collection exceeds expected amount",IF(AND($S161="Collected",$M161=0),"Collected status has no amount",IF($AJ161&gt;='Assumptions'!$B$10,"High-cost review","OK"))))))),"")</f>
        <v/>
      </c>
    </row>
    <row r="162">
      <c r="A162" s="38" t="n"/>
      <c r="B162" s="39" t="n"/>
      <c r="C162" s="39" t="n"/>
      <c r="D162" s="38" t="n"/>
      <c r="E162" s="38" t="n"/>
      <c r="F162" s="40" t="n"/>
      <c r="G162" s="40" t="n"/>
      <c r="H162" s="41" t="n"/>
      <c r="I162" s="41" t="n"/>
      <c r="J162" s="42" t="n"/>
      <c r="K162" s="42" t="n"/>
      <c r="L162" s="42" t="n"/>
      <c r="M162" s="41" t="n"/>
      <c r="N162" s="41" t="n"/>
      <c r="O162" s="41" t="n"/>
      <c r="P162" s="41" t="n"/>
      <c r="Q162" s="40" t="n"/>
      <c r="R162" s="38" t="n"/>
      <c r="S162" s="38" t="n"/>
      <c r="T162" s="39" t="n"/>
      <c r="U162" s="43" t="n"/>
      <c r="V162" s="44">
        <f>IFERROR(IF($A162="","",MAX($F162-$G162,0)),"")</f>
        <v/>
      </c>
      <c r="W162" s="45">
        <f>IFERROR(IF($A162="","",$H162+$I162),"")</f>
        <v/>
      </c>
      <c r="X162" s="45">
        <f>IFERROR(IF($A162="","",$H162*IF($J162="",'Assumptions'!$B$4,$J162)),"")</f>
        <v/>
      </c>
      <c r="Y162" s="45">
        <f>IFERROR(IF($A162="","",$X162*IF($K162="",'Assumptions'!$B$12,$K162)),"")</f>
        <v/>
      </c>
      <c r="Z162" s="45">
        <f>IFERROR(IF($A162="","",($X162+$Y162)*IF($L162="",'Assumptions'!$B$13,$L162)),"")</f>
        <v/>
      </c>
      <c r="AA162" s="45">
        <f>IFERROR(IF($A162="","",$X162+$Y162+$Z162),"")</f>
        <v/>
      </c>
      <c r="AB162" s="45">
        <f>IFERROR(IF($A162="","",$V162*'Assumptions'!$B$5),"")</f>
        <v/>
      </c>
      <c r="AC162" s="45">
        <f>IFERROR(IF($A162="","",$I162*'Assumptions'!$B$6),"")</f>
        <v/>
      </c>
      <c r="AD162" s="45">
        <f>IFERROR(IF($A162="","",$AB162+$AC162),"")</f>
        <v/>
      </c>
      <c r="AE162" s="45">
        <f>IFERROR(IF($A162="","",($M162+$N162)*'Assumptions'!$B$7),"")</f>
        <v/>
      </c>
      <c r="AF162" s="45">
        <f>IFERROR(IF($A162="","",($Q162/60)*'Assumptions'!$B$8),"")</f>
        <v/>
      </c>
      <c r="AG162" s="45">
        <f>IFERROR(IF($A162="","",$P162+$AE162+$AF162),"")</f>
        <v/>
      </c>
      <c r="AH162" s="45">
        <f>IFERROR(IF($A162="","",$M162+$O162),"")</f>
        <v/>
      </c>
      <c r="AI162" s="46">
        <f>IFERROR(IF($A162="","",IFERROR($AH162/$W162,0)),"")</f>
        <v/>
      </c>
      <c r="AJ162" s="45">
        <f>IFERROR(IF($A162="","",$W162-$AH162-$AD162+$AG162),"")</f>
        <v/>
      </c>
      <c r="AK162" s="47">
        <f>IFERROR(IF($A162="","",IF(OR($S162="Collected",$S162="Waived",$S162="Uncollectible",$S162="No Charge Due"),"",IF($T162="",$B162+'Assumptions'!$B$9,$T162+'Assumptions'!$B$9))),"")</f>
        <v/>
      </c>
      <c r="AL162" s="48">
        <f>IFERROR(IF($A162="","",IF(OR($S162="Collected",$S162="Waived",$S162="Uncollectible",$S162="No Charge Due"),"Closed",IF($AK162&lt;TODAY(),"Overdue",IF($AK162=TODAY(),"Due","Open")))),"")</f>
        <v/>
      </c>
      <c r="AM162" s="49">
        <f>IFERROR(IF($A162="","",IF(COUNTIF($A$5:$A$504,$A162)&gt;1,"Duplicate reservation ID",IF($C162&lt;=$B162,"Check stay dates",IF($G162&gt;$F162,"Resold nights exceed booked nights",IF($M162+$N162&gt;$AA162+0.01,"Collection exceeds expected amount",IF(AND($S162="Collected",$M162=0),"Collected status has no amount",IF($AJ162&gt;='Assumptions'!$B$10,"High-cost review","OK"))))))),"")</f>
        <v/>
      </c>
    </row>
    <row r="163">
      <c r="A163" s="38" t="n"/>
      <c r="B163" s="39" t="n"/>
      <c r="C163" s="39" t="n"/>
      <c r="D163" s="38" t="n"/>
      <c r="E163" s="38" t="n"/>
      <c r="F163" s="40" t="n"/>
      <c r="G163" s="40" t="n"/>
      <c r="H163" s="41" t="n"/>
      <c r="I163" s="41" t="n"/>
      <c r="J163" s="42" t="n"/>
      <c r="K163" s="42" t="n"/>
      <c r="L163" s="42" t="n"/>
      <c r="M163" s="41" t="n"/>
      <c r="N163" s="41" t="n"/>
      <c r="O163" s="41" t="n"/>
      <c r="P163" s="41" t="n"/>
      <c r="Q163" s="40" t="n"/>
      <c r="R163" s="38" t="n"/>
      <c r="S163" s="38" t="n"/>
      <c r="T163" s="39" t="n"/>
      <c r="U163" s="43" t="n"/>
      <c r="V163" s="44">
        <f>IFERROR(IF($A163="","",MAX($F163-$G163,0)),"")</f>
        <v/>
      </c>
      <c r="W163" s="45">
        <f>IFERROR(IF($A163="","",$H163+$I163),"")</f>
        <v/>
      </c>
      <c r="X163" s="45">
        <f>IFERROR(IF($A163="","",$H163*IF($J163="",'Assumptions'!$B$4,$J163)),"")</f>
        <v/>
      </c>
      <c r="Y163" s="45">
        <f>IFERROR(IF($A163="","",$X163*IF($K163="",'Assumptions'!$B$12,$K163)),"")</f>
        <v/>
      </c>
      <c r="Z163" s="45">
        <f>IFERROR(IF($A163="","",($X163+$Y163)*IF($L163="",'Assumptions'!$B$13,$L163)),"")</f>
        <v/>
      </c>
      <c r="AA163" s="45">
        <f>IFERROR(IF($A163="","",$X163+$Y163+$Z163),"")</f>
        <v/>
      </c>
      <c r="AB163" s="45">
        <f>IFERROR(IF($A163="","",$V163*'Assumptions'!$B$5),"")</f>
        <v/>
      </c>
      <c r="AC163" s="45">
        <f>IFERROR(IF($A163="","",$I163*'Assumptions'!$B$6),"")</f>
        <v/>
      </c>
      <c r="AD163" s="45">
        <f>IFERROR(IF($A163="","",$AB163+$AC163),"")</f>
        <v/>
      </c>
      <c r="AE163" s="45">
        <f>IFERROR(IF($A163="","",($M163+$N163)*'Assumptions'!$B$7),"")</f>
        <v/>
      </c>
      <c r="AF163" s="45">
        <f>IFERROR(IF($A163="","",($Q163/60)*'Assumptions'!$B$8),"")</f>
        <v/>
      </c>
      <c r="AG163" s="45">
        <f>IFERROR(IF($A163="","",$P163+$AE163+$AF163),"")</f>
        <v/>
      </c>
      <c r="AH163" s="45">
        <f>IFERROR(IF($A163="","",$M163+$O163),"")</f>
        <v/>
      </c>
      <c r="AI163" s="46">
        <f>IFERROR(IF($A163="","",IFERROR($AH163/$W163,0)),"")</f>
        <v/>
      </c>
      <c r="AJ163" s="45">
        <f>IFERROR(IF($A163="","",$W163-$AH163-$AD163+$AG163),"")</f>
        <v/>
      </c>
      <c r="AK163" s="47">
        <f>IFERROR(IF($A163="","",IF(OR($S163="Collected",$S163="Waived",$S163="Uncollectible",$S163="No Charge Due"),"",IF($T163="",$B163+'Assumptions'!$B$9,$T163+'Assumptions'!$B$9))),"")</f>
        <v/>
      </c>
      <c r="AL163" s="48">
        <f>IFERROR(IF($A163="","",IF(OR($S163="Collected",$S163="Waived",$S163="Uncollectible",$S163="No Charge Due"),"Closed",IF($AK163&lt;TODAY(),"Overdue",IF($AK163=TODAY(),"Due","Open")))),"")</f>
        <v/>
      </c>
      <c r="AM163" s="49">
        <f>IFERROR(IF($A163="","",IF(COUNTIF($A$5:$A$504,$A163)&gt;1,"Duplicate reservation ID",IF($C163&lt;=$B163,"Check stay dates",IF($G163&gt;$F163,"Resold nights exceed booked nights",IF($M163+$N163&gt;$AA163+0.01,"Collection exceeds expected amount",IF(AND($S163="Collected",$M163=0),"Collected status has no amount",IF($AJ163&gt;='Assumptions'!$B$10,"High-cost review","OK"))))))),"")</f>
        <v/>
      </c>
    </row>
    <row r="164">
      <c r="A164" s="38" t="n"/>
      <c r="B164" s="39" t="n"/>
      <c r="C164" s="39" t="n"/>
      <c r="D164" s="38" t="n"/>
      <c r="E164" s="38" t="n"/>
      <c r="F164" s="40" t="n"/>
      <c r="G164" s="40" t="n"/>
      <c r="H164" s="41" t="n"/>
      <c r="I164" s="41" t="n"/>
      <c r="J164" s="42" t="n"/>
      <c r="K164" s="42" t="n"/>
      <c r="L164" s="42" t="n"/>
      <c r="M164" s="41" t="n"/>
      <c r="N164" s="41" t="n"/>
      <c r="O164" s="41" t="n"/>
      <c r="P164" s="41" t="n"/>
      <c r="Q164" s="40" t="n"/>
      <c r="R164" s="38" t="n"/>
      <c r="S164" s="38" t="n"/>
      <c r="T164" s="39" t="n"/>
      <c r="U164" s="43" t="n"/>
      <c r="V164" s="44">
        <f>IFERROR(IF($A164="","",MAX($F164-$G164,0)),"")</f>
        <v/>
      </c>
      <c r="W164" s="45">
        <f>IFERROR(IF($A164="","",$H164+$I164),"")</f>
        <v/>
      </c>
      <c r="X164" s="45">
        <f>IFERROR(IF($A164="","",$H164*IF($J164="",'Assumptions'!$B$4,$J164)),"")</f>
        <v/>
      </c>
      <c r="Y164" s="45">
        <f>IFERROR(IF($A164="","",$X164*IF($K164="",'Assumptions'!$B$12,$K164)),"")</f>
        <v/>
      </c>
      <c r="Z164" s="45">
        <f>IFERROR(IF($A164="","",($X164+$Y164)*IF($L164="",'Assumptions'!$B$13,$L164)),"")</f>
        <v/>
      </c>
      <c r="AA164" s="45">
        <f>IFERROR(IF($A164="","",$X164+$Y164+$Z164),"")</f>
        <v/>
      </c>
      <c r="AB164" s="45">
        <f>IFERROR(IF($A164="","",$V164*'Assumptions'!$B$5),"")</f>
        <v/>
      </c>
      <c r="AC164" s="45">
        <f>IFERROR(IF($A164="","",$I164*'Assumptions'!$B$6),"")</f>
        <v/>
      </c>
      <c r="AD164" s="45">
        <f>IFERROR(IF($A164="","",$AB164+$AC164),"")</f>
        <v/>
      </c>
      <c r="AE164" s="45">
        <f>IFERROR(IF($A164="","",($M164+$N164)*'Assumptions'!$B$7),"")</f>
        <v/>
      </c>
      <c r="AF164" s="45">
        <f>IFERROR(IF($A164="","",($Q164/60)*'Assumptions'!$B$8),"")</f>
        <v/>
      </c>
      <c r="AG164" s="45">
        <f>IFERROR(IF($A164="","",$P164+$AE164+$AF164),"")</f>
        <v/>
      </c>
      <c r="AH164" s="45">
        <f>IFERROR(IF($A164="","",$M164+$O164),"")</f>
        <v/>
      </c>
      <c r="AI164" s="46">
        <f>IFERROR(IF($A164="","",IFERROR($AH164/$W164,0)),"")</f>
        <v/>
      </c>
      <c r="AJ164" s="45">
        <f>IFERROR(IF($A164="","",$W164-$AH164-$AD164+$AG164),"")</f>
        <v/>
      </c>
      <c r="AK164" s="47">
        <f>IFERROR(IF($A164="","",IF(OR($S164="Collected",$S164="Waived",$S164="Uncollectible",$S164="No Charge Due"),"",IF($T164="",$B164+'Assumptions'!$B$9,$T164+'Assumptions'!$B$9))),"")</f>
        <v/>
      </c>
      <c r="AL164" s="48">
        <f>IFERROR(IF($A164="","",IF(OR($S164="Collected",$S164="Waived",$S164="Uncollectible",$S164="No Charge Due"),"Closed",IF($AK164&lt;TODAY(),"Overdue",IF($AK164=TODAY(),"Due","Open")))),"")</f>
        <v/>
      </c>
      <c r="AM164" s="49">
        <f>IFERROR(IF($A164="","",IF(COUNTIF($A$5:$A$504,$A164)&gt;1,"Duplicate reservation ID",IF($C164&lt;=$B164,"Check stay dates",IF($G164&gt;$F164,"Resold nights exceed booked nights",IF($M164+$N164&gt;$AA164+0.01,"Collection exceeds expected amount",IF(AND($S164="Collected",$M164=0),"Collected status has no amount",IF($AJ164&gt;='Assumptions'!$B$10,"High-cost review","OK"))))))),"")</f>
        <v/>
      </c>
    </row>
    <row r="165">
      <c r="A165" s="38" t="n"/>
      <c r="B165" s="39" t="n"/>
      <c r="C165" s="39" t="n"/>
      <c r="D165" s="38" t="n"/>
      <c r="E165" s="38" t="n"/>
      <c r="F165" s="40" t="n"/>
      <c r="G165" s="40" t="n"/>
      <c r="H165" s="41" t="n"/>
      <c r="I165" s="41" t="n"/>
      <c r="J165" s="42" t="n"/>
      <c r="K165" s="42" t="n"/>
      <c r="L165" s="42" t="n"/>
      <c r="M165" s="41" t="n"/>
      <c r="N165" s="41" t="n"/>
      <c r="O165" s="41" t="n"/>
      <c r="P165" s="41" t="n"/>
      <c r="Q165" s="40" t="n"/>
      <c r="R165" s="38" t="n"/>
      <c r="S165" s="38" t="n"/>
      <c r="T165" s="39" t="n"/>
      <c r="U165" s="43" t="n"/>
      <c r="V165" s="44">
        <f>IFERROR(IF($A165="","",MAX($F165-$G165,0)),"")</f>
        <v/>
      </c>
      <c r="W165" s="45">
        <f>IFERROR(IF($A165="","",$H165+$I165),"")</f>
        <v/>
      </c>
      <c r="X165" s="45">
        <f>IFERROR(IF($A165="","",$H165*IF($J165="",'Assumptions'!$B$4,$J165)),"")</f>
        <v/>
      </c>
      <c r="Y165" s="45">
        <f>IFERROR(IF($A165="","",$X165*IF($K165="",'Assumptions'!$B$12,$K165)),"")</f>
        <v/>
      </c>
      <c r="Z165" s="45">
        <f>IFERROR(IF($A165="","",($X165+$Y165)*IF($L165="",'Assumptions'!$B$13,$L165)),"")</f>
        <v/>
      </c>
      <c r="AA165" s="45">
        <f>IFERROR(IF($A165="","",$X165+$Y165+$Z165),"")</f>
        <v/>
      </c>
      <c r="AB165" s="45">
        <f>IFERROR(IF($A165="","",$V165*'Assumptions'!$B$5),"")</f>
        <v/>
      </c>
      <c r="AC165" s="45">
        <f>IFERROR(IF($A165="","",$I165*'Assumptions'!$B$6),"")</f>
        <v/>
      </c>
      <c r="AD165" s="45">
        <f>IFERROR(IF($A165="","",$AB165+$AC165),"")</f>
        <v/>
      </c>
      <c r="AE165" s="45">
        <f>IFERROR(IF($A165="","",($M165+$N165)*'Assumptions'!$B$7),"")</f>
        <v/>
      </c>
      <c r="AF165" s="45">
        <f>IFERROR(IF($A165="","",($Q165/60)*'Assumptions'!$B$8),"")</f>
        <v/>
      </c>
      <c r="AG165" s="45">
        <f>IFERROR(IF($A165="","",$P165+$AE165+$AF165),"")</f>
        <v/>
      </c>
      <c r="AH165" s="45">
        <f>IFERROR(IF($A165="","",$M165+$O165),"")</f>
        <v/>
      </c>
      <c r="AI165" s="46">
        <f>IFERROR(IF($A165="","",IFERROR($AH165/$W165,0)),"")</f>
        <v/>
      </c>
      <c r="AJ165" s="45">
        <f>IFERROR(IF($A165="","",$W165-$AH165-$AD165+$AG165),"")</f>
        <v/>
      </c>
      <c r="AK165" s="47">
        <f>IFERROR(IF($A165="","",IF(OR($S165="Collected",$S165="Waived",$S165="Uncollectible",$S165="No Charge Due"),"",IF($T165="",$B165+'Assumptions'!$B$9,$T165+'Assumptions'!$B$9))),"")</f>
        <v/>
      </c>
      <c r="AL165" s="48">
        <f>IFERROR(IF($A165="","",IF(OR($S165="Collected",$S165="Waived",$S165="Uncollectible",$S165="No Charge Due"),"Closed",IF($AK165&lt;TODAY(),"Overdue",IF($AK165=TODAY(),"Due","Open")))),"")</f>
        <v/>
      </c>
      <c r="AM165" s="49">
        <f>IFERROR(IF($A165="","",IF(COUNTIF($A$5:$A$504,$A165)&gt;1,"Duplicate reservation ID",IF($C165&lt;=$B165,"Check stay dates",IF($G165&gt;$F165,"Resold nights exceed booked nights",IF($M165+$N165&gt;$AA165+0.01,"Collection exceeds expected amount",IF(AND($S165="Collected",$M165=0),"Collected status has no amount",IF($AJ165&gt;='Assumptions'!$B$10,"High-cost review","OK"))))))),"")</f>
        <v/>
      </c>
    </row>
    <row r="166">
      <c r="A166" s="38" t="n"/>
      <c r="B166" s="39" t="n"/>
      <c r="C166" s="39" t="n"/>
      <c r="D166" s="38" t="n"/>
      <c r="E166" s="38" t="n"/>
      <c r="F166" s="40" t="n"/>
      <c r="G166" s="40" t="n"/>
      <c r="H166" s="41" t="n"/>
      <c r="I166" s="41" t="n"/>
      <c r="J166" s="42" t="n"/>
      <c r="K166" s="42" t="n"/>
      <c r="L166" s="42" t="n"/>
      <c r="M166" s="41" t="n"/>
      <c r="N166" s="41" t="n"/>
      <c r="O166" s="41" t="n"/>
      <c r="P166" s="41" t="n"/>
      <c r="Q166" s="40" t="n"/>
      <c r="R166" s="38" t="n"/>
      <c r="S166" s="38" t="n"/>
      <c r="T166" s="39" t="n"/>
      <c r="U166" s="43" t="n"/>
      <c r="V166" s="44">
        <f>IFERROR(IF($A166="","",MAX($F166-$G166,0)),"")</f>
        <v/>
      </c>
      <c r="W166" s="45">
        <f>IFERROR(IF($A166="","",$H166+$I166),"")</f>
        <v/>
      </c>
      <c r="X166" s="45">
        <f>IFERROR(IF($A166="","",$H166*IF($J166="",'Assumptions'!$B$4,$J166)),"")</f>
        <v/>
      </c>
      <c r="Y166" s="45">
        <f>IFERROR(IF($A166="","",$X166*IF($K166="",'Assumptions'!$B$12,$K166)),"")</f>
        <v/>
      </c>
      <c r="Z166" s="45">
        <f>IFERROR(IF($A166="","",($X166+$Y166)*IF($L166="",'Assumptions'!$B$13,$L166)),"")</f>
        <v/>
      </c>
      <c r="AA166" s="45">
        <f>IFERROR(IF($A166="","",$X166+$Y166+$Z166),"")</f>
        <v/>
      </c>
      <c r="AB166" s="45">
        <f>IFERROR(IF($A166="","",$V166*'Assumptions'!$B$5),"")</f>
        <v/>
      </c>
      <c r="AC166" s="45">
        <f>IFERROR(IF($A166="","",$I166*'Assumptions'!$B$6),"")</f>
        <v/>
      </c>
      <c r="AD166" s="45">
        <f>IFERROR(IF($A166="","",$AB166+$AC166),"")</f>
        <v/>
      </c>
      <c r="AE166" s="45">
        <f>IFERROR(IF($A166="","",($M166+$N166)*'Assumptions'!$B$7),"")</f>
        <v/>
      </c>
      <c r="AF166" s="45">
        <f>IFERROR(IF($A166="","",($Q166/60)*'Assumptions'!$B$8),"")</f>
        <v/>
      </c>
      <c r="AG166" s="45">
        <f>IFERROR(IF($A166="","",$P166+$AE166+$AF166),"")</f>
        <v/>
      </c>
      <c r="AH166" s="45">
        <f>IFERROR(IF($A166="","",$M166+$O166),"")</f>
        <v/>
      </c>
      <c r="AI166" s="46">
        <f>IFERROR(IF($A166="","",IFERROR($AH166/$W166,0)),"")</f>
        <v/>
      </c>
      <c r="AJ166" s="45">
        <f>IFERROR(IF($A166="","",$W166-$AH166-$AD166+$AG166),"")</f>
        <v/>
      </c>
      <c r="AK166" s="47">
        <f>IFERROR(IF($A166="","",IF(OR($S166="Collected",$S166="Waived",$S166="Uncollectible",$S166="No Charge Due"),"",IF($T166="",$B166+'Assumptions'!$B$9,$T166+'Assumptions'!$B$9))),"")</f>
        <v/>
      </c>
      <c r="AL166" s="48">
        <f>IFERROR(IF($A166="","",IF(OR($S166="Collected",$S166="Waived",$S166="Uncollectible",$S166="No Charge Due"),"Closed",IF($AK166&lt;TODAY(),"Overdue",IF($AK166=TODAY(),"Due","Open")))),"")</f>
        <v/>
      </c>
      <c r="AM166" s="49">
        <f>IFERROR(IF($A166="","",IF(COUNTIF($A$5:$A$504,$A166)&gt;1,"Duplicate reservation ID",IF($C166&lt;=$B166,"Check stay dates",IF($G166&gt;$F166,"Resold nights exceed booked nights",IF($M166+$N166&gt;$AA166+0.01,"Collection exceeds expected amount",IF(AND($S166="Collected",$M166=0),"Collected status has no amount",IF($AJ166&gt;='Assumptions'!$B$10,"High-cost review","OK"))))))),"")</f>
        <v/>
      </c>
    </row>
    <row r="167">
      <c r="A167" s="38" t="n"/>
      <c r="B167" s="39" t="n"/>
      <c r="C167" s="39" t="n"/>
      <c r="D167" s="38" t="n"/>
      <c r="E167" s="38" t="n"/>
      <c r="F167" s="40" t="n"/>
      <c r="G167" s="40" t="n"/>
      <c r="H167" s="41" t="n"/>
      <c r="I167" s="41" t="n"/>
      <c r="J167" s="42" t="n"/>
      <c r="K167" s="42" t="n"/>
      <c r="L167" s="42" t="n"/>
      <c r="M167" s="41" t="n"/>
      <c r="N167" s="41" t="n"/>
      <c r="O167" s="41" t="n"/>
      <c r="P167" s="41" t="n"/>
      <c r="Q167" s="40" t="n"/>
      <c r="R167" s="38" t="n"/>
      <c r="S167" s="38" t="n"/>
      <c r="T167" s="39" t="n"/>
      <c r="U167" s="43" t="n"/>
      <c r="V167" s="44">
        <f>IFERROR(IF($A167="","",MAX($F167-$G167,0)),"")</f>
        <v/>
      </c>
      <c r="W167" s="45">
        <f>IFERROR(IF($A167="","",$H167+$I167),"")</f>
        <v/>
      </c>
      <c r="X167" s="45">
        <f>IFERROR(IF($A167="","",$H167*IF($J167="",'Assumptions'!$B$4,$J167)),"")</f>
        <v/>
      </c>
      <c r="Y167" s="45">
        <f>IFERROR(IF($A167="","",$X167*IF($K167="",'Assumptions'!$B$12,$K167)),"")</f>
        <v/>
      </c>
      <c r="Z167" s="45">
        <f>IFERROR(IF($A167="","",($X167+$Y167)*IF($L167="",'Assumptions'!$B$13,$L167)),"")</f>
        <v/>
      </c>
      <c r="AA167" s="45">
        <f>IFERROR(IF($A167="","",$X167+$Y167+$Z167),"")</f>
        <v/>
      </c>
      <c r="AB167" s="45">
        <f>IFERROR(IF($A167="","",$V167*'Assumptions'!$B$5),"")</f>
        <v/>
      </c>
      <c r="AC167" s="45">
        <f>IFERROR(IF($A167="","",$I167*'Assumptions'!$B$6),"")</f>
        <v/>
      </c>
      <c r="AD167" s="45">
        <f>IFERROR(IF($A167="","",$AB167+$AC167),"")</f>
        <v/>
      </c>
      <c r="AE167" s="45">
        <f>IFERROR(IF($A167="","",($M167+$N167)*'Assumptions'!$B$7),"")</f>
        <v/>
      </c>
      <c r="AF167" s="45">
        <f>IFERROR(IF($A167="","",($Q167/60)*'Assumptions'!$B$8),"")</f>
        <v/>
      </c>
      <c r="AG167" s="45">
        <f>IFERROR(IF($A167="","",$P167+$AE167+$AF167),"")</f>
        <v/>
      </c>
      <c r="AH167" s="45">
        <f>IFERROR(IF($A167="","",$M167+$O167),"")</f>
        <v/>
      </c>
      <c r="AI167" s="46">
        <f>IFERROR(IF($A167="","",IFERROR($AH167/$W167,0)),"")</f>
        <v/>
      </c>
      <c r="AJ167" s="45">
        <f>IFERROR(IF($A167="","",$W167-$AH167-$AD167+$AG167),"")</f>
        <v/>
      </c>
      <c r="AK167" s="47">
        <f>IFERROR(IF($A167="","",IF(OR($S167="Collected",$S167="Waived",$S167="Uncollectible",$S167="No Charge Due"),"",IF($T167="",$B167+'Assumptions'!$B$9,$T167+'Assumptions'!$B$9))),"")</f>
        <v/>
      </c>
      <c r="AL167" s="48">
        <f>IFERROR(IF($A167="","",IF(OR($S167="Collected",$S167="Waived",$S167="Uncollectible",$S167="No Charge Due"),"Closed",IF($AK167&lt;TODAY(),"Overdue",IF($AK167=TODAY(),"Due","Open")))),"")</f>
        <v/>
      </c>
      <c r="AM167" s="49">
        <f>IFERROR(IF($A167="","",IF(COUNTIF($A$5:$A$504,$A167)&gt;1,"Duplicate reservation ID",IF($C167&lt;=$B167,"Check stay dates",IF($G167&gt;$F167,"Resold nights exceed booked nights",IF($M167+$N167&gt;$AA167+0.01,"Collection exceeds expected amount",IF(AND($S167="Collected",$M167=0),"Collected status has no amount",IF($AJ167&gt;='Assumptions'!$B$10,"High-cost review","OK"))))))),"")</f>
        <v/>
      </c>
    </row>
    <row r="168">
      <c r="A168" s="38" t="n"/>
      <c r="B168" s="39" t="n"/>
      <c r="C168" s="39" t="n"/>
      <c r="D168" s="38" t="n"/>
      <c r="E168" s="38" t="n"/>
      <c r="F168" s="40" t="n"/>
      <c r="G168" s="40" t="n"/>
      <c r="H168" s="41" t="n"/>
      <c r="I168" s="41" t="n"/>
      <c r="J168" s="42" t="n"/>
      <c r="K168" s="42" t="n"/>
      <c r="L168" s="42" t="n"/>
      <c r="M168" s="41" t="n"/>
      <c r="N168" s="41" t="n"/>
      <c r="O168" s="41" t="n"/>
      <c r="P168" s="41" t="n"/>
      <c r="Q168" s="40" t="n"/>
      <c r="R168" s="38" t="n"/>
      <c r="S168" s="38" t="n"/>
      <c r="T168" s="39" t="n"/>
      <c r="U168" s="43" t="n"/>
      <c r="V168" s="44">
        <f>IFERROR(IF($A168="","",MAX($F168-$G168,0)),"")</f>
        <v/>
      </c>
      <c r="W168" s="45">
        <f>IFERROR(IF($A168="","",$H168+$I168),"")</f>
        <v/>
      </c>
      <c r="X168" s="45">
        <f>IFERROR(IF($A168="","",$H168*IF($J168="",'Assumptions'!$B$4,$J168)),"")</f>
        <v/>
      </c>
      <c r="Y168" s="45">
        <f>IFERROR(IF($A168="","",$X168*IF($K168="",'Assumptions'!$B$12,$K168)),"")</f>
        <v/>
      </c>
      <c r="Z168" s="45">
        <f>IFERROR(IF($A168="","",($X168+$Y168)*IF($L168="",'Assumptions'!$B$13,$L168)),"")</f>
        <v/>
      </c>
      <c r="AA168" s="45">
        <f>IFERROR(IF($A168="","",$X168+$Y168+$Z168),"")</f>
        <v/>
      </c>
      <c r="AB168" s="45">
        <f>IFERROR(IF($A168="","",$V168*'Assumptions'!$B$5),"")</f>
        <v/>
      </c>
      <c r="AC168" s="45">
        <f>IFERROR(IF($A168="","",$I168*'Assumptions'!$B$6),"")</f>
        <v/>
      </c>
      <c r="AD168" s="45">
        <f>IFERROR(IF($A168="","",$AB168+$AC168),"")</f>
        <v/>
      </c>
      <c r="AE168" s="45">
        <f>IFERROR(IF($A168="","",($M168+$N168)*'Assumptions'!$B$7),"")</f>
        <v/>
      </c>
      <c r="AF168" s="45">
        <f>IFERROR(IF($A168="","",($Q168/60)*'Assumptions'!$B$8),"")</f>
        <v/>
      </c>
      <c r="AG168" s="45">
        <f>IFERROR(IF($A168="","",$P168+$AE168+$AF168),"")</f>
        <v/>
      </c>
      <c r="AH168" s="45">
        <f>IFERROR(IF($A168="","",$M168+$O168),"")</f>
        <v/>
      </c>
      <c r="AI168" s="46">
        <f>IFERROR(IF($A168="","",IFERROR($AH168/$W168,0)),"")</f>
        <v/>
      </c>
      <c r="AJ168" s="45">
        <f>IFERROR(IF($A168="","",$W168-$AH168-$AD168+$AG168),"")</f>
        <v/>
      </c>
      <c r="AK168" s="47">
        <f>IFERROR(IF($A168="","",IF(OR($S168="Collected",$S168="Waived",$S168="Uncollectible",$S168="No Charge Due"),"",IF($T168="",$B168+'Assumptions'!$B$9,$T168+'Assumptions'!$B$9))),"")</f>
        <v/>
      </c>
      <c r="AL168" s="48">
        <f>IFERROR(IF($A168="","",IF(OR($S168="Collected",$S168="Waived",$S168="Uncollectible",$S168="No Charge Due"),"Closed",IF($AK168&lt;TODAY(),"Overdue",IF($AK168=TODAY(),"Due","Open")))),"")</f>
        <v/>
      </c>
      <c r="AM168" s="49">
        <f>IFERROR(IF($A168="","",IF(COUNTIF($A$5:$A$504,$A168)&gt;1,"Duplicate reservation ID",IF($C168&lt;=$B168,"Check stay dates",IF($G168&gt;$F168,"Resold nights exceed booked nights",IF($M168+$N168&gt;$AA168+0.01,"Collection exceeds expected amount",IF(AND($S168="Collected",$M168=0),"Collected status has no amount",IF($AJ168&gt;='Assumptions'!$B$10,"High-cost review","OK"))))))),"")</f>
        <v/>
      </c>
    </row>
    <row r="169">
      <c r="A169" s="38" t="n"/>
      <c r="B169" s="39" t="n"/>
      <c r="C169" s="39" t="n"/>
      <c r="D169" s="38" t="n"/>
      <c r="E169" s="38" t="n"/>
      <c r="F169" s="40" t="n"/>
      <c r="G169" s="40" t="n"/>
      <c r="H169" s="41" t="n"/>
      <c r="I169" s="41" t="n"/>
      <c r="J169" s="42" t="n"/>
      <c r="K169" s="42" t="n"/>
      <c r="L169" s="42" t="n"/>
      <c r="M169" s="41" t="n"/>
      <c r="N169" s="41" t="n"/>
      <c r="O169" s="41" t="n"/>
      <c r="P169" s="41" t="n"/>
      <c r="Q169" s="40" t="n"/>
      <c r="R169" s="38" t="n"/>
      <c r="S169" s="38" t="n"/>
      <c r="T169" s="39" t="n"/>
      <c r="U169" s="43" t="n"/>
      <c r="V169" s="44">
        <f>IFERROR(IF($A169="","",MAX($F169-$G169,0)),"")</f>
        <v/>
      </c>
      <c r="W169" s="45">
        <f>IFERROR(IF($A169="","",$H169+$I169),"")</f>
        <v/>
      </c>
      <c r="X169" s="45">
        <f>IFERROR(IF($A169="","",$H169*IF($J169="",'Assumptions'!$B$4,$J169)),"")</f>
        <v/>
      </c>
      <c r="Y169" s="45">
        <f>IFERROR(IF($A169="","",$X169*IF($K169="",'Assumptions'!$B$12,$K169)),"")</f>
        <v/>
      </c>
      <c r="Z169" s="45">
        <f>IFERROR(IF($A169="","",($X169+$Y169)*IF($L169="",'Assumptions'!$B$13,$L169)),"")</f>
        <v/>
      </c>
      <c r="AA169" s="45">
        <f>IFERROR(IF($A169="","",$X169+$Y169+$Z169),"")</f>
        <v/>
      </c>
      <c r="AB169" s="45">
        <f>IFERROR(IF($A169="","",$V169*'Assumptions'!$B$5),"")</f>
        <v/>
      </c>
      <c r="AC169" s="45">
        <f>IFERROR(IF($A169="","",$I169*'Assumptions'!$B$6),"")</f>
        <v/>
      </c>
      <c r="AD169" s="45">
        <f>IFERROR(IF($A169="","",$AB169+$AC169),"")</f>
        <v/>
      </c>
      <c r="AE169" s="45">
        <f>IFERROR(IF($A169="","",($M169+$N169)*'Assumptions'!$B$7),"")</f>
        <v/>
      </c>
      <c r="AF169" s="45">
        <f>IFERROR(IF($A169="","",($Q169/60)*'Assumptions'!$B$8),"")</f>
        <v/>
      </c>
      <c r="AG169" s="45">
        <f>IFERROR(IF($A169="","",$P169+$AE169+$AF169),"")</f>
        <v/>
      </c>
      <c r="AH169" s="45">
        <f>IFERROR(IF($A169="","",$M169+$O169),"")</f>
        <v/>
      </c>
      <c r="AI169" s="46">
        <f>IFERROR(IF($A169="","",IFERROR($AH169/$W169,0)),"")</f>
        <v/>
      </c>
      <c r="AJ169" s="45">
        <f>IFERROR(IF($A169="","",$W169-$AH169-$AD169+$AG169),"")</f>
        <v/>
      </c>
      <c r="AK169" s="47">
        <f>IFERROR(IF($A169="","",IF(OR($S169="Collected",$S169="Waived",$S169="Uncollectible",$S169="No Charge Due"),"",IF($T169="",$B169+'Assumptions'!$B$9,$T169+'Assumptions'!$B$9))),"")</f>
        <v/>
      </c>
      <c r="AL169" s="48">
        <f>IFERROR(IF($A169="","",IF(OR($S169="Collected",$S169="Waived",$S169="Uncollectible",$S169="No Charge Due"),"Closed",IF($AK169&lt;TODAY(),"Overdue",IF($AK169=TODAY(),"Due","Open")))),"")</f>
        <v/>
      </c>
      <c r="AM169" s="49">
        <f>IFERROR(IF($A169="","",IF(COUNTIF($A$5:$A$504,$A169)&gt;1,"Duplicate reservation ID",IF($C169&lt;=$B169,"Check stay dates",IF($G169&gt;$F169,"Resold nights exceed booked nights",IF($M169+$N169&gt;$AA169+0.01,"Collection exceeds expected amount",IF(AND($S169="Collected",$M169=0),"Collected status has no amount",IF($AJ169&gt;='Assumptions'!$B$10,"High-cost review","OK"))))))),"")</f>
        <v/>
      </c>
    </row>
    <row r="170">
      <c r="A170" s="38" t="n"/>
      <c r="B170" s="39" t="n"/>
      <c r="C170" s="39" t="n"/>
      <c r="D170" s="38" t="n"/>
      <c r="E170" s="38" t="n"/>
      <c r="F170" s="40" t="n"/>
      <c r="G170" s="40" t="n"/>
      <c r="H170" s="41" t="n"/>
      <c r="I170" s="41" t="n"/>
      <c r="J170" s="42" t="n"/>
      <c r="K170" s="42" t="n"/>
      <c r="L170" s="42" t="n"/>
      <c r="M170" s="41" t="n"/>
      <c r="N170" s="41" t="n"/>
      <c r="O170" s="41" t="n"/>
      <c r="P170" s="41" t="n"/>
      <c r="Q170" s="40" t="n"/>
      <c r="R170" s="38" t="n"/>
      <c r="S170" s="38" t="n"/>
      <c r="T170" s="39" t="n"/>
      <c r="U170" s="43" t="n"/>
      <c r="V170" s="44">
        <f>IFERROR(IF($A170="","",MAX($F170-$G170,0)),"")</f>
        <v/>
      </c>
      <c r="W170" s="45">
        <f>IFERROR(IF($A170="","",$H170+$I170),"")</f>
        <v/>
      </c>
      <c r="X170" s="45">
        <f>IFERROR(IF($A170="","",$H170*IF($J170="",'Assumptions'!$B$4,$J170)),"")</f>
        <v/>
      </c>
      <c r="Y170" s="45">
        <f>IFERROR(IF($A170="","",$X170*IF($K170="",'Assumptions'!$B$12,$K170)),"")</f>
        <v/>
      </c>
      <c r="Z170" s="45">
        <f>IFERROR(IF($A170="","",($X170+$Y170)*IF($L170="",'Assumptions'!$B$13,$L170)),"")</f>
        <v/>
      </c>
      <c r="AA170" s="45">
        <f>IFERROR(IF($A170="","",$X170+$Y170+$Z170),"")</f>
        <v/>
      </c>
      <c r="AB170" s="45">
        <f>IFERROR(IF($A170="","",$V170*'Assumptions'!$B$5),"")</f>
        <v/>
      </c>
      <c r="AC170" s="45">
        <f>IFERROR(IF($A170="","",$I170*'Assumptions'!$B$6),"")</f>
        <v/>
      </c>
      <c r="AD170" s="45">
        <f>IFERROR(IF($A170="","",$AB170+$AC170),"")</f>
        <v/>
      </c>
      <c r="AE170" s="45">
        <f>IFERROR(IF($A170="","",($M170+$N170)*'Assumptions'!$B$7),"")</f>
        <v/>
      </c>
      <c r="AF170" s="45">
        <f>IFERROR(IF($A170="","",($Q170/60)*'Assumptions'!$B$8),"")</f>
        <v/>
      </c>
      <c r="AG170" s="45">
        <f>IFERROR(IF($A170="","",$P170+$AE170+$AF170),"")</f>
        <v/>
      </c>
      <c r="AH170" s="45">
        <f>IFERROR(IF($A170="","",$M170+$O170),"")</f>
        <v/>
      </c>
      <c r="AI170" s="46">
        <f>IFERROR(IF($A170="","",IFERROR($AH170/$W170,0)),"")</f>
        <v/>
      </c>
      <c r="AJ170" s="45">
        <f>IFERROR(IF($A170="","",$W170-$AH170-$AD170+$AG170),"")</f>
        <v/>
      </c>
      <c r="AK170" s="47">
        <f>IFERROR(IF($A170="","",IF(OR($S170="Collected",$S170="Waived",$S170="Uncollectible",$S170="No Charge Due"),"",IF($T170="",$B170+'Assumptions'!$B$9,$T170+'Assumptions'!$B$9))),"")</f>
        <v/>
      </c>
      <c r="AL170" s="48">
        <f>IFERROR(IF($A170="","",IF(OR($S170="Collected",$S170="Waived",$S170="Uncollectible",$S170="No Charge Due"),"Closed",IF($AK170&lt;TODAY(),"Overdue",IF($AK170=TODAY(),"Due","Open")))),"")</f>
        <v/>
      </c>
      <c r="AM170" s="49">
        <f>IFERROR(IF($A170="","",IF(COUNTIF($A$5:$A$504,$A170)&gt;1,"Duplicate reservation ID",IF($C170&lt;=$B170,"Check stay dates",IF($G170&gt;$F170,"Resold nights exceed booked nights",IF($M170+$N170&gt;$AA170+0.01,"Collection exceeds expected amount",IF(AND($S170="Collected",$M170=0),"Collected status has no amount",IF($AJ170&gt;='Assumptions'!$B$10,"High-cost review","OK"))))))),"")</f>
        <v/>
      </c>
    </row>
    <row r="171">
      <c r="A171" s="38" t="n"/>
      <c r="B171" s="39" t="n"/>
      <c r="C171" s="39" t="n"/>
      <c r="D171" s="38" t="n"/>
      <c r="E171" s="38" t="n"/>
      <c r="F171" s="40" t="n"/>
      <c r="G171" s="40" t="n"/>
      <c r="H171" s="41" t="n"/>
      <c r="I171" s="41" t="n"/>
      <c r="J171" s="42" t="n"/>
      <c r="K171" s="42" t="n"/>
      <c r="L171" s="42" t="n"/>
      <c r="M171" s="41" t="n"/>
      <c r="N171" s="41" t="n"/>
      <c r="O171" s="41" t="n"/>
      <c r="P171" s="41" t="n"/>
      <c r="Q171" s="40" t="n"/>
      <c r="R171" s="38" t="n"/>
      <c r="S171" s="38" t="n"/>
      <c r="T171" s="39" t="n"/>
      <c r="U171" s="43" t="n"/>
      <c r="V171" s="44">
        <f>IFERROR(IF($A171="","",MAX($F171-$G171,0)),"")</f>
        <v/>
      </c>
      <c r="W171" s="45">
        <f>IFERROR(IF($A171="","",$H171+$I171),"")</f>
        <v/>
      </c>
      <c r="X171" s="45">
        <f>IFERROR(IF($A171="","",$H171*IF($J171="",'Assumptions'!$B$4,$J171)),"")</f>
        <v/>
      </c>
      <c r="Y171" s="45">
        <f>IFERROR(IF($A171="","",$X171*IF($K171="",'Assumptions'!$B$12,$K171)),"")</f>
        <v/>
      </c>
      <c r="Z171" s="45">
        <f>IFERROR(IF($A171="","",($X171+$Y171)*IF($L171="",'Assumptions'!$B$13,$L171)),"")</f>
        <v/>
      </c>
      <c r="AA171" s="45">
        <f>IFERROR(IF($A171="","",$X171+$Y171+$Z171),"")</f>
        <v/>
      </c>
      <c r="AB171" s="45">
        <f>IFERROR(IF($A171="","",$V171*'Assumptions'!$B$5),"")</f>
        <v/>
      </c>
      <c r="AC171" s="45">
        <f>IFERROR(IF($A171="","",$I171*'Assumptions'!$B$6),"")</f>
        <v/>
      </c>
      <c r="AD171" s="45">
        <f>IFERROR(IF($A171="","",$AB171+$AC171),"")</f>
        <v/>
      </c>
      <c r="AE171" s="45">
        <f>IFERROR(IF($A171="","",($M171+$N171)*'Assumptions'!$B$7),"")</f>
        <v/>
      </c>
      <c r="AF171" s="45">
        <f>IFERROR(IF($A171="","",($Q171/60)*'Assumptions'!$B$8),"")</f>
        <v/>
      </c>
      <c r="AG171" s="45">
        <f>IFERROR(IF($A171="","",$P171+$AE171+$AF171),"")</f>
        <v/>
      </c>
      <c r="AH171" s="45">
        <f>IFERROR(IF($A171="","",$M171+$O171),"")</f>
        <v/>
      </c>
      <c r="AI171" s="46">
        <f>IFERROR(IF($A171="","",IFERROR($AH171/$W171,0)),"")</f>
        <v/>
      </c>
      <c r="AJ171" s="45">
        <f>IFERROR(IF($A171="","",$W171-$AH171-$AD171+$AG171),"")</f>
        <v/>
      </c>
      <c r="AK171" s="47">
        <f>IFERROR(IF($A171="","",IF(OR($S171="Collected",$S171="Waived",$S171="Uncollectible",$S171="No Charge Due"),"",IF($T171="",$B171+'Assumptions'!$B$9,$T171+'Assumptions'!$B$9))),"")</f>
        <v/>
      </c>
      <c r="AL171" s="48">
        <f>IFERROR(IF($A171="","",IF(OR($S171="Collected",$S171="Waived",$S171="Uncollectible",$S171="No Charge Due"),"Closed",IF($AK171&lt;TODAY(),"Overdue",IF($AK171=TODAY(),"Due","Open")))),"")</f>
        <v/>
      </c>
      <c r="AM171" s="49">
        <f>IFERROR(IF($A171="","",IF(COUNTIF($A$5:$A$504,$A171)&gt;1,"Duplicate reservation ID",IF($C171&lt;=$B171,"Check stay dates",IF($G171&gt;$F171,"Resold nights exceed booked nights",IF($M171+$N171&gt;$AA171+0.01,"Collection exceeds expected amount",IF(AND($S171="Collected",$M171=0),"Collected status has no amount",IF($AJ171&gt;='Assumptions'!$B$10,"High-cost review","OK"))))))),"")</f>
        <v/>
      </c>
    </row>
    <row r="172">
      <c r="A172" s="38" t="n"/>
      <c r="B172" s="39" t="n"/>
      <c r="C172" s="39" t="n"/>
      <c r="D172" s="38" t="n"/>
      <c r="E172" s="38" t="n"/>
      <c r="F172" s="40" t="n"/>
      <c r="G172" s="40" t="n"/>
      <c r="H172" s="41" t="n"/>
      <c r="I172" s="41" t="n"/>
      <c r="J172" s="42" t="n"/>
      <c r="K172" s="42" t="n"/>
      <c r="L172" s="42" t="n"/>
      <c r="M172" s="41" t="n"/>
      <c r="N172" s="41" t="n"/>
      <c r="O172" s="41" t="n"/>
      <c r="P172" s="41" t="n"/>
      <c r="Q172" s="40" t="n"/>
      <c r="R172" s="38" t="n"/>
      <c r="S172" s="38" t="n"/>
      <c r="T172" s="39" t="n"/>
      <c r="U172" s="43" t="n"/>
      <c r="V172" s="44">
        <f>IFERROR(IF($A172="","",MAX($F172-$G172,0)),"")</f>
        <v/>
      </c>
      <c r="W172" s="45">
        <f>IFERROR(IF($A172="","",$H172+$I172),"")</f>
        <v/>
      </c>
      <c r="X172" s="45">
        <f>IFERROR(IF($A172="","",$H172*IF($J172="",'Assumptions'!$B$4,$J172)),"")</f>
        <v/>
      </c>
      <c r="Y172" s="45">
        <f>IFERROR(IF($A172="","",$X172*IF($K172="",'Assumptions'!$B$12,$K172)),"")</f>
        <v/>
      </c>
      <c r="Z172" s="45">
        <f>IFERROR(IF($A172="","",($X172+$Y172)*IF($L172="",'Assumptions'!$B$13,$L172)),"")</f>
        <v/>
      </c>
      <c r="AA172" s="45">
        <f>IFERROR(IF($A172="","",$X172+$Y172+$Z172),"")</f>
        <v/>
      </c>
      <c r="AB172" s="45">
        <f>IFERROR(IF($A172="","",$V172*'Assumptions'!$B$5),"")</f>
        <v/>
      </c>
      <c r="AC172" s="45">
        <f>IFERROR(IF($A172="","",$I172*'Assumptions'!$B$6),"")</f>
        <v/>
      </c>
      <c r="AD172" s="45">
        <f>IFERROR(IF($A172="","",$AB172+$AC172),"")</f>
        <v/>
      </c>
      <c r="AE172" s="45">
        <f>IFERROR(IF($A172="","",($M172+$N172)*'Assumptions'!$B$7),"")</f>
        <v/>
      </c>
      <c r="AF172" s="45">
        <f>IFERROR(IF($A172="","",($Q172/60)*'Assumptions'!$B$8),"")</f>
        <v/>
      </c>
      <c r="AG172" s="45">
        <f>IFERROR(IF($A172="","",$P172+$AE172+$AF172),"")</f>
        <v/>
      </c>
      <c r="AH172" s="45">
        <f>IFERROR(IF($A172="","",$M172+$O172),"")</f>
        <v/>
      </c>
      <c r="AI172" s="46">
        <f>IFERROR(IF($A172="","",IFERROR($AH172/$W172,0)),"")</f>
        <v/>
      </c>
      <c r="AJ172" s="45">
        <f>IFERROR(IF($A172="","",$W172-$AH172-$AD172+$AG172),"")</f>
        <v/>
      </c>
      <c r="AK172" s="47">
        <f>IFERROR(IF($A172="","",IF(OR($S172="Collected",$S172="Waived",$S172="Uncollectible",$S172="No Charge Due"),"",IF($T172="",$B172+'Assumptions'!$B$9,$T172+'Assumptions'!$B$9))),"")</f>
        <v/>
      </c>
      <c r="AL172" s="48">
        <f>IFERROR(IF($A172="","",IF(OR($S172="Collected",$S172="Waived",$S172="Uncollectible",$S172="No Charge Due"),"Closed",IF($AK172&lt;TODAY(),"Overdue",IF($AK172=TODAY(),"Due","Open")))),"")</f>
        <v/>
      </c>
      <c r="AM172" s="49">
        <f>IFERROR(IF($A172="","",IF(COUNTIF($A$5:$A$504,$A172)&gt;1,"Duplicate reservation ID",IF($C172&lt;=$B172,"Check stay dates",IF($G172&gt;$F172,"Resold nights exceed booked nights",IF($M172+$N172&gt;$AA172+0.01,"Collection exceeds expected amount",IF(AND($S172="Collected",$M172=0),"Collected status has no amount",IF($AJ172&gt;='Assumptions'!$B$10,"High-cost review","OK"))))))),"")</f>
        <v/>
      </c>
    </row>
    <row r="173">
      <c r="A173" s="38" t="n"/>
      <c r="B173" s="39" t="n"/>
      <c r="C173" s="39" t="n"/>
      <c r="D173" s="38" t="n"/>
      <c r="E173" s="38" t="n"/>
      <c r="F173" s="40" t="n"/>
      <c r="G173" s="40" t="n"/>
      <c r="H173" s="41" t="n"/>
      <c r="I173" s="41" t="n"/>
      <c r="J173" s="42" t="n"/>
      <c r="K173" s="42" t="n"/>
      <c r="L173" s="42" t="n"/>
      <c r="M173" s="41" t="n"/>
      <c r="N173" s="41" t="n"/>
      <c r="O173" s="41" t="n"/>
      <c r="P173" s="41" t="n"/>
      <c r="Q173" s="40" t="n"/>
      <c r="R173" s="38" t="n"/>
      <c r="S173" s="38" t="n"/>
      <c r="T173" s="39" t="n"/>
      <c r="U173" s="43" t="n"/>
      <c r="V173" s="44">
        <f>IFERROR(IF($A173="","",MAX($F173-$G173,0)),"")</f>
        <v/>
      </c>
      <c r="W173" s="45">
        <f>IFERROR(IF($A173="","",$H173+$I173),"")</f>
        <v/>
      </c>
      <c r="X173" s="45">
        <f>IFERROR(IF($A173="","",$H173*IF($J173="",'Assumptions'!$B$4,$J173)),"")</f>
        <v/>
      </c>
      <c r="Y173" s="45">
        <f>IFERROR(IF($A173="","",$X173*IF($K173="",'Assumptions'!$B$12,$K173)),"")</f>
        <v/>
      </c>
      <c r="Z173" s="45">
        <f>IFERROR(IF($A173="","",($X173+$Y173)*IF($L173="",'Assumptions'!$B$13,$L173)),"")</f>
        <v/>
      </c>
      <c r="AA173" s="45">
        <f>IFERROR(IF($A173="","",$X173+$Y173+$Z173),"")</f>
        <v/>
      </c>
      <c r="AB173" s="45">
        <f>IFERROR(IF($A173="","",$V173*'Assumptions'!$B$5),"")</f>
        <v/>
      </c>
      <c r="AC173" s="45">
        <f>IFERROR(IF($A173="","",$I173*'Assumptions'!$B$6),"")</f>
        <v/>
      </c>
      <c r="AD173" s="45">
        <f>IFERROR(IF($A173="","",$AB173+$AC173),"")</f>
        <v/>
      </c>
      <c r="AE173" s="45">
        <f>IFERROR(IF($A173="","",($M173+$N173)*'Assumptions'!$B$7),"")</f>
        <v/>
      </c>
      <c r="AF173" s="45">
        <f>IFERROR(IF($A173="","",($Q173/60)*'Assumptions'!$B$8),"")</f>
        <v/>
      </c>
      <c r="AG173" s="45">
        <f>IFERROR(IF($A173="","",$P173+$AE173+$AF173),"")</f>
        <v/>
      </c>
      <c r="AH173" s="45">
        <f>IFERROR(IF($A173="","",$M173+$O173),"")</f>
        <v/>
      </c>
      <c r="AI173" s="46">
        <f>IFERROR(IF($A173="","",IFERROR($AH173/$W173,0)),"")</f>
        <v/>
      </c>
      <c r="AJ173" s="45">
        <f>IFERROR(IF($A173="","",$W173-$AH173-$AD173+$AG173),"")</f>
        <v/>
      </c>
      <c r="AK173" s="47">
        <f>IFERROR(IF($A173="","",IF(OR($S173="Collected",$S173="Waived",$S173="Uncollectible",$S173="No Charge Due"),"",IF($T173="",$B173+'Assumptions'!$B$9,$T173+'Assumptions'!$B$9))),"")</f>
        <v/>
      </c>
      <c r="AL173" s="48">
        <f>IFERROR(IF($A173="","",IF(OR($S173="Collected",$S173="Waived",$S173="Uncollectible",$S173="No Charge Due"),"Closed",IF($AK173&lt;TODAY(),"Overdue",IF($AK173=TODAY(),"Due","Open")))),"")</f>
        <v/>
      </c>
      <c r="AM173" s="49">
        <f>IFERROR(IF($A173="","",IF(COUNTIF($A$5:$A$504,$A173)&gt;1,"Duplicate reservation ID",IF($C173&lt;=$B173,"Check stay dates",IF($G173&gt;$F173,"Resold nights exceed booked nights",IF($M173+$N173&gt;$AA173+0.01,"Collection exceeds expected amount",IF(AND($S173="Collected",$M173=0),"Collected status has no amount",IF($AJ173&gt;='Assumptions'!$B$10,"High-cost review","OK"))))))),"")</f>
        <v/>
      </c>
    </row>
    <row r="174">
      <c r="A174" s="38" t="n"/>
      <c r="B174" s="39" t="n"/>
      <c r="C174" s="39" t="n"/>
      <c r="D174" s="38" t="n"/>
      <c r="E174" s="38" t="n"/>
      <c r="F174" s="40" t="n"/>
      <c r="G174" s="40" t="n"/>
      <c r="H174" s="41" t="n"/>
      <c r="I174" s="41" t="n"/>
      <c r="J174" s="42" t="n"/>
      <c r="K174" s="42" t="n"/>
      <c r="L174" s="42" t="n"/>
      <c r="M174" s="41" t="n"/>
      <c r="N174" s="41" t="n"/>
      <c r="O174" s="41" t="n"/>
      <c r="P174" s="41" t="n"/>
      <c r="Q174" s="40" t="n"/>
      <c r="R174" s="38" t="n"/>
      <c r="S174" s="38" t="n"/>
      <c r="T174" s="39" t="n"/>
      <c r="U174" s="43" t="n"/>
      <c r="V174" s="44">
        <f>IFERROR(IF($A174="","",MAX($F174-$G174,0)),"")</f>
        <v/>
      </c>
      <c r="W174" s="45">
        <f>IFERROR(IF($A174="","",$H174+$I174),"")</f>
        <v/>
      </c>
      <c r="X174" s="45">
        <f>IFERROR(IF($A174="","",$H174*IF($J174="",'Assumptions'!$B$4,$J174)),"")</f>
        <v/>
      </c>
      <c r="Y174" s="45">
        <f>IFERROR(IF($A174="","",$X174*IF($K174="",'Assumptions'!$B$12,$K174)),"")</f>
        <v/>
      </c>
      <c r="Z174" s="45">
        <f>IFERROR(IF($A174="","",($X174+$Y174)*IF($L174="",'Assumptions'!$B$13,$L174)),"")</f>
        <v/>
      </c>
      <c r="AA174" s="45">
        <f>IFERROR(IF($A174="","",$X174+$Y174+$Z174),"")</f>
        <v/>
      </c>
      <c r="AB174" s="45">
        <f>IFERROR(IF($A174="","",$V174*'Assumptions'!$B$5),"")</f>
        <v/>
      </c>
      <c r="AC174" s="45">
        <f>IFERROR(IF($A174="","",$I174*'Assumptions'!$B$6),"")</f>
        <v/>
      </c>
      <c r="AD174" s="45">
        <f>IFERROR(IF($A174="","",$AB174+$AC174),"")</f>
        <v/>
      </c>
      <c r="AE174" s="45">
        <f>IFERROR(IF($A174="","",($M174+$N174)*'Assumptions'!$B$7),"")</f>
        <v/>
      </c>
      <c r="AF174" s="45">
        <f>IFERROR(IF($A174="","",($Q174/60)*'Assumptions'!$B$8),"")</f>
        <v/>
      </c>
      <c r="AG174" s="45">
        <f>IFERROR(IF($A174="","",$P174+$AE174+$AF174),"")</f>
        <v/>
      </c>
      <c r="AH174" s="45">
        <f>IFERROR(IF($A174="","",$M174+$O174),"")</f>
        <v/>
      </c>
      <c r="AI174" s="46">
        <f>IFERROR(IF($A174="","",IFERROR($AH174/$W174,0)),"")</f>
        <v/>
      </c>
      <c r="AJ174" s="45">
        <f>IFERROR(IF($A174="","",$W174-$AH174-$AD174+$AG174),"")</f>
        <v/>
      </c>
      <c r="AK174" s="47">
        <f>IFERROR(IF($A174="","",IF(OR($S174="Collected",$S174="Waived",$S174="Uncollectible",$S174="No Charge Due"),"",IF($T174="",$B174+'Assumptions'!$B$9,$T174+'Assumptions'!$B$9))),"")</f>
        <v/>
      </c>
      <c r="AL174" s="48">
        <f>IFERROR(IF($A174="","",IF(OR($S174="Collected",$S174="Waived",$S174="Uncollectible",$S174="No Charge Due"),"Closed",IF($AK174&lt;TODAY(),"Overdue",IF($AK174=TODAY(),"Due","Open")))),"")</f>
        <v/>
      </c>
      <c r="AM174" s="49">
        <f>IFERROR(IF($A174="","",IF(COUNTIF($A$5:$A$504,$A174)&gt;1,"Duplicate reservation ID",IF($C174&lt;=$B174,"Check stay dates",IF($G174&gt;$F174,"Resold nights exceed booked nights",IF($M174+$N174&gt;$AA174+0.01,"Collection exceeds expected amount",IF(AND($S174="Collected",$M174=0),"Collected status has no amount",IF($AJ174&gt;='Assumptions'!$B$10,"High-cost review","OK"))))))),"")</f>
        <v/>
      </c>
    </row>
    <row r="175">
      <c r="A175" s="38" t="n"/>
      <c r="B175" s="39" t="n"/>
      <c r="C175" s="39" t="n"/>
      <c r="D175" s="38" t="n"/>
      <c r="E175" s="38" t="n"/>
      <c r="F175" s="40" t="n"/>
      <c r="G175" s="40" t="n"/>
      <c r="H175" s="41" t="n"/>
      <c r="I175" s="41" t="n"/>
      <c r="J175" s="42" t="n"/>
      <c r="K175" s="42" t="n"/>
      <c r="L175" s="42" t="n"/>
      <c r="M175" s="41" t="n"/>
      <c r="N175" s="41" t="n"/>
      <c r="O175" s="41" t="n"/>
      <c r="P175" s="41" t="n"/>
      <c r="Q175" s="40" t="n"/>
      <c r="R175" s="38" t="n"/>
      <c r="S175" s="38" t="n"/>
      <c r="T175" s="39" t="n"/>
      <c r="U175" s="43" t="n"/>
      <c r="V175" s="44">
        <f>IFERROR(IF($A175="","",MAX($F175-$G175,0)),"")</f>
        <v/>
      </c>
      <c r="W175" s="45">
        <f>IFERROR(IF($A175="","",$H175+$I175),"")</f>
        <v/>
      </c>
      <c r="X175" s="45">
        <f>IFERROR(IF($A175="","",$H175*IF($J175="",'Assumptions'!$B$4,$J175)),"")</f>
        <v/>
      </c>
      <c r="Y175" s="45">
        <f>IFERROR(IF($A175="","",$X175*IF($K175="",'Assumptions'!$B$12,$K175)),"")</f>
        <v/>
      </c>
      <c r="Z175" s="45">
        <f>IFERROR(IF($A175="","",($X175+$Y175)*IF($L175="",'Assumptions'!$B$13,$L175)),"")</f>
        <v/>
      </c>
      <c r="AA175" s="45">
        <f>IFERROR(IF($A175="","",$X175+$Y175+$Z175),"")</f>
        <v/>
      </c>
      <c r="AB175" s="45">
        <f>IFERROR(IF($A175="","",$V175*'Assumptions'!$B$5),"")</f>
        <v/>
      </c>
      <c r="AC175" s="45">
        <f>IFERROR(IF($A175="","",$I175*'Assumptions'!$B$6),"")</f>
        <v/>
      </c>
      <c r="AD175" s="45">
        <f>IFERROR(IF($A175="","",$AB175+$AC175),"")</f>
        <v/>
      </c>
      <c r="AE175" s="45">
        <f>IFERROR(IF($A175="","",($M175+$N175)*'Assumptions'!$B$7),"")</f>
        <v/>
      </c>
      <c r="AF175" s="45">
        <f>IFERROR(IF($A175="","",($Q175/60)*'Assumptions'!$B$8),"")</f>
        <v/>
      </c>
      <c r="AG175" s="45">
        <f>IFERROR(IF($A175="","",$P175+$AE175+$AF175),"")</f>
        <v/>
      </c>
      <c r="AH175" s="45">
        <f>IFERROR(IF($A175="","",$M175+$O175),"")</f>
        <v/>
      </c>
      <c r="AI175" s="46">
        <f>IFERROR(IF($A175="","",IFERROR($AH175/$W175,0)),"")</f>
        <v/>
      </c>
      <c r="AJ175" s="45">
        <f>IFERROR(IF($A175="","",$W175-$AH175-$AD175+$AG175),"")</f>
        <v/>
      </c>
      <c r="AK175" s="47">
        <f>IFERROR(IF($A175="","",IF(OR($S175="Collected",$S175="Waived",$S175="Uncollectible",$S175="No Charge Due"),"",IF($T175="",$B175+'Assumptions'!$B$9,$T175+'Assumptions'!$B$9))),"")</f>
        <v/>
      </c>
      <c r="AL175" s="48">
        <f>IFERROR(IF($A175="","",IF(OR($S175="Collected",$S175="Waived",$S175="Uncollectible",$S175="No Charge Due"),"Closed",IF($AK175&lt;TODAY(),"Overdue",IF($AK175=TODAY(),"Due","Open")))),"")</f>
        <v/>
      </c>
      <c r="AM175" s="49">
        <f>IFERROR(IF($A175="","",IF(COUNTIF($A$5:$A$504,$A175)&gt;1,"Duplicate reservation ID",IF($C175&lt;=$B175,"Check stay dates",IF($G175&gt;$F175,"Resold nights exceed booked nights",IF($M175+$N175&gt;$AA175+0.01,"Collection exceeds expected amount",IF(AND($S175="Collected",$M175=0),"Collected status has no amount",IF($AJ175&gt;='Assumptions'!$B$10,"High-cost review","OK"))))))),"")</f>
        <v/>
      </c>
    </row>
    <row r="176">
      <c r="A176" s="38" t="n"/>
      <c r="B176" s="39" t="n"/>
      <c r="C176" s="39" t="n"/>
      <c r="D176" s="38" t="n"/>
      <c r="E176" s="38" t="n"/>
      <c r="F176" s="40" t="n"/>
      <c r="G176" s="40" t="n"/>
      <c r="H176" s="41" t="n"/>
      <c r="I176" s="41" t="n"/>
      <c r="J176" s="42" t="n"/>
      <c r="K176" s="42" t="n"/>
      <c r="L176" s="42" t="n"/>
      <c r="M176" s="41" t="n"/>
      <c r="N176" s="41" t="n"/>
      <c r="O176" s="41" t="n"/>
      <c r="P176" s="41" t="n"/>
      <c r="Q176" s="40" t="n"/>
      <c r="R176" s="38" t="n"/>
      <c r="S176" s="38" t="n"/>
      <c r="T176" s="39" t="n"/>
      <c r="U176" s="43" t="n"/>
      <c r="V176" s="44">
        <f>IFERROR(IF($A176="","",MAX($F176-$G176,0)),"")</f>
        <v/>
      </c>
      <c r="W176" s="45">
        <f>IFERROR(IF($A176="","",$H176+$I176),"")</f>
        <v/>
      </c>
      <c r="X176" s="45">
        <f>IFERROR(IF($A176="","",$H176*IF($J176="",'Assumptions'!$B$4,$J176)),"")</f>
        <v/>
      </c>
      <c r="Y176" s="45">
        <f>IFERROR(IF($A176="","",$X176*IF($K176="",'Assumptions'!$B$12,$K176)),"")</f>
        <v/>
      </c>
      <c r="Z176" s="45">
        <f>IFERROR(IF($A176="","",($X176+$Y176)*IF($L176="",'Assumptions'!$B$13,$L176)),"")</f>
        <v/>
      </c>
      <c r="AA176" s="45">
        <f>IFERROR(IF($A176="","",$X176+$Y176+$Z176),"")</f>
        <v/>
      </c>
      <c r="AB176" s="45">
        <f>IFERROR(IF($A176="","",$V176*'Assumptions'!$B$5),"")</f>
        <v/>
      </c>
      <c r="AC176" s="45">
        <f>IFERROR(IF($A176="","",$I176*'Assumptions'!$B$6),"")</f>
        <v/>
      </c>
      <c r="AD176" s="45">
        <f>IFERROR(IF($A176="","",$AB176+$AC176),"")</f>
        <v/>
      </c>
      <c r="AE176" s="45">
        <f>IFERROR(IF($A176="","",($M176+$N176)*'Assumptions'!$B$7),"")</f>
        <v/>
      </c>
      <c r="AF176" s="45">
        <f>IFERROR(IF($A176="","",($Q176/60)*'Assumptions'!$B$8),"")</f>
        <v/>
      </c>
      <c r="AG176" s="45">
        <f>IFERROR(IF($A176="","",$P176+$AE176+$AF176),"")</f>
        <v/>
      </c>
      <c r="AH176" s="45">
        <f>IFERROR(IF($A176="","",$M176+$O176),"")</f>
        <v/>
      </c>
      <c r="AI176" s="46">
        <f>IFERROR(IF($A176="","",IFERROR($AH176/$W176,0)),"")</f>
        <v/>
      </c>
      <c r="AJ176" s="45">
        <f>IFERROR(IF($A176="","",$W176-$AH176-$AD176+$AG176),"")</f>
        <v/>
      </c>
      <c r="AK176" s="47">
        <f>IFERROR(IF($A176="","",IF(OR($S176="Collected",$S176="Waived",$S176="Uncollectible",$S176="No Charge Due"),"",IF($T176="",$B176+'Assumptions'!$B$9,$T176+'Assumptions'!$B$9))),"")</f>
        <v/>
      </c>
      <c r="AL176" s="48">
        <f>IFERROR(IF($A176="","",IF(OR($S176="Collected",$S176="Waived",$S176="Uncollectible",$S176="No Charge Due"),"Closed",IF($AK176&lt;TODAY(),"Overdue",IF($AK176=TODAY(),"Due","Open")))),"")</f>
        <v/>
      </c>
      <c r="AM176" s="49">
        <f>IFERROR(IF($A176="","",IF(COUNTIF($A$5:$A$504,$A176)&gt;1,"Duplicate reservation ID",IF($C176&lt;=$B176,"Check stay dates",IF($G176&gt;$F176,"Resold nights exceed booked nights",IF($M176+$N176&gt;$AA176+0.01,"Collection exceeds expected amount",IF(AND($S176="Collected",$M176=0),"Collected status has no amount",IF($AJ176&gt;='Assumptions'!$B$10,"High-cost review","OK"))))))),"")</f>
        <v/>
      </c>
    </row>
    <row r="177">
      <c r="A177" s="38" t="n"/>
      <c r="B177" s="39" t="n"/>
      <c r="C177" s="39" t="n"/>
      <c r="D177" s="38" t="n"/>
      <c r="E177" s="38" t="n"/>
      <c r="F177" s="40" t="n"/>
      <c r="G177" s="40" t="n"/>
      <c r="H177" s="41" t="n"/>
      <c r="I177" s="41" t="n"/>
      <c r="J177" s="42" t="n"/>
      <c r="K177" s="42" t="n"/>
      <c r="L177" s="42" t="n"/>
      <c r="M177" s="41" t="n"/>
      <c r="N177" s="41" t="n"/>
      <c r="O177" s="41" t="n"/>
      <c r="P177" s="41" t="n"/>
      <c r="Q177" s="40" t="n"/>
      <c r="R177" s="38" t="n"/>
      <c r="S177" s="38" t="n"/>
      <c r="T177" s="39" t="n"/>
      <c r="U177" s="43" t="n"/>
      <c r="V177" s="44">
        <f>IFERROR(IF($A177="","",MAX($F177-$G177,0)),"")</f>
        <v/>
      </c>
      <c r="W177" s="45">
        <f>IFERROR(IF($A177="","",$H177+$I177),"")</f>
        <v/>
      </c>
      <c r="X177" s="45">
        <f>IFERROR(IF($A177="","",$H177*IF($J177="",'Assumptions'!$B$4,$J177)),"")</f>
        <v/>
      </c>
      <c r="Y177" s="45">
        <f>IFERROR(IF($A177="","",$X177*IF($K177="",'Assumptions'!$B$12,$K177)),"")</f>
        <v/>
      </c>
      <c r="Z177" s="45">
        <f>IFERROR(IF($A177="","",($X177+$Y177)*IF($L177="",'Assumptions'!$B$13,$L177)),"")</f>
        <v/>
      </c>
      <c r="AA177" s="45">
        <f>IFERROR(IF($A177="","",$X177+$Y177+$Z177),"")</f>
        <v/>
      </c>
      <c r="AB177" s="45">
        <f>IFERROR(IF($A177="","",$V177*'Assumptions'!$B$5),"")</f>
        <v/>
      </c>
      <c r="AC177" s="45">
        <f>IFERROR(IF($A177="","",$I177*'Assumptions'!$B$6),"")</f>
        <v/>
      </c>
      <c r="AD177" s="45">
        <f>IFERROR(IF($A177="","",$AB177+$AC177),"")</f>
        <v/>
      </c>
      <c r="AE177" s="45">
        <f>IFERROR(IF($A177="","",($M177+$N177)*'Assumptions'!$B$7),"")</f>
        <v/>
      </c>
      <c r="AF177" s="45">
        <f>IFERROR(IF($A177="","",($Q177/60)*'Assumptions'!$B$8),"")</f>
        <v/>
      </c>
      <c r="AG177" s="45">
        <f>IFERROR(IF($A177="","",$P177+$AE177+$AF177),"")</f>
        <v/>
      </c>
      <c r="AH177" s="45">
        <f>IFERROR(IF($A177="","",$M177+$O177),"")</f>
        <v/>
      </c>
      <c r="AI177" s="46">
        <f>IFERROR(IF($A177="","",IFERROR($AH177/$W177,0)),"")</f>
        <v/>
      </c>
      <c r="AJ177" s="45">
        <f>IFERROR(IF($A177="","",$W177-$AH177-$AD177+$AG177),"")</f>
        <v/>
      </c>
      <c r="AK177" s="47">
        <f>IFERROR(IF($A177="","",IF(OR($S177="Collected",$S177="Waived",$S177="Uncollectible",$S177="No Charge Due"),"",IF($T177="",$B177+'Assumptions'!$B$9,$T177+'Assumptions'!$B$9))),"")</f>
        <v/>
      </c>
      <c r="AL177" s="48">
        <f>IFERROR(IF($A177="","",IF(OR($S177="Collected",$S177="Waived",$S177="Uncollectible",$S177="No Charge Due"),"Closed",IF($AK177&lt;TODAY(),"Overdue",IF($AK177=TODAY(),"Due","Open")))),"")</f>
        <v/>
      </c>
      <c r="AM177" s="49">
        <f>IFERROR(IF($A177="","",IF(COUNTIF($A$5:$A$504,$A177)&gt;1,"Duplicate reservation ID",IF($C177&lt;=$B177,"Check stay dates",IF($G177&gt;$F177,"Resold nights exceed booked nights",IF($M177+$N177&gt;$AA177+0.01,"Collection exceeds expected amount",IF(AND($S177="Collected",$M177=0),"Collected status has no amount",IF($AJ177&gt;='Assumptions'!$B$10,"High-cost review","OK"))))))),"")</f>
        <v/>
      </c>
    </row>
    <row r="178">
      <c r="A178" s="38" t="n"/>
      <c r="B178" s="39" t="n"/>
      <c r="C178" s="39" t="n"/>
      <c r="D178" s="38" t="n"/>
      <c r="E178" s="38" t="n"/>
      <c r="F178" s="40" t="n"/>
      <c r="G178" s="40" t="n"/>
      <c r="H178" s="41" t="n"/>
      <c r="I178" s="41" t="n"/>
      <c r="J178" s="42" t="n"/>
      <c r="K178" s="42" t="n"/>
      <c r="L178" s="42" t="n"/>
      <c r="M178" s="41" t="n"/>
      <c r="N178" s="41" t="n"/>
      <c r="O178" s="41" t="n"/>
      <c r="P178" s="41" t="n"/>
      <c r="Q178" s="40" t="n"/>
      <c r="R178" s="38" t="n"/>
      <c r="S178" s="38" t="n"/>
      <c r="T178" s="39" t="n"/>
      <c r="U178" s="43" t="n"/>
      <c r="V178" s="44">
        <f>IFERROR(IF($A178="","",MAX($F178-$G178,0)),"")</f>
        <v/>
      </c>
      <c r="W178" s="45">
        <f>IFERROR(IF($A178="","",$H178+$I178),"")</f>
        <v/>
      </c>
      <c r="X178" s="45">
        <f>IFERROR(IF($A178="","",$H178*IF($J178="",'Assumptions'!$B$4,$J178)),"")</f>
        <v/>
      </c>
      <c r="Y178" s="45">
        <f>IFERROR(IF($A178="","",$X178*IF($K178="",'Assumptions'!$B$12,$K178)),"")</f>
        <v/>
      </c>
      <c r="Z178" s="45">
        <f>IFERROR(IF($A178="","",($X178+$Y178)*IF($L178="",'Assumptions'!$B$13,$L178)),"")</f>
        <v/>
      </c>
      <c r="AA178" s="45">
        <f>IFERROR(IF($A178="","",$X178+$Y178+$Z178),"")</f>
        <v/>
      </c>
      <c r="AB178" s="45">
        <f>IFERROR(IF($A178="","",$V178*'Assumptions'!$B$5),"")</f>
        <v/>
      </c>
      <c r="AC178" s="45">
        <f>IFERROR(IF($A178="","",$I178*'Assumptions'!$B$6),"")</f>
        <v/>
      </c>
      <c r="AD178" s="45">
        <f>IFERROR(IF($A178="","",$AB178+$AC178),"")</f>
        <v/>
      </c>
      <c r="AE178" s="45">
        <f>IFERROR(IF($A178="","",($M178+$N178)*'Assumptions'!$B$7),"")</f>
        <v/>
      </c>
      <c r="AF178" s="45">
        <f>IFERROR(IF($A178="","",($Q178/60)*'Assumptions'!$B$8),"")</f>
        <v/>
      </c>
      <c r="AG178" s="45">
        <f>IFERROR(IF($A178="","",$P178+$AE178+$AF178),"")</f>
        <v/>
      </c>
      <c r="AH178" s="45">
        <f>IFERROR(IF($A178="","",$M178+$O178),"")</f>
        <v/>
      </c>
      <c r="AI178" s="46">
        <f>IFERROR(IF($A178="","",IFERROR($AH178/$W178,0)),"")</f>
        <v/>
      </c>
      <c r="AJ178" s="45">
        <f>IFERROR(IF($A178="","",$W178-$AH178-$AD178+$AG178),"")</f>
        <v/>
      </c>
      <c r="AK178" s="47">
        <f>IFERROR(IF($A178="","",IF(OR($S178="Collected",$S178="Waived",$S178="Uncollectible",$S178="No Charge Due"),"",IF($T178="",$B178+'Assumptions'!$B$9,$T178+'Assumptions'!$B$9))),"")</f>
        <v/>
      </c>
      <c r="AL178" s="48">
        <f>IFERROR(IF($A178="","",IF(OR($S178="Collected",$S178="Waived",$S178="Uncollectible",$S178="No Charge Due"),"Closed",IF($AK178&lt;TODAY(),"Overdue",IF($AK178=TODAY(),"Due","Open")))),"")</f>
        <v/>
      </c>
      <c r="AM178" s="49">
        <f>IFERROR(IF($A178="","",IF(COUNTIF($A$5:$A$504,$A178)&gt;1,"Duplicate reservation ID",IF($C178&lt;=$B178,"Check stay dates",IF($G178&gt;$F178,"Resold nights exceed booked nights",IF($M178+$N178&gt;$AA178+0.01,"Collection exceeds expected amount",IF(AND($S178="Collected",$M178=0),"Collected status has no amount",IF($AJ178&gt;='Assumptions'!$B$10,"High-cost review","OK"))))))),"")</f>
        <v/>
      </c>
    </row>
    <row r="179">
      <c r="A179" s="38" t="n"/>
      <c r="B179" s="39" t="n"/>
      <c r="C179" s="39" t="n"/>
      <c r="D179" s="38" t="n"/>
      <c r="E179" s="38" t="n"/>
      <c r="F179" s="40" t="n"/>
      <c r="G179" s="40" t="n"/>
      <c r="H179" s="41" t="n"/>
      <c r="I179" s="41" t="n"/>
      <c r="J179" s="42" t="n"/>
      <c r="K179" s="42" t="n"/>
      <c r="L179" s="42" t="n"/>
      <c r="M179" s="41" t="n"/>
      <c r="N179" s="41" t="n"/>
      <c r="O179" s="41" t="n"/>
      <c r="P179" s="41" t="n"/>
      <c r="Q179" s="40" t="n"/>
      <c r="R179" s="38" t="n"/>
      <c r="S179" s="38" t="n"/>
      <c r="T179" s="39" t="n"/>
      <c r="U179" s="43" t="n"/>
      <c r="V179" s="44">
        <f>IFERROR(IF($A179="","",MAX($F179-$G179,0)),"")</f>
        <v/>
      </c>
      <c r="W179" s="45">
        <f>IFERROR(IF($A179="","",$H179+$I179),"")</f>
        <v/>
      </c>
      <c r="X179" s="45">
        <f>IFERROR(IF($A179="","",$H179*IF($J179="",'Assumptions'!$B$4,$J179)),"")</f>
        <v/>
      </c>
      <c r="Y179" s="45">
        <f>IFERROR(IF($A179="","",$X179*IF($K179="",'Assumptions'!$B$12,$K179)),"")</f>
        <v/>
      </c>
      <c r="Z179" s="45">
        <f>IFERROR(IF($A179="","",($X179+$Y179)*IF($L179="",'Assumptions'!$B$13,$L179)),"")</f>
        <v/>
      </c>
      <c r="AA179" s="45">
        <f>IFERROR(IF($A179="","",$X179+$Y179+$Z179),"")</f>
        <v/>
      </c>
      <c r="AB179" s="45">
        <f>IFERROR(IF($A179="","",$V179*'Assumptions'!$B$5),"")</f>
        <v/>
      </c>
      <c r="AC179" s="45">
        <f>IFERROR(IF($A179="","",$I179*'Assumptions'!$B$6),"")</f>
        <v/>
      </c>
      <c r="AD179" s="45">
        <f>IFERROR(IF($A179="","",$AB179+$AC179),"")</f>
        <v/>
      </c>
      <c r="AE179" s="45">
        <f>IFERROR(IF($A179="","",($M179+$N179)*'Assumptions'!$B$7),"")</f>
        <v/>
      </c>
      <c r="AF179" s="45">
        <f>IFERROR(IF($A179="","",($Q179/60)*'Assumptions'!$B$8),"")</f>
        <v/>
      </c>
      <c r="AG179" s="45">
        <f>IFERROR(IF($A179="","",$P179+$AE179+$AF179),"")</f>
        <v/>
      </c>
      <c r="AH179" s="45">
        <f>IFERROR(IF($A179="","",$M179+$O179),"")</f>
        <v/>
      </c>
      <c r="AI179" s="46">
        <f>IFERROR(IF($A179="","",IFERROR($AH179/$W179,0)),"")</f>
        <v/>
      </c>
      <c r="AJ179" s="45">
        <f>IFERROR(IF($A179="","",$W179-$AH179-$AD179+$AG179),"")</f>
        <v/>
      </c>
      <c r="AK179" s="47">
        <f>IFERROR(IF($A179="","",IF(OR($S179="Collected",$S179="Waived",$S179="Uncollectible",$S179="No Charge Due"),"",IF($T179="",$B179+'Assumptions'!$B$9,$T179+'Assumptions'!$B$9))),"")</f>
        <v/>
      </c>
      <c r="AL179" s="48">
        <f>IFERROR(IF($A179="","",IF(OR($S179="Collected",$S179="Waived",$S179="Uncollectible",$S179="No Charge Due"),"Closed",IF($AK179&lt;TODAY(),"Overdue",IF($AK179=TODAY(),"Due","Open")))),"")</f>
        <v/>
      </c>
      <c r="AM179" s="49">
        <f>IFERROR(IF($A179="","",IF(COUNTIF($A$5:$A$504,$A179)&gt;1,"Duplicate reservation ID",IF($C179&lt;=$B179,"Check stay dates",IF($G179&gt;$F179,"Resold nights exceed booked nights",IF($M179+$N179&gt;$AA179+0.01,"Collection exceeds expected amount",IF(AND($S179="Collected",$M179=0),"Collected status has no amount",IF($AJ179&gt;='Assumptions'!$B$10,"High-cost review","OK"))))))),"")</f>
        <v/>
      </c>
    </row>
    <row r="180">
      <c r="A180" s="38" t="n"/>
      <c r="B180" s="39" t="n"/>
      <c r="C180" s="39" t="n"/>
      <c r="D180" s="38" t="n"/>
      <c r="E180" s="38" t="n"/>
      <c r="F180" s="40" t="n"/>
      <c r="G180" s="40" t="n"/>
      <c r="H180" s="41" t="n"/>
      <c r="I180" s="41" t="n"/>
      <c r="J180" s="42" t="n"/>
      <c r="K180" s="42" t="n"/>
      <c r="L180" s="42" t="n"/>
      <c r="M180" s="41" t="n"/>
      <c r="N180" s="41" t="n"/>
      <c r="O180" s="41" t="n"/>
      <c r="P180" s="41" t="n"/>
      <c r="Q180" s="40" t="n"/>
      <c r="R180" s="38" t="n"/>
      <c r="S180" s="38" t="n"/>
      <c r="T180" s="39" t="n"/>
      <c r="U180" s="43" t="n"/>
      <c r="V180" s="44">
        <f>IFERROR(IF($A180="","",MAX($F180-$G180,0)),"")</f>
        <v/>
      </c>
      <c r="W180" s="45">
        <f>IFERROR(IF($A180="","",$H180+$I180),"")</f>
        <v/>
      </c>
      <c r="X180" s="45">
        <f>IFERROR(IF($A180="","",$H180*IF($J180="",'Assumptions'!$B$4,$J180)),"")</f>
        <v/>
      </c>
      <c r="Y180" s="45">
        <f>IFERROR(IF($A180="","",$X180*IF($K180="",'Assumptions'!$B$12,$K180)),"")</f>
        <v/>
      </c>
      <c r="Z180" s="45">
        <f>IFERROR(IF($A180="","",($X180+$Y180)*IF($L180="",'Assumptions'!$B$13,$L180)),"")</f>
        <v/>
      </c>
      <c r="AA180" s="45">
        <f>IFERROR(IF($A180="","",$X180+$Y180+$Z180),"")</f>
        <v/>
      </c>
      <c r="AB180" s="45">
        <f>IFERROR(IF($A180="","",$V180*'Assumptions'!$B$5),"")</f>
        <v/>
      </c>
      <c r="AC180" s="45">
        <f>IFERROR(IF($A180="","",$I180*'Assumptions'!$B$6),"")</f>
        <v/>
      </c>
      <c r="AD180" s="45">
        <f>IFERROR(IF($A180="","",$AB180+$AC180),"")</f>
        <v/>
      </c>
      <c r="AE180" s="45">
        <f>IFERROR(IF($A180="","",($M180+$N180)*'Assumptions'!$B$7),"")</f>
        <v/>
      </c>
      <c r="AF180" s="45">
        <f>IFERROR(IF($A180="","",($Q180/60)*'Assumptions'!$B$8),"")</f>
        <v/>
      </c>
      <c r="AG180" s="45">
        <f>IFERROR(IF($A180="","",$P180+$AE180+$AF180),"")</f>
        <v/>
      </c>
      <c r="AH180" s="45">
        <f>IFERROR(IF($A180="","",$M180+$O180),"")</f>
        <v/>
      </c>
      <c r="AI180" s="46">
        <f>IFERROR(IF($A180="","",IFERROR($AH180/$W180,0)),"")</f>
        <v/>
      </c>
      <c r="AJ180" s="45">
        <f>IFERROR(IF($A180="","",$W180-$AH180-$AD180+$AG180),"")</f>
        <v/>
      </c>
      <c r="AK180" s="47">
        <f>IFERROR(IF($A180="","",IF(OR($S180="Collected",$S180="Waived",$S180="Uncollectible",$S180="No Charge Due"),"",IF($T180="",$B180+'Assumptions'!$B$9,$T180+'Assumptions'!$B$9))),"")</f>
        <v/>
      </c>
      <c r="AL180" s="48">
        <f>IFERROR(IF($A180="","",IF(OR($S180="Collected",$S180="Waived",$S180="Uncollectible",$S180="No Charge Due"),"Closed",IF($AK180&lt;TODAY(),"Overdue",IF($AK180=TODAY(),"Due","Open")))),"")</f>
        <v/>
      </c>
      <c r="AM180" s="49">
        <f>IFERROR(IF($A180="","",IF(COUNTIF($A$5:$A$504,$A180)&gt;1,"Duplicate reservation ID",IF($C180&lt;=$B180,"Check stay dates",IF($G180&gt;$F180,"Resold nights exceed booked nights",IF($M180+$N180&gt;$AA180+0.01,"Collection exceeds expected amount",IF(AND($S180="Collected",$M180=0),"Collected status has no amount",IF($AJ180&gt;='Assumptions'!$B$10,"High-cost review","OK"))))))),"")</f>
        <v/>
      </c>
    </row>
    <row r="181">
      <c r="A181" s="38" t="n"/>
      <c r="B181" s="39" t="n"/>
      <c r="C181" s="39" t="n"/>
      <c r="D181" s="38" t="n"/>
      <c r="E181" s="38" t="n"/>
      <c r="F181" s="40" t="n"/>
      <c r="G181" s="40" t="n"/>
      <c r="H181" s="41" t="n"/>
      <c r="I181" s="41" t="n"/>
      <c r="J181" s="42" t="n"/>
      <c r="K181" s="42" t="n"/>
      <c r="L181" s="42" t="n"/>
      <c r="M181" s="41" t="n"/>
      <c r="N181" s="41" t="n"/>
      <c r="O181" s="41" t="n"/>
      <c r="P181" s="41" t="n"/>
      <c r="Q181" s="40" t="n"/>
      <c r="R181" s="38" t="n"/>
      <c r="S181" s="38" t="n"/>
      <c r="T181" s="39" t="n"/>
      <c r="U181" s="43" t="n"/>
      <c r="V181" s="44">
        <f>IFERROR(IF($A181="","",MAX($F181-$G181,0)),"")</f>
        <v/>
      </c>
      <c r="W181" s="45">
        <f>IFERROR(IF($A181="","",$H181+$I181),"")</f>
        <v/>
      </c>
      <c r="X181" s="45">
        <f>IFERROR(IF($A181="","",$H181*IF($J181="",'Assumptions'!$B$4,$J181)),"")</f>
        <v/>
      </c>
      <c r="Y181" s="45">
        <f>IFERROR(IF($A181="","",$X181*IF($K181="",'Assumptions'!$B$12,$K181)),"")</f>
        <v/>
      </c>
      <c r="Z181" s="45">
        <f>IFERROR(IF($A181="","",($X181+$Y181)*IF($L181="",'Assumptions'!$B$13,$L181)),"")</f>
        <v/>
      </c>
      <c r="AA181" s="45">
        <f>IFERROR(IF($A181="","",$X181+$Y181+$Z181),"")</f>
        <v/>
      </c>
      <c r="AB181" s="45">
        <f>IFERROR(IF($A181="","",$V181*'Assumptions'!$B$5),"")</f>
        <v/>
      </c>
      <c r="AC181" s="45">
        <f>IFERROR(IF($A181="","",$I181*'Assumptions'!$B$6),"")</f>
        <v/>
      </c>
      <c r="AD181" s="45">
        <f>IFERROR(IF($A181="","",$AB181+$AC181),"")</f>
        <v/>
      </c>
      <c r="AE181" s="45">
        <f>IFERROR(IF($A181="","",($M181+$N181)*'Assumptions'!$B$7),"")</f>
        <v/>
      </c>
      <c r="AF181" s="45">
        <f>IFERROR(IF($A181="","",($Q181/60)*'Assumptions'!$B$8),"")</f>
        <v/>
      </c>
      <c r="AG181" s="45">
        <f>IFERROR(IF($A181="","",$P181+$AE181+$AF181),"")</f>
        <v/>
      </c>
      <c r="AH181" s="45">
        <f>IFERROR(IF($A181="","",$M181+$O181),"")</f>
        <v/>
      </c>
      <c r="AI181" s="46">
        <f>IFERROR(IF($A181="","",IFERROR($AH181/$W181,0)),"")</f>
        <v/>
      </c>
      <c r="AJ181" s="45">
        <f>IFERROR(IF($A181="","",$W181-$AH181-$AD181+$AG181),"")</f>
        <v/>
      </c>
      <c r="AK181" s="47">
        <f>IFERROR(IF($A181="","",IF(OR($S181="Collected",$S181="Waived",$S181="Uncollectible",$S181="No Charge Due"),"",IF($T181="",$B181+'Assumptions'!$B$9,$T181+'Assumptions'!$B$9))),"")</f>
        <v/>
      </c>
      <c r="AL181" s="48">
        <f>IFERROR(IF($A181="","",IF(OR($S181="Collected",$S181="Waived",$S181="Uncollectible",$S181="No Charge Due"),"Closed",IF($AK181&lt;TODAY(),"Overdue",IF($AK181=TODAY(),"Due","Open")))),"")</f>
        <v/>
      </c>
      <c r="AM181" s="49">
        <f>IFERROR(IF($A181="","",IF(COUNTIF($A$5:$A$504,$A181)&gt;1,"Duplicate reservation ID",IF($C181&lt;=$B181,"Check stay dates",IF($G181&gt;$F181,"Resold nights exceed booked nights",IF($M181+$N181&gt;$AA181+0.01,"Collection exceeds expected amount",IF(AND($S181="Collected",$M181=0),"Collected status has no amount",IF($AJ181&gt;='Assumptions'!$B$10,"High-cost review","OK"))))))),"")</f>
        <v/>
      </c>
    </row>
    <row r="182">
      <c r="A182" s="38" t="n"/>
      <c r="B182" s="39" t="n"/>
      <c r="C182" s="39" t="n"/>
      <c r="D182" s="38" t="n"/>
      <c r="E182" s="38" t="n"/>
      <c r="F182" s="40" t="n"/>
      <c r="G182" s="40" t="n"/>
      <c r="H182" s="41" t="n"/>
      <c r="I182" s="41" t="n"/>
      <c r="J182" s="42" t="n"/>
      <c r="K182" s="42" t="n"/>
      <c r="L182" s="42" t="n"/>
      <c r="M182" s="41" t="n"/>
      <c r="N182" s="41" t="n"/>
      <c r="O182" s="41" t="n"/>
      <c r="P182" s="41" t="n"/>
      <c r="Q182" s="40" t="n"/>
      <c r="R182" s="38" t="n"/>
      <c r="S182" s="38" t="n"/>
      <c r="T182" s="39" t="n"/>
      <c r="U182" s="43" t="n"/>
      <c r="V182" s="44">
        <f>IFERROR(IF($A182="","",MAX($F182-$G182,0)),"")</f>
        <v/>
      </c>
      <c r="W182" s="45">
        <f>IFERROR(IF($A182="","",$H182+$I182),"")</f>
        <v/>
      </c>
      <c r="X182" s="45">
        <f>IFERROR(IF($A182="","",$H182*IF($J182="",'Assumptions'!$B$4,$J182)),"")</f>
        <v/>
      </c>
      <c r="Y182" s="45">
        <f>IFERROR(IF($A182="","",$X182*IF($K182="",'Assumptions'!$B$12,$K182)),"")</f>
        <v/>
      </c>
      <c r="Z182" s="45">
        <f>IFERROR(IF($A182="","",($X182+$Y182)*IF($L182="",'Assumptions'!$B$13,$L182)),"")</f>
        <v/>
      </c>
      <c r="AA182" s="45">
        <f>IFERROR(IF($A182="","",$X182+$Y182+$Z182),"")</f>
        <v/>
      </c>
      <c r="AB182" s="45">
        <f>IFERROR(IF($A182="","",$V182*'Assumptions'!$B$5),"")</f>
        <v/>
      </c>
      <c r="AC182" s="45">
        <f>IFERROR(IF($A182="","",$I182*'Assumptions'!$B$6),"")</f>
        <v/>
      </c>
      <c r="AD182" s="45">
        <f>IFERROR(IF($A182="","",$AB182+$AC182),"")</f>
        <v/>
      </c>
      <c r="AE182" s="45">
        <f>IFERROR(IF($A182="","",($M182+$N182)*'Assumptions'!$B$7),"")</f>
        <v/>
      </c>
      <c r="AF182" s="45">
        <f>IFERROR(IF($A182="","",($Q182/60)*'Assumptions'!$B$8),"")</f>
        <v/>
      </c>
      <c r="AG182" s="45">
        <f>IFERROR(IF($A182="","",$P182+$AE182+$AF182),"")</f>
        <v/>
      </c>
      <c r="AH182" s="45">
        <f>IFERROR(IF($A182="","",$M182+$O182),"")</f>
        <v/>
      </c>
      <c r="AI182" s="46">
        <f>IFERROR(IF($A182="","",IFERROR($AH182/$W182,0)),"")</f>
        <v/>
      </c>
      <c r="AJ182" s="45">
        <f>IFERROR(IF($A182="","",$W182-$AH182-$AD182+$AG182),"")</f>
        <v/>
      </c>
      <c r="AK182" s="47">
        <f>IFERROR(IF($A182="","",IF(OR($S182="Collected",$S182="Waived",$S182="Uncollectible",$S182="No Charge Due"),"",IF($T182="",$B182+'Assumptions'!$B$9,$T182+'Assumptions'!$B$9))),"")</f>
        <v/>
      </c>
      <c r="AL182" s="48">
        <f>IFERROR(IF($A182="","",IF(OR($S182="Collected",$S182="Waived",$S182="Uncollectible",$S182="No Charge Due"),"Closed",IF($AK182&lt;TODAY(),"Overdue",IF($AK182=TODAY(),"Due","Open")))),"")</f>
        <v/>
      </c>
      <c r="AM182" s="49">
        <f>IFERROR(IF($A182="","",IF(COUNTIF($A$5:$A$504,$A182)&gt;1,"Duplicate reservation ID",IF($C182&lt;=$B182,"Check stay dates",IF($G182&gt;$F182,"Resold nights exceed booked nights",IF($M182+$N182&gt;$AA182+0.01,"Collection exceeds expected amount",IF(AND($S182="Collected",$M182=0),"Collected status has no amount",IF($AJ182&gt;='Assumptions'!$B$10,"High-cost review","OK"))))))),"")</f>
        <v/>
      </c>
    </row>
    <row r="183">
      <c r="A183" s="38" t="n"/>
      <c r="B183" s="39" t="n"/>
      <c r="C183" s="39" t="n"/>
      <c r="D183" s="38" t="n"/>
      <c r="E183" s="38" t="n"/>
      <c r="F183" s="40" t="n"/>
      <c r="G183" s="40" t="n"/>
      <c r="H183" s="41" t="n"/>
      <c r="I183" s="41" t="n"/>
      <c r="J183" s="42" t="n"/>
      <c r="K183" s="42" t="n"/>
      <c r="L183" s="42" t="n"/>
      <c r="M183" s="41" t="n"/>
      <c r="N183" s="41" t="n"/>
      <c r="O183" s="41" t="n"/>
      <c r="P183" s="41" t="n"/>
      <c r="Q183" s="40" t="n"/>
      <c r="R183" s="38" t="n"/>
      <c r="S183" s="38" t="n"/>
      <c r="T183" s="39" t="n"/>
      <c r="U183" s="43" t="n"/>
      <c r="V183" s="44">
        <f>IFERROR(IF($A183="","",MAX($F183-$G183,0)),"")</f>
        <v/>
      </c>
      <c r="W183" s="45">
        <f>IFERROR(IF($A183="","",$H183+$I183),"")</f>
        <v/>
      </c>
      <c r="X183" s="45">
        <f>IFERROR(IF($A183="","",$H183*IF($J183="",'Assumptions'!$B$4,$J183)),"")</f>
        <v/>
      </c>
      <c r="Y183" s="45">
        <f>IFERROR(IF($A183="","",$X183*IF($K183="",'Assumptions'!$B$12,$K183)),"")</f>
        <v/>
      </c>
      <c r="Z183" s="45">
        <f>IFERROR(IF($A183="","",($X183+$Y183)*IF($L183="",'Assumptions'!$B$13,$L183)),"")</f>
        <v/>
      </c>
      <c r="AA183" s="45">
        <f>IFERROR(IF($A183="","",$X183+$Y183+$Z183),"")</f>
        <v/>
      </c>
      <c r="AB183" s="45">
        <f>IFERROR(IF($A183="","",$V183*'Assumptions'!$B$5),"")</f>
        <v/>
      </c>
      <c r="AC183" s="45">
        <f>IFERROR(IF($A183="","",$I183*'Assumptions'!$B$6),"")</f>
        <v/>
      </c>
      <c r="AD183" s="45">
        <f>IFERROR(IF($A183="","",$AB183+$AC183),"")</f>
        <v/>
      </c>
      <c r="AE183" s="45">
        <f>IFERROR(IF($A183="","",($M183+$N183)*'Assumptions'!$B$7),"")</f>
        <v/>
      </c>
      <c r="AF183" s="45">
        <f>IFERROR(IF($A183="","",($Q183/60)*'Assumptions'!$B$8),"")</f>
        <v/>
      </c>
      <c r="AG183" s="45">
        <f>IFERROR(IF($A183="","",$P183+$AE183+$AF183),"")</f>
        <v/>
      </c>
      <c r="AH183" s="45">
        <f>IFERROR(IF($A183="","",$M183+$O183),"")</f>
        <v/>
      </c>
      <c r="AI183" s="46">
        <f>IFERROR(IF($A183="","",IFERROR($AH183/$W183,0)),"")</f>
        <v/>
      </c>
      <c r="AJ183" s="45">
        <f>IFERROR(IF($A183="","",$W183-$AH183-$AD183+$AG183),"")</f>
        <v/>
      </c>
      <c r="AK183" s="47">
        <f>IFERROR(IF($A183="","",IF(OR($S183="Collected",$S183="Waived",$S183="Uncollectible",$S183="No Charge Due"),"",IF($T183="",$B183+'Assumptions'!$B$9,$T183+'Assumptions'!$B$9))),"")</f>
        <v/>
      </c>
      <c r="AL183" s="48">
        <f>IFERROR(IF($A183="","",IF(OR($S183="Collected",$S183="Waived",$S183="Uncollectible",$S183="No Charge Due"),"Closed",IF($AK183&lt;TODAY(),"Overdue",IF($AK183=TODAY(),"Due","Open")))),"")</f>
        <v/>
      </c>
      <c r="AM183" s="49">
        <f>IFERROR(IF($A183="","",IF(COUNTIF($A$5:$A$504,$A183)&gt;1,"Duplicate reservation ID",IF($C183&lt;=$B183,"Check stay dates",IF($G183&gt;$F183,"Resold nights exceed booked nights",IF($M183+$N183&gt;$AA183+0.01,"Collection exceeds expected amount",IF(AND($S183="Collected",$M183=0),"Collected status has no amount",IF($AJ183&gt;='Assumptions'!$B$10,"High-cost review","OK"))))))),"")</f>
        <v/>
      </c>
    </row>
    <row r="184">
      <c r="A184" s="38" t="n"/>
      <c r="B184" s="39" t="n"/>
      <c r="C184" s="39" t="n"/>
      <c r="D184" s="38" t="n"/>
      <c r="E184" s="38" t="n"/>
      <c r="F184" s="40" t="n"/>
      <c r="G184" s="40" t="n"/>
      <c r="H184" s="41" t="n"/>
      <c r="I184" s="41" t="n"/>
      <c r="J184" s="42" t="n"/>
      <c r="K184" s="42" t="n"/>
      <c r="L184" s="42" t="n"/>
      <c r="M184" s="41" t="n"/>
      <c r="N184" s="41" t="n"/>
      <c r="O184" s="41" t="n"/>
      <c r="P184" s="41" t="n"/>
      <c r="Q184" s="40" t="n"/>
      <c r="R184" s="38" t="n"/>
      <c r="S184" s="38" t="n"/>
      <c r="T184" s="39" t="n"/>
      <c r="U184" s="43" t="n"/>
      <c r="V184" s="44">
        <f>IFERROR(IF($A184="","",MAX($F184-$G184,0)),"")</f>
        <v/>
      </c>
      <c r="W184" s="45">
        <f>IFERROR(IF($A184="","",$H184+$I184),"")</f>
        <v/>
      </c>
      <c r="X184" s="45">
        <f>IFERROR(IF($A184="","",$H184*IF($J184="",'Assumptions'!$B$4,$J184)),"")</f>
        <v/>
      </c>
      <c r="Y184" s="45">
        <f>IFERROR(IF($A184="","",$X184*IF($K184="",'Assumptions'!$B$12,$K184)),"")</f>
        <v/>
      </c>
      <c r="Z184" s="45">
        <f>IFERROR(IF($A184="","",($X184+$Y184)*IF($L184="",'Assumptions'!$B$13,$L184)),"")</f>
        <v/>
      </c>
      <c r="AA184" s="45">
        <f>IFERROR(IF($A184="","",$X184+$Y184+$Z184),"")</f>
        <v/>
      </c>
      <c r="AB184" s="45">
        <f>IFERROR(IF($A184="","",$V184*'Assumptions'!$B$5),"")</f>
        <v/>
      </c>
      <c r="AC184" s="45">
        <f>IFERROR(IF($A184="","",$I184*'Assumptions'!$B$6),"")</f>
        <v/>
      </c>
      <c r="AD184" s="45">
        <f>IFERROR(IF($A184="","",$AB184+$AC184),"")</f>
        <v/>
      </c>
      <c r="AE184" s="45">
        <f>IFERROR(IF($A184="","",($M184+$N184)*'Assumptions'!$B$7),"")</f>
        <v/>
      </c>
      <c r="AF184" s="45">
        <f>IFERROR(IF($A184="","",($Q184/60)*'Assumptions'!$B$8),"")</f>
        <v/>
      </c>
      <c r="AG184" s="45">
        <f>IFERROR(IF($A184="","",$P184+$AE184+$AF184),"")</f>
        <v/>
      </c>
      <c r="AH184" s="45">
        <f>IFERROR(IF($A184="","",$M184+$O184),"")</f>
        <v/>
      </c>
      <c r="AI184" s="46">
        <f>IFERROR(IF($A184="","",IFERROR($AH184/$W184,0)),"")</f>
        <v/>
      </c>
      <c r="AJ184" s="45">
        <f>IFERROR(IF($A184="","",$W184-$AH184-$AD184+$AG184),"")</f>
        <v/>
      </c>
      <c r="AK184" s="47">
        <f>IFERROR(IF($A184="","",IF(OR($S184="Collected",$S184="Waived",$S184="Uncollectible",$S184="No Charge Due"),"",IF($T184="",$B184+'Assumptions'!$B$9,$T184+'Assumptions'!$B$9))),"")</f>
        <v/>
      </c>
      <c r="AL184" s="48">
        <f>IFERROR(IF($A184="","",IF(OR($S184="Collected",$S184="Waived",$S184="Uncollectible",$S184="No Charge Due"),"Closed",IF($AK184&lt;TODAY(),"Overdue",IF($AK184=TODAY(),"Due","Open")))),"")</f>
        <v/>
      </c>
      <c r="AM184" s="49">
        <f>IFERROR(IF($A184="","",IF(COUNTIF($A$5:$A$504,$A184)&gt;1,"Duplicate reservation ID",IF($C184&lt;=$B184,"Check stay dates",IF($G184&gt;$F184,"Resold nights exceed booked nights",IF($M184+$N184&gt;$AA184+0.01,"Collection exceeds expected amount",IF(AND($S184="Collected",$M184=0),"Collected status has no amount",IF($AJ184&gt;='Assumptions'!$B$10,"High-cost review","OK"))))))),"")</f>
        <v/>
      </c>
    </row>
    <row r="185">
      <c r="A185" s="38" t="n"/>
      <c r="B185" s="39" t="n"/>
      <c r="C185" s="39" t="n"/>
      <c r="D185" s="38" t="n"/>
      <c r="E185" s="38" t="n"/>
      <c r="F185" s="40" t="n"/>
      <c r="G185" s="40" t="n"/>
      <c r="H185" s="41" t="n"/>
      <c r="I185" s="41" t="n"/>
      <c r="J185" s="42" t="n"/>
      <c r="K185" s="42" t="n"/>
      <c r="L185" s="42" t="n"/>
      <c r="M185" s="41" t="n"/>
      <c r="N185" s="41" t="n"/>
      <c r="O185" s="41" t="n"/>
      <c r="P185" s="41" t="n"/>
      <c r="Q185" s="40" t="n"/>
      <c r="R185" s="38" t="n"/>
      <c r="S185" s="38" t="n"/>
      <c r="T185" s="39" t="n"/>
      <c r="U185" s="43" t="n"/>
      <c r="V185" s="44">
        <f>IFERROR(IF($A185="","",MAX($F185-$G185,0)),"")</f>
        <v/>
      </c>
      <c r="W185" s="45">
        <f>IFERROR(IF($A185="","",$H185+$I185),"")</f>
        <v/>
      </c>
      <c r="X185" s="45">
        <f>IFERROR(IF($A185="","",$H185*IF($J185="",'Assumptions'!$B$4,$J185)),"")</f>
        <v/>
      </c>
      <c r="Y185" s="45">
        <f>IFERROR(IF($A185="","",$X185*IF($K185="",'Assumptions'!$B$12,$K185)),"")</f>
        <v/>
      </c>
      <c r="Z185" s="45">
        <f>IFERROR(IF($A185="","",($X185+$Y185)*IF($L185="",'Assumptions'!$B$13,$L185)),"")</f>
        <v/>
      </c>
      <c r="AA185" s="45">
        <f>IFERROR(IF($A185="","",$X185+$Y185+$Z185),"")</f>
        <v/>
      </c>
      <c r="AB185" s="45">
        <f>IFERROR(IF($A185="","",$V185*'Assumptions'!$B$5),"")</f>
        <v/>
      </c>
      <c r="AC185" s="45">
        <f>IFERROR(IF($A185="","",$I185*'Assumptions'!$B$6),"")</f>
        <v/>
      </c>
      <c r="AD185" s="45">
        <f>IFERROR(IF($A185="","",$AB185+$AC185),"")</f>
        <v/>
      </c>
      <c r="AE185" s="45">
        <f>IFERROR(IF($A185="","",($M185+$N185)*'Assumptions'!$B$7),"")</f>
        <v/>
      </c>
      <c r="AF185" s="45">
        <f>IFERROR(IF($A185="","",($Q185/60)*'Assumptions'!$B$8),"")</f>
        <v/>
      </c>
      <c r="AG185" s="45">
        <f>IFERROR(IF($A185="","",$P185+$AE185+$AF185),"")</f>
        <v/>
      </c>
      <c r="AH185" s="45">
        <f>IFERROR(IF($A185="","",$M185+$O185),"")</f>
        <v/>
      </c>
      <c r="AI185" s="46">
        <f>IFERROR(IF($A185="","",IFERROR($AH185/$W185,0)),"")</f>
        <v/>
      </c>
      <c r="AJ185" s="45">
        <f>IFERROR(IF($A185="","",$W185-$AH185-$AD185+$AG185),"")</f>
        <v/>
      </c>
      <c r="AK185" s="47">
        <f>IFERROR(IF($A185="","",IF(OR($S185="Collected",$S185="Waived",$S185="Uncollectible",$S185="No Charge Due"),"",IF($T185="",$B185+'Assumptions'!$B$9,$T185+'Assumptions'!$B$9))),"")</f>
        <v/>
      </c>
      <c r="AL185" s="48">
        <f>IFERROR(IF($A185="","",IF(OR($S185="Collected",$S185="Waived",$S185="Uncollectible",$S185="No Charge Due"),"Closed",IF($AK185&lt;TODAY(),"Overdue",IF($AK185=TODAY(),"Due","Open")))),"")</f>
        <v/>
      </c>
      <c r="AM185" s="49">
        <f>IFERROR(IF($A185="","",IF(COUNTIF($A$5:$A$504,$A185)&gt;1,"Duplicate reservation ID",IF($C185&lt;=$B185,"Check stay dates",IF($G185&gt;$F185,"Resold nights exceed booked nights",IF($M185+$N185&gt;$AA185+0.01,"Collection exceeds expected amount",IF(AND($S185="Collected",$M185=0),"Collected status has no amount",IF($AJ185&gt;='Assumptions'!$B$10,"High-cost review","OK"))))))),"")</f>
        <v/>
      </c>
    </row>
    <row r="186">
      <c r="A186" s="38" t="n"/>
      <c r="B186" s="39" t="n"/>
      <c r="C186" s="39" t="n"/>
      <c r="D186" s="38" t="n"/>
      <c r="E186" s="38" t="n"/>
      <c r="F186" s="40" t="n"/>
      <c r="G186" s="40" t="n"/>
      <c r="H186" s="41" t="n"/>
      <c r="I186" s="41" t="n"/>
      <c r="J186" s="42" t="n"/>
      <c r="K186" s="42" t="n"/>
      <c r="L186" s="42" t="n"/>
      <c r="M186" s="41" t="n"/>
      <c r="N186" s="41" t="n"/>
      <c r="O186" s="41" t="n"/>
      <c r="P186" s="41" t="n"/>
      <c r="Q186" s="40" t="n"/>
      <c r="R186" s="38" t="n"/>
      <c r="S186" s="38" t="n"/>
      <c r="T186" s="39" t="n"/>
      <c r="U186" s="43" t="n"/>
      <c r="V186" s="44">
        <f>IFERROR(IF($A186="","",MAX($F186-$G186,0)),"")</f>
        <v/>
      </c>
      <c r="W186" s="45">
        <f>IFERROR(IF($A186="","",$H186+$I186),"")</f>
        <v/>
      </c>
      <c r="X186" s="45">
        <f>IFERROR(IF($A186="","",$H186*IF($J186="",'Assumptions'!$B$4,$J186)),"")</f>
        <v/>
      </c>
      <c r="Y186" s="45">
        <f>IFERROR(IF($A186="","",$X186*IF($K186="",'Assumptions'!$B$12,$K186)),"")</f>
        <v/>
      </c>
      <c r="Z186" s="45">
        <f>IFERROR(IF($A186="","",($X186+$Y186)*IF($L186="",'Assumptions'!$B$13,$L186)),"")</f>
        <v/>
      </c>
      <c r="AA186" s="45">
        <f>IFERROR(IF($A186="","",$X186+$Y186+$Z186),"")</f>
        <v/>
      </c>
      <c r="AB186" s="45">
        <f>IFERROR(IF($A186="","",$V186*'Assumptions'!$B$5),"")</f>
        <v/>
      </c>
      <c r="AC186" s="45">
        <f>IFERROR(IF($A186="","",$I186*'Assumptions'!$B$6),"")</f>
        <v/>
      </c>
      <c r="AD186" s="45">
        <f>IFERROR(IF($A186="","",$AB186+$AC186),"")</f>
        <v/>
      </c>
      <c r="AE186" s="45">
        <f>IFERROR(IF($A186="","",($M186+$N186)*'Assumptions'!$B$7),"")</f>
        <v/>
      </c>
      <c r="AF186" s="45">
        <f>IFERROR(IF($A186="","",($Q186/60)*'Assumptions'!$B$8),"")</f>
        <v/>
      </c>
      <c r="AG186" s="45">
        <f>IFERROR(IF($A186="","",$P186+$AE186+$AF186),"")</f>
        <v/>
      </c>
      <c r="AH186" s="45">
        <f>IFERROR(IF($A186="","",$M186+$O186),"")</f>
        <v/>
      </c>
      <c r="AI186" s="46">
        <f>IFERROR(IF($A186="","",IFERROR($AH186/$W186,0)),"")</f>
        <v/>
      </c>
      <c r="AJ186" s="45">
        <f>IFERROR(IF($A186="","",$W186-$AH186-$AD186+$AG186),"")</f>
        <v/>
      </c>
      <c r="AK186" s="47">
        <f>IFERROR(IF($A186="","",IF(OR($S186="Collected",$S186="Waived",$S186="Uncollectible",$S186="No Charge Due"),"",IF($T186="",$B186+'Assumptions'!$B$9,$T186+'Assumptions'!$B$9))),"")</f>
        <v/>
      </c>
      <c r="AL186" s="48">
        <f>IFERROR(IF($A186="","",IF(OR($S186="Collected",$S186="Waived",$S186="Uncollectible",$S186="No Charge Due"),"Closed",IF($AK186&lt;TODAY(),"Overdue",IF($AK186=TODAY(),"Due","Open")))),"")</f>
        <v/>
      </c>
      <c r="AM186" s="49">
        <f>IFERROR(IF($A186="","",IF(COUNTIF($A$5:$A$504,$A186)&gt;1,"Duplicate reservation ID",IF($C186&lt;=$B186,"Check stay dates",IF($G186&gt;$F186,"Resold nights exceed booked nights",IF($M186+$N186&gt;$AA186+0.01,"Collection exceeds expected amount",IF(AND($S186="Collected",$M186=0),"Collected status has no amount",IF($AJ186&gt;='Assumptions'!$B$10,"High-cost review","OK"))))))),"")</f>
        <v/>
      </c>
    </row>
    <row r="187">
      <c r="A187" s="38" t="n"/>
      <c r="B187" s="39" t="n"/>
      <c r="C187" s="39" t="n"/>
      <c r="D187" s="38" t="n"/>
      <c r="E187" s="38" t="n"/>
      <c r="F187" s="40" t="n"/>
      <c r="G187" s="40" t="n"/>
      <c r="H187" s="41" t="n"/>
      <c r="I187" s="41" t="n"/>
      <c r="J187" s="42" t="n"/>
      <c r="K187" s="42" t="n"/>
      <c r="L187" s="42" t="n"/>
      <c r="M187" s="41" t="n"/>
      <c r="N187" s="41" t="n"/>
      <c r="O187" s="41" t="n"/>
      <c r="P187" s="41" t="n"/>
      <c r="Q187" s="40" t="n"/>
      <c r="R187" s="38" t="n"/>
      <c r="S187" s="38" t="n"/>
      <c r="T187" s="39" t="n"/>
      <c r="U187" s="43" t="n"/>
      <c r="V187" s="44">
        <f>IFERROR(IF($A187="","",MAX($F187-$G187,0)),"")</f>
        <v/>
      </c>
      <c r="W187" s="45">
        <f>IFERROR(IF($A187="","",$H187+$I187),"")</f>
        <v/>
      </c>
      <c r="X187" s="45">
        <f>IFERROR(IF($A187="","",$H187*IF($J187="",'Assumptions'!$B$4,$J187)),"")</f>
        <v/>
      </c>
      <c r="Y187" s="45">
        <f>IFERROR(IF($A187="","",$X187*IF($K187="",'Assumptions'!$B$12,$K187)),"")</f>
        <v/>
      </c>
      <c r="Z187" s="45">
        <f>IFERROR(IF($A187="","",($X187+$Y187)*IF($L187="",'Assumptions'!$B$13,$L187)),"")</f>
        <v/>
      </c>
      <c r="AA187" s="45">
        <f>IFERROR(IF($A187="","",$X187+$Y187+$Z187),"")</f>
        <v/>
      </c>
      <c r="AB187" s="45">
        <f>IFERROR(IF($A187="","",$V187*'Assumptions'!$B$5),"")</f>
        <v/>
      </c>
      <c r="AC187" s="45">
        <f>IFERROR(IF($A187="","",$I187*'Assumptions'!$B$6),"")</f>
        <v/>
      </c>
      <c r="AD187" s="45">
        <f>IFERROR(IF($A187="","",$AB187+$AC187),"")</f>
        <v/>
      </c>
      <c r="AE187" s="45">
        <f>IFERROR(IF($A187="","",($M187+$N187)*'Assumptions'!$B$7),"")</f>
        <v/>
      </c>
      <c r="AF187" s="45">
        <f>IFERROR(IF($A187="","",($Q187/60)*'Assumptions'!$B$8),"")</f>
        <v/>
      </c>
      <c r="AG187" s="45">
        <f>IFERROR(IF($A187="","",$P187+$AE187+$AF187),"")</f>
        <v/>
      </c>
      <c r="AH187" s="45">
        <f>IFERROR(IF($A187="","",$M187+$O187),"")</f>
        <v/>
      </c>
      <c r="AI187" s="46">
        <f>IFERROR(IF($A187="","",IFERROR($AH187/$W187,0)),"")</f>
        <v/>
      </c>
      <c r="AJ187" s="45">
        <f>IFERROR(IF($A187="","",$W187-$AH187-$AD187+$AG187),"")</f>
        <v/>
      </c>
      <c r="AK187" s="47">
        <f>IFERROR(IF($A187="","",IF(OR($S187="Collected",$S187="Waived",$S187="Uncollectible",$S187="No Charge Due"),"",IF($T187="",$B187+'Assumptions'!$B$9,$T187+'Assumptions'!$B$9))),"")</f>
        <v/>
      </c>
      <c r="AL187" s="48">
        <f>IFERROR(IF($A187="","",IF(OR($S187="Collected",$S187="Waived",$S187="Uncollectible",$S187="No Charge Due"),"Closed",IF($AK187&lt;TODAY(),"Overdue",IF($AK187=TODAY(),"Due","Open")))),"")</f>
        <v/>
      </c>
      <c r="AM187" s="49">
        <f>IFERROR(IF($A187="","",IF(COUNTIF($A$5:$A$504,$A187)&gt;1,"Duplicate reservation ID",IF($C187&lt;=$B187,"Check stay dates",IF($G187&gt;$F187,"Resold nights exceed booked nights",IF($M187+$N187&gt;$AA187+0.01,"Collection exceeds expected amount",IF(AND($S187="Collected",$M187=0),"Collected status has no amount",IF($AJ187&gt;='Assumptions'!$B$10,"High-cost review","OK"))))))),"")</f>
        <v/>
      </c>
    </row>
    <row r="188">
      <c r="A188" s="38" t="n"/>
      <c r="B188" s="39" t="n"/>
      <c r="C188" s="39" t="n"/>
      <c r="D188" s="38" t="n"/>
      <c r="E188" s="38" t="n"/>
      <c r="F188" s="40" t="n"/>
      <c r="G188" s="40" t="n"/>
      <c r="H188" s="41" t="n"/>
      <c r="I188" s="41" t="n"/>
      <c r="J188" s="42" t="n"/>
      <c r="K188" s="42" t="n"/>
      <c r="L188" s="42" t="n"/>
      <c r="M188" s="41" t="n"/>
      <c r="N188" s="41" t="n"/>
      <c r="O188" s="41" t="n"/>
      <c r="P188" s="41" t="n"/>
      <c r="Q188" s="40" t="n"/>
      <c r="R188" s="38" t="n"/>
      <c r="S188" s="38" t="n"/>
      <c r="T188" s="39" t="n"/>
      <c r="U188" s="43" t="n"/>
      <c r="V188" s="44">
        <f>IFERROR(IF($A188="","",MAX($F188-$G188,0)),"")</f>
        <v/>
      </c>
      <c r="W188" s="45">
        <f>IFERROR(IF($A188="","",$H188+$I188),"")</f>
        <v/>
      </c>
      <c r="X188" s="45">
        <f>IFERROR(IF($A188="","",$H188*IF($J188="",'Assumptions'!$B$4,$J188)),"")</f>
        <v/>
      </c>
      <c r="Y188" s="45">
        <f>IFERROR(IF($A188="","",$X188*IF($K188="",'Assumptions'!$B$12,$K188)),"")</f>
        <v/>
      </c>
      <c r="Z188" s="45">
        <f>IFERROR(IF($A188="","",($X188+$Y188)*IF($L188="",'Assumptions'!$B$13,$L188)),"")</f>
        <v/>
      </c>
      <c r="AA188" s="45">
        <f>IFERROR(IF($A188="","",$X188+$Y188+$Z188),"")</f>
        <v/>
      </c>
      <c r="AB188" s="45">
        <f>IFERROR(IF($A188="","",$V188*'Assumptions'!$B$5),"")</f>
        <v/>
      </c>
      <c r="AC188" s="45">
        <f>IFERROR(IF($A188="","",$I188*'Assumptions'!$B$6),"")</f>
        <v/>
      </c>
      <c r="AD188" s="45">
        <f>IFERROR(IF($A188="","",$AB188+$AC188),"")</f>
        <v/>
      </c>
      <c r="AE188" s="45">
        <f>IFERROR(IF($A188="","",($M188+$N188)*'Assumptions'!$B$7),"")</f>
        <v/>
      </c>
      <c r="AF188" s="45">
        <f>IFERROR(IF($A188="","",($Q188/60)*'Assumptions'!$B$8),"")</f>
        <v/>
      </c>
      <c r="AG188" s="45">
        <f>IFERROR(IF($A188="","",$P188+$AE188+$AF188),"")</f>
        <v/>
      </c>
      <c r="AH188" s="45">
        <f>IFERROR(IF($A188="","",$M188+$O188),"")</f>
        <v/>
      </c>
      <c r="AI188" s="46">
        <f>IFERROR(IF($A188="","",IFERROR($AH188/$W188,0)),"")</f>
        <v/>
      </c>
      <c r="AJ188" s="45">
        <f>IFERROR(IF($A188="","",$W188-$AH188-$AD188+$AG188),"")</f>
        <v/>
      </c>
      <c r="AK188" s="47">
        <f>IFERROR(IF($A188="","",IF(OR($S188="Collected",$S188="Waived",$S188="Uncollectible",$S188="No Charge Due"),"",IF($T188="",$B188+'Assumptions'!$B$9,$T188+'Assumptions'!$B$9))),"")</f>
        <v/>
      </c>
      <c r="AL188" s="48">
        <f>IFERROR(IF($A188="","",IF(OR($S188="Collected",$S188="Waived",$S188="Uncollectible",$S188="No Charge Due"),"Closed",IF($AK188&lt;TODAY(),"Overdue",IF($AK188=TODAY(),"Due","Open")))),"")</f>
        <v/>
      </c>
      <c r="AM188" s="49">
        <f>IFERROR(IF($A188="","",IF(COUNTIF($A$5:$A$504,$A188)&gt;1,"Duplicate reservation ID",IF($C188&lt;=$B188,"Check stay dates",IF($G188&gt;$F188,"Resold nights exceed booked nights",IF($M188+$N188&gt;$AA188+0.01,"Collection exceeds expected amount",IF(AND($S188="Collected",$M188=0),"Collected status has no amount",IF($AJ188&gt;='Assumptions'!$B$10,"High-cost review","OK"))))))),"")</f>
        <v/>
      </c>
    </row>
    <row r="189">
      <c r="A189" s="38" t="n"/>
      <c r="B189" s="39" t="n"/>
      <c r="C189" s="39" t="n"/>
      <c r="D189" s="38" t="n"/>
      <c r="E189" s="38" t="n"/>
      <c r="F189" s="40" t="n"/>
      <c r="G189" s="40" t="n"/>
      <c r="H189" s="41" t="n"/>
      <c r="I189" s="41" t="n"/>
      <c r="J189" s="42" t="n"/>
      <c r="K189" s="42" t="n"/>
      <c r="L189" s="42" t="n"/>
      <c r="M189" s="41" t="n"/>
      <c r="N189" s="41" t="n"/>
      <c r="O189" s="41" t="n"/>
      <c r="P189" s="41" t="n"/>
      <c r="Q189" s="40" t="n"/>
      <c r="R189" s="38" t="n"/>
      <c r="S189" s="38" t="n"/>
      <c r="T189" s="39" t="n"/>
      <c r="U189" s="43" t="n"/>
      <c r="V189" s="44">
        <f>IFERROR(IF($A189="","",MAX($F189-$G189,0)),"")</f>
        <v/>
      </c>
      <c r="W189" s="45">
        <f>IFERROR(IF($A189="","",$H189+$I189),"")</f>
        <v/>
      </c>
      <c r="X189" s="45">
        <f>IFERROR(IF($A189="","",$H189*IF($J189="",'Assumptions'!$B$4,$J189)),"")</f>
        <v/>
      </c>
      <c r="Y189" s="45">
        <f>IFERROR(IF($A189="","",$X189*IF($K189="",'Assumptions'!$B$12,$K189)),"")</f>
        <v/>
      </c>
      <c r="Z189" s="45">
        <f>IFERROR(IF($A189="","",($X189+$Y189)*IF($L189="",'Assumptions'!$B$13,$L189)),"")</f>
        <v/>
      </c>
      <c r="AA189" s="45">
        <f>IFERROR(IF($A189="","",$X189+$Y189+$Z189),"")</f>
        <v/>
      </c>
      <c r="AB189" s="45">
        <f>IFERROR(IF($A189="","",$V189*'Assumptions'!$B$5),"")</f>
        <v/>
      </c>
      <c r="AC189" s="45">
        <f>IFERROR(IF($A189="","",$I189*'Assumptions'!$B$6),"")</f>
        <v/>
      </c>
      <c r="AD189" s="45">
        <f>IFERROR(IF($A189="","",$AB189+$AC189),"")</f>
        <v/>
      </c>
      <c r="AE189" s="45">
        <f>IFERROR(IF($A189="","",($M189+$N189)*'Assumptions'!$B$7),"")</f>
        <v/>
      </c>
      <c r="AF189" s="45">
        <f>IFERROR(IF($A189="","",($Q189/60)*'Assumptions'!$B$8),"")</f>
        <v/>
      </c>
      <c r="AG189" s="45">
        <f>IFERROR(IF($A189="","",$P189+$AE189+$AF189),"")</f>
        <v/>
      </c>
      <c r="AH189" s="45">
        <f>IFERROR(IF($A189="","",$M189+$O189),"")</f>
        <v/>
      </c>
      <c r="AI189" s="46">
        <f>IFERROR(IF($A189="","",IFERROR($AH189/$W189,0)),"")</f>
        <v/>
      </c>
      <c r="AJ189" s="45">
        <f>IFERROR(IF($A189="","",$W189-$AH189-$AD189+$AG189),"")</f>
        <v/>
      </c>
      <c r="AK189" s="47">
        <f>IFERROR(IF($A189="","",IF(OR($S189="Collected",$S189="Waived",$S189="Uncollectible",$S189="No Charge Due"),"",IF($T189="",$B189+'Assumptions'!$B$9,$T189+'Assumptions'!$B$9))),"")</f>
        <v/>
      </c>
      <c r="AL189" s="48">
        <f>IFERROR(IF($A189="","",IF(OR($S189="Collected",$S189="Waived",$S189="Uncollectible",$S189="No Charge Due"),"Closed",IF($AK189&lt;TODAY(),"Overdue",IF($AK189=TODAY(),"Due","Open")))),"")</f>
        <v/>
      </c>
      <c r="AM189" s="49">
        <f>IFERROR(IF($A189="","",IF(COUNTIF($A$5:$A$504,$A189)&gt;1,"Duplicate reservation ID",IF($C189&lt;=$B189,"Check stay dates",IF($G189&gt;$F189,"Resold nights exceed booked nights",IF($M189+$N189&gt;$AA189+0.01,"Collection exceeds expected amount",IF(AND($S189="Collected",$M189=0),"Collected status has no amount",IF($AJ189&gt;='Assumptions'!$B$10,"High-cost review","OK"))))))),"")</f>
        <v/>
      </c>
    </row>
    <row r="190">
      <c r="A190" s="38" t="n"/>
      <c r="B190" s="39" t="n"/>
      <c r="C190" s="39" t="n"/>
      <c r="D190" s="38" t="n"/>
      <c r="E190" s="38" t="n"/>
      <c r="F190" s="40" t="n"/>
      <c r="G190" s="40" t="n"/>
      <c r="H190" s="41" t="n"/>
      <c r="I190" s="41" t="n"/>
      <c r="J190" s="42" t="n"/>
      <c r="K190" s="42" t="n"/>
      <c r="L190" s="42" t="n"/>
      <c r="M190" s="41" t="n"/>
      <c r="N190" s="41" t="n"/>
      <c r="O190" s="41" t="n"/>
      <c r="P190" s="41" t="n"/>
      <c r="Q190" s="40" t="n"/>
      <c r="R190" s="38" t="n"/>
      <c r="S190" s="38" t="n"/>
      <c r="T190" s="39" t="n"/>
      <c r="U190" s="43" t="n"/>
      <c r="V190" s="44">
        <f>IFERROR(IF($A190="","",MAX($F190-$G190,0)),"")</f>
        <v/>
      </c>
      <c r="W190" s="45">
        <f>IFERROR(IF($A190="","",$H190+$I190),"")</f>
        <v/>
      </c>
      <c r="X190" s="45">
        <f>IFERROR(IF($A190="","",$H190*IF($J190="",'Assumptions'!$B$4,$J190)),"")</f>
        <v/>
      </c>
      <c r="Y190" s="45">
        <f>IFERROR(IF($A190="","",$X190*IF($K190="",'Assumptions'!$B$12,$K190)),"")</f>
        <v/>
      </c>
      <c r="Z190" s="45">
        <f>IFERROR(IF($A190="","",($X190+$Y190)*IF($L190="",'Assumptions'!$B$13,$L190)),"")</f>
        <v/>
      </c>
      <c r="AA190" s="45">
        <f>IFERROR(IF($A190="","",$X190+$Y190+$Z190),"")</f>
        <v/>
      </c>
      <c r="AB190" s="45">
        <f>IFERROR(IF($A190="","",$V190*'Assumptions'!$B$5),"")</f>
        <v/>
      </c>
      <c r="AC190" s="45">
        <f>IFERROR(IF($A190="","",$I190*'Assumptions'!$B$6),"")</f>
        <v/>
      </c>
      <c r="AD190" s="45">
        <f>IFERROR(IF($A190="","",$AB190+$AC190),"")</f>
        <v/>
      </c>
      <c r="AE190" s="45">
        <f>IFERROR(IF($A190="","",($M190+$N190)*'Assumptions'!$B$7),"")</f>
        <v/>
      </c>
      <c r="AF190" s="45">
        <f>IFERROR(IF($A190="","",($Q190/60)*'Assumptions'!$B$8),"")</f>
        <v/>
      </c>
      <c r="AG190" s="45">
        <f>IFERROR(IF($A190="","",$P190+$AE190+$AF190),"")</f>
        <v/>
      </c>
      <c r="AH190" s="45">
        <f>IFERROR(IF($A190="","",$M190+$O190),"")</f>
        <v/>
      </c>
      <c r="AI190" s="46">
        <f>IFERROR(IF($A190="","",IFERROR($AH190/$W190,0)),"")</f>
        <v/>
      </c>
      <c r="AJ190" s="45">
        <f>IFERROR(IF($A190="","",$W190-$AH190-$AD190+$AG190),"")</f>
        <v/>
      </c>
      <c r="AK190" s="47">
        <f>IFERROR(IF($A190="","",IF(OR($S190="Collected",$S190="Waived",$S190="Uncollectible",$S190="No Charge Due"),"",IF($T190="",$B190+'Assumptions'!$B$9,$T190+'Assumptions'!$B$9))),"")</f>
        <v/>
      </c>
      <c r="AL190" s="48">
        <f>IFERROR(IF($A190="","",IF(OR($S190="Collected",$S190="Waived",$S190="Uncollectible",$S190="No Charge Due"),"Closed",IF($AK190&lt;TODAY(),"Overdue",IF($AK190=TODAY(),"Due","Open")))),"")</f>
        <v/>
      </c>
      <c r="AM190" s="49">
        <f>IFERROR(IF($A190="","",IF(COUNTIF($A$5:$A$504,$A190)&gt;1,"Duplicate reservation ID",IF($C190&lt;=$B190,"Check stay dates",IF($G190&gt;$F190,"Resold nights exceed booked nights",IF($M190+$N190&gt;$AA190+0.01,"Collection exceeds expected amount",IF(AND($S190="Collected",$M190=0),"Collected status has no amount",IF($AJ190&gt;='Assumptions'!$B$10,"High-cost review","OK"))))))),"")</f>
        <v/>
      </c>
    </row>
    <row r="191">
      <c r="A191" s="38" t="n"/>
      <c r="B191" s="39" t="n"/>
      <c r="C191" s="39" t="n"/>
      <c r="D191" s="38" t="n"/>
      <c r="E191" s="38" t="n"/>
      <c r="F191" s="40" t="n"/>
      <c r="G191" s="40" t="n"/>
      <c r="H191" s="41" t="n"/>
      <c r="I191" s="41" t="n"/>
      <c r="J191" s="42" t="n"/>
      <c r="K191" s="42" t="n"/>
      <c r="L191" s="42" t="n"/>
      <c r="M191" s="41" t="n"/>
      <c r="N191" s="41" t="n"/>
      <c r="O191" s="41" t="n"/>
      <c r="P191" s="41" t="n"/>
      <c r="Q191" s="40" t="n"/>
      <c r="R191" s="38" t="n"/>
      <c r="S191" s="38" t="n"/>
      <c r="T191" s="39" t="n"/>
      <c r="U191" s="43" t="n"/>
      <c r="V191" s="44">
        <f>IFERROR(IF($A191="","",MAX($F191-$G191,0)),"")</f>
        <v/>
      </c>
      <c r="W191" s="45">
        <f>IFERROR(IF($A191="","",$H191+$I191),"")</f>
        <v/>
      </c>
      <c r="X191" s="45">
        <f>IFERROR(IF($A191="","",$H191*IF($J191="",'Assumptions'!$B$4,$J191)),"")</f>
        <v/>
      </c>
      <c r="Y191" s="45">
        <f>IFERROR(IF($A191="","",$X191*IF($K191="",'Assumptions'!$B$12,$K191)),"")</f>
        <v/>
      </c>
      <c r="Z191" s="45">
        <f>IFERROR(IF($A191="","",($X191+$Y191)*IF($L191="",'Assumptions'!$B$13,$L191)),"")</f>
        <v/>
      </c>
      <c r="AA191" s="45">
        <f>IFERROR(IF($A191="","",$X191+$Y191+$Z191),"")</f>
        <v/>
      </c>
      <c r="AB191" s="45">
        <f>IFERROR(IF($A191="","",$V191*'Assumptions'!$B$5),"")</f>
        <v/>
      </c>
      <c r="AC191" s="45">
        <f>IFERROR(IF($A191="","",$I191*'Assumptions'!$B$6),"")</f>
        <v/>
      </c>
      <c r="AD191" s="45">
        <f>IFERROR(IF($A191="","",$AB191+$AC191),"")</f>
        <v/>
      </c>
      <c r="AE191" s="45">
        <f>IFERROR(IF($A191="","",($M191+$N191)*'Assumptions'!$B$7),"")</f>
        <v/>
      </c>
      <c r="AF191" s="45">
        <f>IFERROR(IF($A191="","",($Q191/60)*'Assumptions'!$B$8),"")</f>
        <v/>
      </c>
      <c r="AG191" s="45">
        <f>IFERROR(IF($A191="","",$P191+$AE191+$AF191),"")</f>
        <v/>
      </c>
      <c r="AH191" s="45">
        <f>IFERROR(IF($A191="","",$M191+$O191),"")</f>
        <v/>
      </c>
      <c r="AI191" s="46">
        <f>IFERROR(IF($A191="","",IFERROR($AH191/$W191,0)),"")</f>
        <v/>
      </c>
      <c r="AJ191" s="45">
        <f>IFERROR(IF($A191="","",$W191-$AH191-$AD191+$AG191),"")</f>
        <v/>
      </c>
      <c r="AK191" s="47">
        <f>IFERROR(IF($A191="","",IF(OR($S191="Collected",$S191="Waived",$S191="Uncollectible",$S191="No Charge Due"),"",IF($T191="",$B191+'Assumptions'!$B$9,$T191+'Assumptions'!$B$9))),"")</f>
        <v/>
      </c>
      <c r="AL191" s="48">
        <f>IFERROR(IF($A191="","",IF(OR($S191="Collected",$S191="Waived",$S191="Uncollectible",$S191="No Charge Due"),"Closed",IF($AK191&lt;TODAY(),"Overdue",IF($AK191=TODAY(),"Due","Open")))),"")</f>
        <v/>
      </c>
      <c r="AM191" s="49">
        <f>IFERROR(IF($A191="","",IF(COUNTIF($A$5:$A$504,$A191)&gt;1,"Duplicate reservation ID",IF($C191&lt;=$B191,"Check stay dates",IF($G191&gt;$F191,"Resold nights exceed booked nights",IF($M191+$N191&gt;$AA191+0.01,"Collection exceeds expected amount",IF(AND($S191="Collected",$M191=0),"Collected status has no amount",IF($AJ191&gt;='Assumptions'!$B$10,"High-cost review","OK"))))))),"")</f>
        <v/>
      </c>
    </row>
    <row r="192">
      <c r="A192" s="38" t="n"/>
      <c r="B192" s="39" t="n"/>
      <c r="C192" s="39" t="n"/>
      <c r="D192" s="38" t="n"/>
      <c r="E192" s="38" t="n"/>
      <c r="F192" s="40" t="n"/>
      <c r="G192" s="40" t="n"/>
      <c r="H192" s="41" t="n"/>
      <c r="I192" s="41" t="n"/>
      <c r="J192" s="42" t="n"/>
      <c r="K192" s="42" t="n"/>
      <c r="L192" s="42" t="n"/>
      <c r="M192" s="41" t="n"/>
      <c r="N192" s="41" t="n"/>
      <c r="O192" s="41" t="n"/>
      <c r="P192" s="41" t="n"/>
      <c r="Q192" s="40" t="n"/>
      <c r="R192" s="38" t="n"/>
      <c r="S192" s="38" t="n"/>
      <c r="T192" s="39" t="n"/>
      <c r="U192" s="43" t="n"/>
      <c r="V192" s="44">
        <f>IFERROR(IF($A192="","",MAX($F192-$G192,0)),"")</f>
        <v/>
      </c>
      <c r="W192" s="45">
        <f>IFERROR(IF($A192="","",$H192+$I192),"")</f>
        <v/>
      </c>
      <c r="X192" s="45">
        <f>IFERROR(IF($A192="","",$H192*IF($J192="",'Assumptions'!$B$4,$J192)),"")</f>
        <v/>
      </c>
      <c r="Y192" s="45">
        <f>IFERROR(IF($A192="","",$X192*IF($K192="",'Assumptions'!$B$12,$K192)),"")</f>
        <v/>
      </c>
      <c r="Z192" s="45">
        <f>IFERROR(IF($A192="","",($X192+$Y192)*IF($L192="",'Assumptions'!$B$13,$L192)),"")</f>
        <v/>
      </c>
      <c r="AA192" s="45">
        <f>IFERROR(IF($A192="","",$X192+$Y192+$Z192),"")</f>
        <v/>
      </c>
      <c r="AB192" s="45">
        <f>IFERROR(IF($A192="","",$V192*'Assumptions'!$B$5),"")</f>
        <v/>
      </c>
      <c r="AC192" s="45">
        <f>IFERROR(IF($A192="","",$I192*'Assumptions'!$B$6),"")</f>
        <v/>
      </c>
      <c r="AD192" s="45">
        <f>IFERROR(IF($A192="","",$AB192+$AC192),"")</f>
        <v/>
      </c>
      <c r="AE192" s="45">
        <f>IFERROR(IF($A192="","",($M192+$N192)*'Assumptions'!$B$7),"")</f>
        <v/>
      </c>
      <c r="AF192" s="45">
        <f>IFERROR(IF($A192="","",($Q192/60)*'Assumptions'!$B$8),"")</f>
        <v/>
      </c>
      <c r="AG192" s="45">
        <f>IFERROR(IF($A192="","",$P192+$AE192+$AF192),"")</f>
        <v/>
      </c>
      <c r="AH192" s="45">
        <f>IFERROR(IF($A192="","",$M192+$O192),"")</f>
        <v/>
      </c>
      <c r="AI192" s="46">
        <f>IFERROR(IF($A192="","",IFERROR($AH192/$W192,0)),"")</f>
        <v/>
      </c>
      <c r="AJ192" s="45">
        <f>IFERROR(IF($A192="","",$W192-$AH192-$AD192+$AG192),"")</f>
        <v/>
      </c>
      <c r="AK192" s="47">
        <f>IFERROR(IF($A192="","",IF(OR($S192="Collected",$S192="Waived",$S192="Uncollectible",$S192="No Charge Due"),"",IF($T192="",$B192+'Assumptions'!$B$9,$T192+'Assumptions'!$B$9))),"")</f>
        <v/>
      </c>
      <c r="AL192" s="48">
        <f>IFERROR(IF($A192="","",IF(OR($S192="Collected",$S192="Waived",$S192="Uncollectible",$S192="No Charge Due"),"Closed",IF($AK192&lt;TODAY(),"Overdue",IF($AK192=TODAY(),"Due","Open")))),"")</f>
        <v/>
      </c>
      <c r="AM192" s="49">
        <f>IFERROR(IF($A192="","",IF(COUNTIF($A$5:$A$504,$A192)&gt;1,"Duplicate reservation ID",IF($C192&lt;=$B192,"Check stay dates",IF($G192&gt;$F192,"Resold nights exceed booked nights",IF($M192+$N192&gt;$AA192+0.01,"Collection exceeds expected amount",IF(AND($S192="Collected",$M192=0),"Collected status has no amount",IF($AJ192&gt;='Assumptions'!$B$10,"High-cost review","OK"))))))),"")</f>
        <v/>
      </c>
    </row>
    <row r="193">
      <c r="A193" s="38" t="n"/>
      <c r="B193" s="39" t="n"/>
      <c r="C193" s="39" t="n"/>
      <c r="D193" s="38" t="n"/>
      <c r="E193" s="38" t="n"/>
      <c r="F193" s="40" t="n"/>
      <c r="G193" s="40" t="n"/>
      <c r="H193" s="41" t="n"/>
      <c r="I193" s="41" t="n"/>
      <c r="J193" s="42" t="n"/>
      <c r="K193" s="42" t="n"/>
      <c r="L193" s="42" t="n"/>
      <c r="M193" s="41" t="n"/>
      <c r="N193" s="41" t="n"/>
      <c r="O193" s="41" t="n"/>
      <c r="P193" s="41" t="n"/>
      <c r="Q193" s="40" t="n"/>
      <c r="R193" s="38" t="n"/>
      <c r="S193" s="38" t="n"/>
      <c r="T193" s="39" t="n"/>
      <c r="U193" s="43" t="n"/>
      <c r="V193" s="44">
        <f>IFERROR(IF($A193="","",MAX($F193-$G193,0)),"")</f>
        <v/>
      </c>
      <c r="W193" s="45">
        <f>IFERROR(IF($A193="","",$H193+$I193),"")</f>
        <v/>
      </c>
      <c r="X193" s="45">
        <f>IFERROR(IF($A193="","",$H193*IF($J193="",'Assumptions'!$B$4,$J193)),"")</f>
        <v/>
      </c>
      <c r="Y193" s="45">
        <f>IFERROR(IF($A193="","",$X193*IF($K193="",'Assumptions'!$B$12,$K193)),"")</f>
        <v/>
      </c>
      <c r="Z193" s="45">
        <f>IFERROR(IF($A193="","",($X193+$Y193)*IF($L193="",'Assumptions'!$B$13,$L193)),"")</f>
        <v/>
      </c>
      <c r="AA193" s="45">
        <f>IFERROR(IF($A193="","",$X193+$Y193+$Z193),"")</f>
        <v/>
      </c>
      <c r="AB193" s="45">
        <f>IFERROR(IF($A193="","",$V193*'Assumptions'!$B$5),"")</f>
        <v/>
      </c>
      <c r="AC193" s="45">
        <f>IFERROR(IF($A193="","",$I193*'Assumptions'!$B$6),"")</f>
        <v/>
      </c>
      <c r="AD193" s="45">
        <f>IFERROR(IF($A193="","",$AB193+$AC193),"")</f>
        <v/>
      </c>
      <c r="AE193" s="45">
        <f>IFERROR(IF($A193="","",($M193+$N193)*'Assumptions'!$B$7),"")</f>
        <v/>
      </c>
      <c r="AF193" s="45">
        <f>IFERROR(IF($A193="","",($Q193/60)*'Assumptions'!$B$8),"")</f>
        <v/>
      </c>
      <c r="AG193" s="45">
        <f>IFERROR(IF($A193="","",$P193+$AE193+$AF193),"")</f>
        <v/>
      </c>
      <c r="AH193" s="45">
        <f>IFERROR(IF($A193="","",$M193+$O193),"")</f>
        <v/>
      </c>
      <c r="AI193" s="46">
        <f>IFERROR(IF($A193="","",IFERROR($AH193/$W193,0)),"")</f>
        <v/>
      </c>
      <c r="AJ193" s="45">
        <f>IFERROR(IF($A193="","",$W193-$AH193-$AD193+$AG193),"")</f>
        <v/>
      </c>
      <c r="AK193" s="47">
        <f>IFERROR(IF($A193="","",IF(OR($S193="Collected",$S193="Waived",$S193="Uncollectible",$S193="No Charge Due"),"",IF($T193="",$B193+'Assumptions'!$B$9,$T193+'Assumptions'!$B$9))),"")</f>
        <v/>
      </c>
      <c r="AL193" s="48">
        <f>IFERROR(IF($A193="","",IF(OR($S193="Collected",$S193="Waived",$S193="Uncollectible",$S193="No Charge Due"),"Closed",IF($AK193&lt;TODAY(),"Overdue",IF($AK193=TODAY(),"Due","Open")))),"")</f>
        <v/>
      </c>
      <c r="AM193" s="49">
        <f>IFERROR(IF($A193="","",IF(COUNTIF($A$5:$A$504,$A193)&gt;1,"Duplicate reservation ID",IF($C193&lt;=$B193,"Check stay dates",IF($G193&gt;$F193,"Resold nights exceed booked nights",IF($M193+$N193&gt;$AA193+0.01,"Collection exceeds expected amount",IF(AND($S193="Collected",$M193=0),"Collected status has no amount",IF($AJ193&gt;='Assumptions'!$B$10,"High-cost review","OK"))))))),"")</f>
        <v/>
      </c>
    </row>
    <row r="194">
      <c r="A194" s="38" t="n"/>
      <c r="B194" s="39" t="n"/>
      <c r="C194" s="39" t="n"/>
      <c r="D194" s="38" t="n"/>
      <c r="E194" s="38" t="n"/>
      <c r="F194" s="40" t="n"/>
      <c r="G194" s="40" t="n"/>
      <c r="H194" s="41" t="n"/>
      <c r="I194" s="41" t="n"/>
      <c r="J194" s="42" t="n"/>
      <c r="K194" s="42" t="n"/>
      <c r="L194" s="42" t="n"/>
      <c r="M194" s="41" t="n"/>
      <c r="N194" s="41" t="n"/>
      <c r="O194" s="41" t="n"/>
      <c r="P194" s="41" t="n"/>
      <c r="Q194" s="40" t="n"/>
      <c r="R194" s="38" t="n"/>
      <c r="S194" s="38" t="n"/>
      <c r="T194" s="39" t="n"/>
      <c r="U194" s="43" t="n"/>
      <c r="V194" s="44">
        <f>IFERROR(IF($A194="","",MAX($F194-$G194,0)),"")</f>
        <v/>
      </c>
      <c r="W194" s="45">
        <f>IFERROR(IF($A194="","",$H194+$I194),"")</f>
        <v/>
      </c>
      <c r="X194" s="45">
        <f>IFERROR(IF($A194="","",$H194*IF($J194="",'Assumptions'!$B$4,$J194)),"")</f>
        <v/>
      </c>
      <c r="Y194" s="45">
        <f>IFERROR(IF($A194="","",$X194*IF($K194="",'Assumptions'!$B$12,$K194)),"")</f>
        <v/>
      </c>
      <c r="Z194" s="45">
        <f>IFERROR(IF($A194="","",($X194+$Y194)*IF($L194="",'Assumptions'!$B$13,$L194)),"")</f>
        <v/>
      </c>
      <c r="AA194" s="45">
        <f>IFERROR(IF($A194="","",$X194+$Y194+$Z194),"")</f>
        <v/>
      </c>
      <c r="AB194" s="45">
        <f>IFERROR(IF($A194="","",$V194*'Assumptions'!$B$5),"")</f>
        <v/>
      </c>
      <c r="AC194" s="45">
        <f>IFERROR(IF($A194="","",$I194*'Assumptions'!$B$6),"")</f>
        <v/>
      </c>
      <c r="AD194" s="45">
        <f>IFERROR(IF($A194="","",$AB194+$AC194),"")</f>
        <v/>
      </c>
      <c r="AE194" s="45">
        <f>IFERROR(IF($A194="","",($M194+$N194)*'Assumptions'!$B$7),"")</f>
        <v/>
      </c>
      <c r="AF194" s="45">
        <f>IFERROR(IF($A194="","",($Q194/60)*'Assumptions'!$B$8),"")</f>
        <v/>
      </c>
      <c r="AG194" s="45">
        <f>IFERROR(IF($A194="","",$P194+$AE194+$AF194),"")</f>
        <v/>
      </c>
      <c r="AH194" s="45">
        <f>IFERROR(IF($A194="","",$M194+$O194),"")</f>
        <v/>
      </c>
      <c r="AI194" s="46">
        <f>IFERROR(IF($A194="","",IFERROR($AH194/$W194,0)),"")</f>
        <v/>
      </c>
      <c r="AJ194" s="45">
        <f>IFERROR(IF($A194="","",$W194-$AH194-$AD194+$AG194),"")</f>
        <v/>
      </c>
      <c r="AK194" s="47">
        <f>IFERROR(IF($A194="","",IF(OR($S194="Collected",$S194="Waived",$S194="Uncollectible",$S194="No Charge Due"),"",IF($T194="",$B194+'Assumptions'!$B$9,$T194+'Assumptions'!$B$9))),"")</f>
        <v/>
      </c>
      <c r="AL194" s="48">
        <f>IFERROR(IF($A194="","",IF(OR($S194="Collected",$S194="Waived",$S194="Uncollectible",$S194="No Charge Due"),"Closed",IF($AK194&lt;TODAY(),"Overdue",IF($AK194=TODAY(),"Due","Open")))),"")</f>
        <v/>
      </c>
      <c r="AM194" s="49">
        <f>IFERROR(IF($A194="","",IF(COUNTIF($A$5:$A$504,$A194)&gt;1,"Duplicate reservation ID",IF($C194&lt;=$B194,"Check stay dates",IF($G194&gt;$F194,"Resold nights exceed booked nights",IF($M194+$N194&gt;$AA194+0.01,"Collection exceeds expected amount",IF(AND($S194="Collected",$M194=0),"Collected status has no amount",IF($AJ194&gt;='Assumptions'!$B$10,"High-cost review","OK"))))))),"")</f>
        <v/>
      </c>
    </row>
    <row r="195">
      <c r="A195" s="38" t="n"/>
      <c r="B195" s="39" t="n"/>
      <c r="C195" s="39" t="n"/>
      <c r="D195" s="38" t="n"/>
      <c r="E195" s="38" t="n"/>
      <c r="F195" s="40" t="n"/>
      <c r="G195" s="40" t="n"/>
      <c r="H195" s="41" t="n"/>
      <c r="I195" s="41" t="n"/>
      <c r="J195" s="42" t="n"/>
      <c r="K195" s="42" t="n"/>
      <c r="L195" s="42" t="n"/>
      <c r="M195" s="41" t="n"/>
      <c r="N195" s="41" t="n"/>
      <c r="O195" s="41" t="n"/>
      <c r="P195" s="41" t="n"/>
      <c r="Q195" s="40" t="n"/>
      <c r="R195" s="38" t="n"/>
      <c r="S195" s="38" t="n"/>
      <c r="T195" s="39" t="n"/>
      <c r="U195" s="43" t="n"/>
      <c r="V195" s="44">
        <f>IFERROR(IF($A195="","",MAX($F195-$G195,0)),"")</f>
        <v/>
      </c>
      <c r="W195" s="45">
        <f>IFERROR(IF($A195="","",$H195+$I195),"")</f>
        <v/>
      </c>
      <c r="X195" s="45">
        <f>IFERROR(IF($A195="","",$H195*IF($J195="",'Assumptions'!$B$4,$J195)),"")</f>
        <v/>
      </c>
      <c r="Y195" s="45">
        <f>IFERROR(IF($A195="","",$X195*IF($K195="",'Assumptions'!$B$12,$K195)),"")</f>
        <v/>
      </c>
      <c r="Z195" s="45">
        <f>IFERROR(IF($A195="","",($X195+$Y195)*IF($L195="",'Assumptions'!$B$13,$L195)),"")</f>
        <v/>
      </c>
      <c r="AA195" s="45">
        <f>IFERROR(IF($A195="","",$X195+$Y195+$Z195),"")</f>
        <v/>
      </c>
      <c r="AB195" s="45">
        <f>IFERROR(IF($A195="","",$V195*'Assumptions'!$B$5),"")</f>
        <v/>
      </c>
      <c r="AC195" s="45">
        <f>IFERROR(IF($A195="","",$I195*'Assumptions'!$B$6),"")</f>
        <v/>
      </c>
      <c r="AD195" s="45">
        <f>IFERROR(IF($A195="","",$AB195+$AC195),"")</f>
        <v/>
      </c>
      <c r="AE195" s="45">
        <f>IFERROR(IF($A195="","",($M195+$N195)*'Assumptions'!$B$7),"")</f>
        <v/>
      </c>
      <c r="AF195" s="45">
        <f>IFERROR(IF($A195="","",($Q195/60)*'Assumptions'!$B$8),"")</f>
        <v/>
      </c>
      <c r="AG195" s="45">
        <f>IFERROR(IF($A195="","",$P195+$AE195+$AF195),"")</f>
        <v/>
      </c>
      <c r="AH195" s="45">
        <f>IFERROR(IF($A195="","",$M195+$O195),"")</f>
        <v/>
      </c>
      <c r="AI195" s="46">
        <f>IFERROR(IF($A195="","",IFERROR($AH195/$W195,0)),"")</f>
        <v/>
      </c>
      <c r="AJ195" s="45">
        <f>IFERROR(IF($A195="","",$W195-$AH195-$AD195+$AG195),"")</f>
        <v/>
      </c>
      <c r="AK195" s="47">
        <f>IFERROR(IF($A195="","",IF(OR($S195="Collected",$S195="Waived",$S195="Uncollectible",$S195="No Charge Due"),"",IF($T195="",$B195+'Assumptions'!$B$9,$T195+'Assumptions'!$B$9))),"")</f>
        <v/>
      </c>
      <c r="AL195" s="48">
        <f>IFERROR(IF($A195="","",IF(OR($S195="Collected",$S195="Waived",$S195="Uncollectible",$S195="No Charge Due"),"Closed",IF($AK195&lt;TODAY(),"Overdue",IF($AK195=TODAY(),"Due","Open")))),"")</f>
        <v/>
      </c>
      <c r="AM195" s="49">
        <f>IFERROR(IF($A195="","",IF(COUNTIF($A$5:$A$504,$A195)&gt;1,"Duplicate reservation ID",IF($C195&lt;=$B195,"Check stay dates",IF($G195&gt;$F195,"Resold nights exceed booked nights",IF($M195+$N195&gt;$AA195+0.01,"Collection exceeds expected amount",IF(AND($S195="Collected",$M195=0),"Collected status has no amount",IF($AJ195&gt;='Assumptions'!$B$10,"High-cost review","OK"))))))),"")</f>
        <v/>
      </c>
    </row>
    <row r="196">
      <c r="A196" s="38" t="n"/>
      <c r="B196" s="39" t="n"/>
      <c r="C196" s="39" t="n"/>
      <c r="D196" s="38" t="n"/>
      <c r="E196" s="38" t="n"/>
      <c r="F196" s="40" t="n"/>
      <c r="G196" s="40" t="n"/>
      <c r="H196" s="41" t="n"/>
      <c r="I196" s="41" t="n"/>
      <c r="J196" s="42" t="n"/>
      <c r="K196" s="42" t="n"/>
      <c r="L196" s="42" t="n"/>
      <c r="M196" s="41" t="n"/>
      <c r="N196" s="41" t="n"/>
      <c r="O196" s="41" t="n"/>
      <c r="P196" s="41" t="n"/>
      <c r="Q196" s="40" t="n"/>
      <c r="R196" s="38" t="n"/>
      <c r="S196" s="38" t="n"/>
      <c r="T196" s="39" t="n"/>
      <c r="U196" s="43" t="n"/>
      <c r="V196" s="44">
        <f>IFERROR(IF($A196="","",MAX($F196-$G196,0)),"")</f>
        <v/>
      </c>
      <c r="W196" s="45">
        <f>IFERROR(IF($A196="","",$H196+$I196),"")</f>
        <v/>
      </c>
      <c r="X196" s="45">
        <f>IFERROR(IF($A196="","",$H196*IF($J196="",'Assumptions'!$B$4,$J196)),"")</f>
        <v/>
      </c>
      <c r="Y196" s="45">
        <f>IFERROR(IF($A196="","",$X196*IF($K196="",'Assumptions'!$B$12,$K196)),"")</f>
        <v/>
      </c>
      <c r="Z196" s="45">
        <f>IFERROR(IF($A196="","",($X196+$Y196)*IF($L196="",'Assumptions'!$B$13,$L196)),"")</f>
        <v/>
      </c>
      <c r="AA196" s="45">
        <f>IFERROR(IF($A196="","",$X196+$Y196+$Z196),"")</f>
        <v/>
      </c>
      <c r="AB196" s="45">
        <f>IFERROR(IF($A196="","",$V196*'Assumptions'!$B$5),"")</f>
        <v/>
      </c>
      <c r="AC196" s="45">
        <f>IFERROR(IF($A196="","",$I196*'Assumptions'!$B$6),"")</f>
        <v/>
      </c>
      <c r="AD196" s="45">
        <f>IFERROR(IF($A196="","",$AB196+$AC196),"")</f>
        <v/>
      </c>
      <c r="AE196" s="45">
        <f>IFERROR(IF($A196="","",($M196+$N196)*'Assumptions'!$B$7),"")</f>
        <v/>
      </c>
      <c r="AF196" s="45">
        <f>IFERROR(IF($A196="","",($Q196/60)*'Assumptions'!$B$8),"")</f>
        <v/>
      </c>
      <c r="AG196" s="45">
        <f>IFERROR(IF($A196="","",$P196+$AE196+$AF196),"")</f>
        <v/>
      </c>
      <c r="AH196" s="45">
        <f>IFERROR(IF($A196="","",$M196+$O196),"")</f>
        <v/>
      </c>
      <c r="AI196" s="46">
        <f>IFERROR(IF($A196="","",IFERROR($AH196/$W196,0)),"")</f>
        <v/>
      </c>
      <c r="AJ196" s="45">
        <f>IFERROR(IF($A196="","",$W196-$AH196-$AD196+$AG196),"")</f>
        <v/>
      </c>
      <c r="AK196" s="47">
        <f>IFERROR(IF($A196="","",IF(OR($S196="Collected",$S196="Waived",$S196="Uncollectible",$S196="No Charge Due"),"",IF($T196="",$B196+'Assumptions'!$B$9,$T196+'Assumptions'!$B$9))),"")</f>
        <v/>
      </c>
      <c r="AL196" s="48">
        <f>IFERROR(IF($A196="","",IF(OR($S196="Collected",$S196="Waived",$S196="Uncollectible",$S196="No Charge Due"),"Closed",IF($AK196&lt;TODAY(),"Overdue",IF($AK196=TODAY(),"Due","Open")))),"")</f>
        <v/>
      </c>
      <c r="AM196" s="49">
        <f>IFERROR(IF($A196="","",IF(COUNTIF($A$5:$A$504,$A196)&gt;1,"Duplicate reservation ID",IF($C196&lt;=$B196,"Check stay dates",IF($G196&gt;$F196,"Resold nights exceed booked nights",IF($M196+$N196&gt;$AA196+0.01,"Collection exceeds expected amount",IF(AND($S196="Collected",$M196=0),"Collected status has no amount",IF($AJ196&gt;='Assumptions'!$B$10,"High-cost review","OK"))))))),"")</f>
        <v/>
      </c>
    </row>
    <row r="197">
      <c r="A197" s="38" t="n"/>
      <c r="B197" s="39" t="n"/>
      <c r="C197" s="39" t="n"/>
      <c r="D197" s="38" t="n"/>
      <c r="E197" s="38" t="n"/>
      <c r="F197" s="40" t="n"/>
      <c r="G197" s="40" t="n"/>
      <c r="H197" s="41" t="n"/>
      <c r="I197" s="41" t="n"/>
      <c r="J197" s="42" t="n"/>
      <c r="K197" s="42" t="n"/>
      <c r="L197" s="42" t="n"/>
      <c r="M197" s="41" t="n"/>
      <c r="N197" s="41" t="n"/>
      <c r="O197" s="41" t="n"/>
      <c r="P197" s="41" t="n"/>
      <c r="Q197" s="40" t="n"/>
      <c r="R197" s="38" t="n"/>
      <c r="S197" s="38" t="n"/>
      <c r="T197" s="39" t="n"/>
      <c r="U197" s="43" t="n"/>
      <c r="V197" s="44">
        <f>IFERROR(IF($A197="","",MAX($F197-$G197,0)),"")</f>
        <v/>
      </c>
      <c r="W197" s="45">
        <f>IFERROR(IF($A197="","",$H197+$I197),"")</f>
        <v/>
      </c>
      <c r="X197" s="45">
        <f>IFERROR(IF($A197="","",$H197*IF($J197="",'Assumptions'!$B$4,$J197)),"")</f>
        <v/>
      </c>
      <c r="Y197" s="45">
        <f>IFERROR(IF($A197="","",$X197*IF($K197="",'Assumptions'!$B$12,$K197)),"")</f>
        <v/>
      </c>
      <c r="Z197" s="45">
        <f>IFERROR(IF($A197="","",($X197+$Y197)*IF($L197="",'Assumptions'!$B$13,$L197)),"")</f>
        <v/>
      </c>
      <c r="AA197" s="45">
        <f>IFERROR(IF($A197="","",$X197+$Y197+$Z197),"")</f>
        <v/>
      </c>
      <c r="AB197" s="45">
        <f>IFERROR(IF($A197="","",$V197*'Assumptions'!$B$5),"")</f>
        <v/>
      </c>
      <c r="AC197" s="45">
        <f>IFERROR(IF($A197="","",$I197*'Assumptions'!$B$6),"")</f>
        <v/>
      </c>
      <c r="AD197" s="45">
        <f>IFERROR(IF($A197="","",$AB197+$AC197),"")</f>
        <v/>
      </c>
      <c r="AE197" s="45">
        <f>IFERROR(IF($A197="","",($M197+$N197)*'Assumptions'!$B$7),"")</f>
        <v/>
      </c>
      <c r="AF197" s="45">
        <f>IFERROR(IF($A197="","",($Q197/60)*'Assumptions'!$B$8),"")</f>
        <v/>
      </c>
      <c r="AG197" s="45">
        <f>IFERROR(IF($A197="","",$P197+$AE197+$AF197),"")</f>
        <v/>
      </c>
      <c r="AH197" s="45">
        <f>IFERROR(IF($A197="","",$M197+$O197),"")</f>
        <v/>
      </c>
      <c r="AI197" s="46">
        <f>IFERROR(IF($A197="","",IFERROR($AH197/$W197,0)),"")</f>
        <v/>
      </c>
      <c r="AJ197" s="45">
        <f>IFERROR(IF($A197="","",$W197-$AH197-$AD197+$AG197),"")</f>
        <v/>
      </c>
      <c r="AK197" s="47">
        <f>IFERROR(IF($A197="","",IF(OR($S197="Collected",$S197="Waived",$S197="Uncollectible",$S197="No Charge Due"),"",IF($T197="",$B197+'Assumptions'!$B$9,$T197+'Assumptions'!$B$9))),"")</f>
        <v/>
      </c>
      <c r="AL197" s="48">
        <f>IFERROR(IF($A197="","",IF(OR($S197="Collected",$S197="Waived",$S197="Uncollectible",$S197="No Charge Due"),"Closed",IF($AK197&lt;TODAY(),"Overdue",IF($AK197=TODAY(),"Due","Open")))),"")</f>
        <v/>
      </c>
      <c r="AM197" s="49">
        <f>IFERROR(IF($A197="","",IF(COUNTIF($A$5:$A$504,$A197)&gt;1,"Duplicate reservation ID",IF($C197&lt;=$B197,"Check stay dates",IF($G197&gt;$F197,"Resold nights exceed booked nights",IF($M197+$N197&gt;$AA197+0.01,"Collection exceeds expected amount",IF(AND($S197="Collected",$M197=0),"Collected status has no amount",IF($AJ197&gt;='Assumptions'!$B$10,"High-cost review","OK"))))))),"")</f>
        <v/>
      </c>
    </row>
    <row r="198">
      <c r="A198" s="38" t="n"/>
      <c r="B198" s="39" t="n"/>
      <c r="C198" s="39" t="n"/>
      <c r="D198" s="38" t="n"/>
      <c r="E198" s="38" t="n"/>
      <c r="F198" s="40" t="n"/>
      <c r="G198" s="40" t="n"/>
      <c r="H198" s="41" t="n"/>
      <c r="I198" s="41" t="n"/>
      <c r="J198" s="42" t="n"/>
      <c r="K198" s="42" t="n"/>
      <c r="L198" s="42" t="n"/>
      <c r="M198" s="41" t="n"/>
      <c r="N198" s="41" t="n"/>
      <c r="O198" s="41" t="n"/>
      <c r="P198" s="41" t="n"/>
      <c r="Q198" s="40" t="n"/>
      <c r="R198" s="38" t="n"/>
      <c r="S198" s="38" t="n"/>
      <c r="T198" s="39" t="n"/>
      <c r="U198" s="43" t="n"/>
      <c r="V198" s="44">
        <f>IFERROR(IF($A198="","",MAX($F198-$G198,0)),"")</f>
        <v/>
      </c>
      <c r="W198" s="45">
        <f>IFERROR(IF($A198="","",$H198+$I198),"")</f>
        <v/>
      </c>
      <c r="X198" s="45">
        <f>IFERROR(IF($A198="","",$H198*IF($J198="",'Assumptions'!$B$4,$J198)),"")</f>
        <v/>
      </c>
      <c r="Y198" s="45">
        <f>IFERROR(IF($A198="","",$X198*IF($K198="",'Assumptions'!$B$12,$K198)),"")</f>
        <v/>
      </c>
      <c r="Z198" s="45">
        <f>IFERROR(IF($A198="","",($X198+$Y198)*IF($L198="",'Assumptions'!$B$13,$L198)),"")</f>
        <v/>
      </c>
      <c r="AA198" s="45">
        <f>IFERROR(IF($A198="","",$X198+$Y198+$Z198),"")</f>
        <v/>
      </c>
      <c r="AB198" s="45">
        <f>IFERROR(IF($A198="","",$V198*'Assumptions'!$B$5),"")</f>
        <v/>
      </c>
      <c r="AC198" s="45">
        <f>IFERROR(IF($A198="","",$I198*'Assumptions'!$B$6),"")</f>
        <v/>
      </c>
      <c r="AD198" s="45">
        <f>IFERROR(IF($A198="","",$AB198+$AC198),"")</f>
        <v/>
      </c>
      <c r="AE198" s="45">
        <f>IFERROR(IF($A198="","",($M198+$N198)*'Assumptions'!$B$7),"")</f>
        <v/>
      </c>
      <c r="AF198" s="45">
        <f>IFERROR(IF($A198="","",($Q198/60)*'Assumptions'!$B$8),"")</f>
        <v/>
      </c>
      <c r="AG198" s="45">
        <f>IFERROR(IF($A198="","",$P198+$AE198+$AF198),"")</f>
        <v/>
      </c>
      <c r="AH198" s="45">
        <f>IFERROR(IF($A198="","",$M198+$O198),"")</f>
        <v/>
      </c>
      <c r="AI198" s="46">
        <f>IFERROR(IF($A198="","",IFERROR($AH198/$W198,0)),"")</f>
        <v/>
      </c>
      <c r="AJ198" s="45">
        <f>IFERROR(IF($A198="","",$W198-$AH198-$AD198+$AG198),"")</f>
        <v/>
      </c>
      <c r="AK198" s="47">
        <f>IFERROR(IF($A198="","",IF(OR($S198="Collected",$S198="Waived",$S198="Uncollectible",$S198="No Charge Due"),"",IF($T198="",$B198+'Assumptions'!$B$9,$T198+'Assumptions'!$B$9))),"")</f>
        <v/>
      </c>
      <c r="AL198" s="48">
        <f>IFERROR(IF($A198="","",IF(OR($S198="Collected",$S198="Waived",$S198="Uncollectible",$S198="No Charge Due"),"Closed",IF($AK198&lt;TODAY(),"Overdue",IF($AK198=TODAY(),"Due","Open")))),"")</f>
        <v/>
      </c>
      <c r="AM198" s="49">
        <f>IFERROR(IF($A198="","",IF(COUNTIF($A$5:$A$504,$A198)&gt;1,"Duplicate reservation ID",IF($C198&lt;=$B198,"Check stay dates",IF($G198&gt;$F198,"Resold nights exceed booked nights",IF($M198+$N198&gt;$AA198+0.01,"Collection exceeds expected amount",IF(AND($S198="Collected",$M198=0),"Collected status has no amount",IF($AJ198&gt;='Assumptions'!$B$10,"High-cost review","OK"))))))),"")</f>
        <v/>
      </c>
    </row>
    <row r="199">
      <c r="A199" s="38" t="n"/>
      <c r="B199" s="39" t="n"/>
      <c r="C199" s="39" t="n"/>
      <c r="D199" s="38" t="n"/>
      <c r="E199" s="38" t="n"/>
      <c r="F199" s="40" t="n"/>
      <c r="G199" s="40" t="n"/>
      <c r="H199" s="41" t="n"/>
      <c r="I199" s="41" t="n"/>
      <c r="J199" s="42" t="n"/>
      <c r="K199" s="42" t="n"/>
      <c r="L199" s="42" t="n"/>
      <c r="M199" s="41" t="n"/>
      <c r="N199" s="41" t="n"/>
      <c r="O199" s="41" t="n"/>
      <c r="P199" s="41" t="n"/>
      <c r="Q199" s="40" t="n"/>
      <c r="R199" s="38" t="n"/>
      <c r="S199" s="38" t="n"/>
      <c r="T199" s="39" t="n"/>
      <c r="U199" s="43" t="n"/>
      <c r="V199" s="44">
        <f>IFERROR(IF($A199="","",MAX($F199-$G199,0)),"")</f>
        <v/>
      </c>
      <c r="W199" s="45">
        <f>IFERROR(IF($A199="","",$H199+$I199),"")</f>
        <v/>
      </c>
      <c r="X199" s="45">
        <f>IFERROR(IF($A199="","",$H199*IF($J199="",'Assumptions'!$B$4,$J199)),"")</f>
        <v/>
      </c>
      <c r="Y199" s="45">
        <f>IFERROR(IF($A199="","",$X199*IF($K199="",'Assumptions'!$B$12,$K199)),"")</f>
        <v/>
      </c>
      <c r="Z199" s="45">
        <f>IFERROR(IF($A199="","",($X199+$Y199)*IF($L199="",'Assumptions'!$B$13,$L199)),"")</f>
        <v/>
      </c>
      <c r="AA199" s="45">
        <f>IFERROR(IF($A199="","",$X199+$Y199+$Z199),"")</f>
        <v/>
      </c>
      <c r="AB199" s="45">
        <f>IFERROR(IF($A199="","",$V199*'Assumptions'!$B$5),"")</f>
        <v/>
      </c>
      <c r="AC199" s="45">
        <f>IFERROR(IF($A199="","",$I199*'Assumptions'!$B$6),"")</f>
        <v/>
      </c>
      <c r="AD199" s="45">
        <f>IFERROR(IF($A199="","",$AB199+$AC199),"")</f>
        <v/>
      </c>
      <c r="AE199" s="45">
        <f>IFERROR(IF($A199="","",($M199+$N199)*'Assumptions'!$B$7),"")</f>
        <v/>
      </c>
      <c r="AF199" s="45">
        <f>IFERROR(IF($A199="","",($Q199/60)*'Assumptions'!$B$8),"")</f>
        <v/>
      </c>
      <c r="AG199" s="45">
        <f>IFERROR(IF($A199="","",$P199+$AE199+$AF199),"")</f>
        <v/>
      </c>
      <c r="AH199" s="45">
        <f>IFERROR(IF($A199="","",$M199+$O199),"")</f>
        <v/>
      </c>
      <c r="AI199" s="46">
        <f>IFERROR(IF($A199="","",IFERROR($AH199/$W199,0)),"")</f>
        <v/>
      </c>
      <c r="AJ199" s="45">
        <f>IFERROR(IF($A199="","",$W199-$AH199-$AD199+$AG199),"")</f>
        <v/>
      </c>
      <c r="AK199" s="47">
        <f>IFERROR(IF($A199="","",IF(OR($S199="Collected",$S199="Waived",$S199="Uncollectible",$S199="No Charge Due"),"",IF($T199="",$B199+'Assumptions'!$B$9,$T199+'Assumptions'!$B$9))),"")</f>
        <v/>
      </c>
      <c r="AL199" s="48">
        <f>IFERROR(IF($A199="","",IF(OR($S199="Collected",$S199="Waived",$S199="Uncollectible",$S199="No Charge Due"),"Closed",IF($AK199&lt;TODAY(),"Overdue",IF($AK199=TODAY(),"Due","Open")))),"")</f>
        <v/>
      </c>
      <c r="AM199" s="49">
        <f>IFERROR(IF($A199="","",IF(COUNTIF($A$5:$A$504,$A199)&gt;1,"Duplicate reservation ID",IF($C199&lt;=$B199,"Check stay dates",IF($G199&gt;$F199,"Resold nights exceed booked nights",IF($M199+$N199&gt;$AA199+0.01,"Collection exceeds expected amount",IF(AND($S199="Collected",$M199=0),"Collected status has no amount",IF($AJ199&gt;='Assumptions'!$B$10,"High-cost review","OK"))))))),"")</f>
        <v/>
      </c>
    </row>
    <row r="200">
      <c r="A200" s="38" t="n"/>
      <c r="B200" s="39" t="n"/>
      <c r="C200" s="39" t="n"/>
      <c r="D200" s="38" t="n"/>
      <c r="E200" s="38" t="n"/>
      <c r="F200" s="40" t="n"/>
      <c r="G200" s="40" t="n"/>
      <c r="H200" s="41" t="n"/>
      <c r="I200" s="41" t="n"/>
      <c r="J200" s="42" t="n"/>
      <c r="K200" s="42" t="n"/>
      <c r="L200" s="42" t="n"/>
      <c r="M200" s="41" t="n"/>
      <c r="N200" s="41" t="n"/>
      <c r="O200" s="41" t="n"/>
      <c r="P200" s="41" t="n"/>
      <c r="Q200" s="40" t="n"/>
      <c r="R200" s="38" t="n"/>
      <c r="S200" s="38" t="n"/>
      <c r="T200" s="39" t="n"/>
      <c r="U200" s="43" t="n"/>
      <c r="V200" s="44">
        <f>IFERROR(IF($A200="","",MAX($F200-$G200,0)),"")</f>
        <v/>
      </c>
      <c r="W200" s="45">
        <f>IFERROR(IF($A200="","",$H200+$I200),"")</f>
        <v/>
      </c>
      <c r="X200" s="45">
        <f>IFERROR(IF($A200="","",$H200*IF($J200="",'Assumptions'!$B$4,$J200)),"")</f>
        <v/>
      </c>
      <c r="Y200" s="45">
        <f>IFERROR(IF($A200="","",$X200*IF($K200="",'Assumptions'!$B$12,$K200)),"")</f>
        <v/>
      </c>
      <c r="Z200" s="45">
        <f>IFERROR(IF($A200="","",($X200+$Y200)*IF($L200="",'Assumptions'!$B$13,$L200)),"")</f>
        <v/>
      </c>
      <c r="AA200" s="45">
        <f>IFERROR(IF($A200="","",$X200+$Y200+$Z200),"")</f>
        <v/>
      </c>
      <c r="AB200" s="45">
        <f>IFERROR(IF($A200="","",$V200*'Assumptions'!$B$5),"")</f>
        <v/>
      </c>
      <c r="AC200" s="45">
        <f>IFERROR(IF($A200="","",$I200*'Assumptions'!$B$6),"")</f>
        <v/>
      </c>
      <c r="AD200" s="45">
        <f>IFERROR(IF($A200="","",$AB200+$AC200),"")</f>
        <v/>
      </c>
      <c r="AE200" s="45">
        <f>IFERROR(IF($A200="","",($M200+$N200)*'Assumptions'!$B$7),"")</f>
        <v/>
      </c>
      <c r="AF200" s="45">
        <f>IFERROR(IF($A200="","",($Q200/60)*'Assumptions'!$B$8),"")</f>
        <v/>
      </c>
      <c r="AG200" s="45">
        <f>IFERROR(IF($A200="","",$P200+$AE200+$AF200),"")</f>
        <v/>
      </c>
      <c r="AH200" s="45">
        <f>IFERROR(IF($A200="","",$M200+$O200),"")</f>
        <v/>
      </c>
      <c r="AI200" s="46">
        <f>IFERROR(IF($A200="","",IFERROR($AH200/$W200,0)),"")</f>
        <v/>
      </c>
      <c r="AJ200" s="45">
        <f>IFERROR(IF($A200="","",$W200-$AH200-$AD200+$AG200),"")</f>
        <v/>
      </c>
      <c r="AK200" s="47">
        <f>IFERROR(IF($A200="","",IF(OR($S200="Collected",$S200="Waived",$S200="Uncollectible",$S200="No Charge Due"),"",IF($T200="",$B200+'Assumptions'!$B$9,$T200+'Assumptions'!$B$9))),"")</f>
        <v/>
      </c>
      <c r="AL200" s="48">
        <f>IFERROR(IF($A200="","",IF(OR($S200="Collected",$S200="Waived",$S200="Uncollectible",$S200="No Charge Due"),"Closed",IF($AK200&lt;TODAY(),"Overdue",IF($AK200=TODAY(),"Due","Open")))),"")</f>
        <v/>
      </c>
      <c r="AM200" s="49">
        <f>IFERROR(IF($A200="","",IF(COUNTIF($A$5:$A$504,$A200)&gt;1,"Duplicate reservation ID",IF($C200&lt;=$B200,"Check stay dates",IF($G200&gt;$F200,"Resold nights exceed booked nights",IF($M200+$N200&gt;$AA200+0.01,"Collection exceeds expected amount",IF(AND($S200="Collected",$M200=0),"Collected status has no amount",IF($AJ200&gt;='Assumptions'!$B$10,"High-cost review","OK"))))))),"")</f>
        <v/>
      </c>
    </row>
    <row r="201">
      <c r="A201" s="38" t="n"/>
      <c r="B201" s="39" t="n"/>
      <c r="C201" s="39" t="n"/>
      <c r="D201" s="38" t="n"/>
      <c r="E201" s="38" t="n"/>
      <c r="F201" s="40" t="n"/>
      <c r="G201" s="40" t="n"/>
      <c r="H201" s="41" t="n"/>
      <c r="I201" s="41" t="n"/>
      <c r="J201" s="42" t="n"/>
      <c r="K201" s="42" t="n"/>
      <c r="L201" s="42" t="n"/>
      <c r="M201" s="41" t="n"/>
      <c r="N201" s="41" t="n"/>
      <c r="O201" s="41" t="n"/>
      <c r="P201" s="41" t="n"/>
      <c r="Q201" s="40" t="n"/>
      <c r="R201" s="38" t="n"/>
      <c r="S201" s="38" t="n"/>
      <c r="T201" s="39" t="n"/>
      <c r="U201" s="43" t="n"/>
      <c r="V201" s="44">
        <f>IFERROR(IF($A201="","",MAX($F201-$G201,0)),"")</f>
        <v/>
      </c>
      <c r="W201" s="45">
        <f>IFERROR(IF($A201="","",$H201+$I201),"")</f>
        <v/>
      </c>
      <c r="X201" s="45">
        <f>IFERROR(IF($A201="","",$H201*IF($J201="",'Assumptions'!$B$4,$J201)),"")</f>
        <v/>
      </c>
      <c r="Y201" s="45">
        <f>IFERROR(IF($A201="","",$X201*IF($K201="",'Assumptions'!$B$12,$K201)),"")</f>
        <v/>
      </c>
      <c r="Z201" s="45">
        <f>IFERROR(IF($A201="","",($X201+$Y201)*IF($L201="",'Assumptions'!$B$13,$L201)),"")</f>
        <v/>
      </c>
      <c r="AA201" s="45">
        <f>IFERROR(IF($A201="","",$X201+$Y201+$Z201),"")</f>
        <v/>
      </c>
      <c r="AB201" s="45">
        <f>IFERROR(IF($A201="","",$V201*'Assumptions'!$B$5),"")</f>
        <v/>
      </c>
      <c r="AC201" s="45">
        <f>IFERROR(IF($A201="","",$I201*'Assumptions'!$B$6),"")</f>
        <v/>
      </c>
      <c r="AD201" s="45">
        <f>IFERROR(IF($A201="","",$AB201+$AC201),"")</f>
        <v/>
      </c>
      <c r="AE201" s="45">
        <f>IFERROR(IF($A201="","",($M201+$N201)*'Assumptions'!$B$7),"")</f>
        <v/>
      </c>
      <c r="AF201" s="45">
        <f>IFERROR(IF($A201="","",($Q201/60)*'Assumptions'!$B$8),"")</f>
        <v/>
      </c>
      <c r="AG201" s="45">
        <f>IFERROR(IF($A201="","",$P201+$AE201+$AF201),"")</f>
        <v/>
      </c>
      <c r="AH201" s="45">
        <f>IFERROR(IF($A201="","",$M201+$O201),"")</f>
        <v/>
      </c>
      <c r="AI201" s="46">
        <f>IFERROR(IF($A201="","",IFERROR($AH201/$W201,0)),"")</f>
        <v/>
      </c>
      <c r="AJ201" s="45">
        <f>IFERROR(IF($A201="","",$W201-$AH201-$AD201+$AG201),"")</f>
        <v/>
      </c>
      <c r="AK201" s="47">
        <f>IFERROR(IF($A201="","",IF(OR($S201="Collected",$S201="Waived",$S201="Uncollectible",$S201="No Charge Due"),"",IF($T201="",$B201+'Assumptions'!$B$9,$T201+'Assumptions'!$B$9))),"")</f>
        <v/>
      </c>
      <c r="AL201" s="48">
        <f>IFERROR(IF($A201="","",IF(OR($S201="Collected",$S201="Waived",$S201="Uncollectible",$S201="No Charge Due"),"Closed",IF($AK201&lt;TODAY(),"Overdue",IF($AK201=TODAY(),"Due","Open")))),"")</f>
        <v/>
      </c>
      <c r="AM201" s="49">
        <f>IFERROR(IF($A201="","",IF(COUNTIF($A$5:$A$504,$A201)&gt;1,"Duplicate reservation ID",IF($C201&lt;=$B201,"Check stay dates",IF($G201&gt;$F201,"Resold nights exceed booked nights",IF($M201+$N201&gt;$AA201+0.01,"Collection exceeds expected amount",IF(AND($S201="Collected",$M201=0),"Collected status has no amount",IF($AJ201&gt;='Assumptions'!$B$10,"High-cost review","OK"))))))),"")</f>
        <v/>
      </c>
    </row>
    <row r="202">
      <c r="A202" s="38" t="n"/>
      <c r="B202" s="39" t="n"/>
      <c r="C202" s="39" t="n"/>
      <c r="D202" s="38" t="n"/>
      <c r="E202" s="38" t="n"/>
      <c r="F202" s="40" t="n"/>
      <c r="G202" s="40" t="n"/>
      <c r="H202" s="41" t="n"/>
      <c r="I202" s="41" t="n"/>
      <c r="J202" s="42" t="n"/>
      <c r="K202" s="42" t="n"/>
      <c r="L202" s="42" t="n"/>
      <c r="M202" s="41" t="n"/>
      <c r="N202" s="41" t="n"/>
      <c r="O202" s="41" t="n"/>
      <c r="P202" s="41" t="n"/>
      <c r="Q202" s="40" t="n"/>
      <c r="R202" s="38" t="n"/>
      <c r="S202" s="38" t="n"/>
      <c r="T202" s="39" t="n"/>
      <c r="U202" s="43" t="n"/>
      <c r="V202" s="44">
        <f>IFERROR(IF($A202="","",MAX($F202-$G202,0)),"")</f>
        <v/>
      </c>
      <c r="W202" s="45">
        <f>IFERROR(IF($A202="","",$H202+$I202),"")</f>
        <v/>
      </c>
      <c r="X202" s="45">
        <f>IFERROR(IF($A202="","",$H202*IF($J202="",'Assumptions'!$B$4,$J202)),"")</f>
        <v/>
      </c>
      <c r="Y202" s="45">
        <f>IFERROR(IF($A202="","",$X202*IF($K202="",'Assumptions'!$B$12,$K202)),"")</f>
        <v/>
      </c>
      <c r="Z202" s="45">
        <f>IFERROR(IF($A202="","",($X202+$Y202)*IF($L202="",'Assumptions'!$B$13,$L202)),"")</f>
        <v/>
      </c>
      <c r="AA202" s="45">
        <f>IFERROR(IF($A202="","",$X202+$Y202+$Z202),"")</f>
        <v/>
      </c>
      <c r="AB202" s="45">
        <f>IFERROR(IF($A202="","",$V202*'Assumptions'!$B$5),"")</f>
        <v/>
      </c>
      <c r="AC202" s="45">
        <f>IFERROR(IF($A202="","",$I202*'Assumptions'!$B$6),"")</f>
        <v/>
      </c>
      <c r="AD202" s="45">
        <f>IFERROR(IF($A202="","",$AB202+$AC202),"")</f>
        <v/>
      </c>
      <c r="AE202" s="45">
        <f>IFERROR(IF($A202="","",($M202+$N202)*'Assumptions'!$B$7),"")</f>
        <v/>
      </c>
      <c r="AF202" s="45">
        <f>IFERROR(IF($A202="","",($Q202/60)*'Assumptions'!$B$8),"")</f>
        <v/>
      </c>
      <c r="AG202" s="45">
        <f>IFERROR(IF($A202="","",$P202+$AE202+$AF202),"")</f>
        <v/>
      </c>
      <c r="AH202" s="45">
        <f>IFERROR(IF($A202="","",$M202+$O202),"")</f>
        <v/>
      </c>
      <c r="AI202" s="46">
        <f>IFERROR(IF($A202="","",IFERROR($AH202/$W202,0)),"")</f>
        <v/>
      </c>
      <c r="AJ202" s="45">
        <f>IFERROR(IF($A202="","",$W202-$AH202-$AD202+$AG202),"")</f>
        <v/>
      </c>
      <c r="AK202" s="47">
        <f>IFERROR(IF($A202="","",IF(OR($S202="Collected",$S202="Waived",$S202="Uncollectible",$S202="No Charge Due"),"",IF($T202="",$B202+'Assumptions'!$B$9,$T202+'Assumptions'!$B$9))),"")</f>
        <v/>
      </c>
      <c r="AL202" s="48">
        <f>IFERROR(IF($A202="","",IF(OR($S202="Collected",$S202="Waived",$S202="Uncollectible",$S202="No Charge Due"),"Closed",IF($AK202&lt;TODAY(),"Overdue",IF($AK202=TODAY(),"Due","Open")))),"")</f>
        <v/>
      </c>
      <c r="AM202" s="49">
        <f>IFERROR(IF($A202="","",IF(COUNTIF($A$5:$A$504,$A202)&gt;1,"Duplicate reservation ID",IF($C202&lt;=$B202,"Check stay dates",IF($G202&gt;$F202,"Resold nights exceed booked nights",IF($M202+$N202&gt;$AA202+0.01,"Collection exceeds expected amount",IF(AND($S202="Collected",$M202=0),"Collected status has no amount",IF($AJ202&gt;='Assumptions'!$B$10,"High-cost review","OK"))))))),"")</f>
        <v/>
      </c>
    </row>
    <row r="203">
      <c r="A203" s="38" t="n"/>
      <c r="B203" s="39" t="n"/>
      <c r="C203" s="39" t="n"/>
      <c r="D203" s="38" t="n"/>
      <c r="E203" s="38" t="n"/>
      <c r="F203" s="40" t="n"/>
      <c r="G203" s="40" t="n"/>
      <c r="H203" s="41" t="n"/>
      <c r="I203" s="41" t="n"/>
      <c r="J203" s="42" t="n"/>
      <c r="K203" s="42" t="n"/>
      <c r="L203" s="42" t="n"/>
      <c r="M203" s="41" t="n"/>
      <c r="N203" s="41" t="n"/>
      <c r="O203" s="41" t="n"/>
      <c r="P203" s="41" t="n"/>
      <c r="Q203" s="40" t="n"/>
      <c r="R203" s="38" t="n"/>
      <c r="S203" s="38" t="n"/>
      <c r="T203" s="39" t="n"/>
      <c r="U203" s="43" t="n"/>
      <c r="V203" s="44">
        <f>IFERROR(IF($A203="","",MAX($F203-$G203,0)),"")</f>
        <v/>
      </c>
      <c r="W203" s="45">
        <f>IFERROR(IF($A203="","",$H203+$I203),"")</f>
        <v/>
      </c>
      <c r="X203" s="45">
        <f>IFERROR(IF($A203="","",$H203*IF($J203="",'Assumptions'!$B$4,$J203)),"")</f>
        <v/>
      </c>
      <c r="Y203" s="45">
        <f>IFERROR(IF($A203="","",$X203*IF($K203="",'Assumptions'!$B$12,$K203)),"")</f>
        <v/>
      </c>
      <c r="Z203" s="45">
        <f>IFERROR(IF($A203="","",($X203+$Y203)*IF($L203="",'Assumptions'!$B$13,$L203)),"")</f>
        <v/>
      </c>
      <c r="AA203" s="45">
        <f>IFERROR(IF($A203="","",$X203+$Y203+$Z203),"")</f>
        <v/>
      </c>
      <c r="AB203" s="45">
        <f>IFERROR(IF($A203="","",$V203*'Assumptions'!$B$5),"")</f>
        <v/>
      </c>
      <c r="AC203" s="45">
        <f>IFERROR(IF($A203="","",$I203*'Assumptions'!$B$6),"")</f>
        <v/>
      </c>
      <c r="AD203" s="45">
        <f>IFERROR(IF($A203="","",$AB203+$AC203),"")</f>
        <v/>
      </c>
      <c r="AE203" s="45">
        <f>IFERROR(IF($A203="","",($M203+$N203)*'Assumptions'!$B$7),"")</f>
        <v/>
      </c>
      <c r="AF203" s="45">
        <f>IFERROR(IF($A203="","",($Q203/60)*'Assumptions'!$B$8),"")</f>
        <v/>
      </c>
      <c r="AG203" s="45">
        <f>IFERROR(IF($A203="","",$P203+$AE203+$AF203),"")</f>
        <v/>
      </c>
      <c r="AH203" s="45">
        <f>IFERROR(IF($A203="","",$M203+$O203),"")</f>
        <v/>
      </c>
      <c r="AI203" s="46">
        <f>IFERROR(IF($A203="","",IFERROR($AH203/$W203,0)),"")</f>
        <v/>
      </c>
      <c r="AJ203" s="45">
        <f>IFERROR(IF($A203="","",$W203-$AH203-$AD203+$AG203),"")</f>
        <v/>
      </c>
      <c r="AK203" s="47">
        <f>IFERROR(IF($A203="","",IF(OR($S203="Collected",$S203="Waived",$S203="Uncollectible",$S203="No Charge Due"),"",IF($T203="",$B203+'Assumptions'!$B$9,$T203+'Assumptions'!$B$9))),"")</f>
        <v/>
      </c>
      <c r="AL203" s="48">
        <f>IFERROR(IF($A203="","",IF(OR($S203="Collected",$S203="Waived",$S203="Uncollectible",$S203="No Charge Due"),"Closed",IF($AK203&lt;TODAY(),"Overdue",IF($AK203=TODAY(),"Due","Open")))),"")</f>
        <v/>
      </c>
      <c r="AM203" s="49">
        <f>IFERROR(IF($A203="","",IF(COUNTIF($A$5:$A$504,$A203)&gt;1,"Duplicate reservation ID",IF($C203&lt;=$B203,"Check stay dates",IF($G203&gt;$F203,"Resold nights exceed booked nights",IF($M203+$N203&gt;$AA203+0.01,"Collection exceeds expected amount",IF(AND($S203="Collected",$M203=0),"Collected status has no amount",IF($AJ203&gt;='Assumptions'!$B$10,"High-cost review","OK"))))))),"")</f>
        <v/>
      </c>
    </row>
    <row r="204">
      <c r="A204" s="38" t="n"/>
      <c r="B204" s="39" t="n"/>
      <c r="C204" s="39" t="n"/>
      <c r="D204" s="38" t="n"/>
      <c r="E204" s="38" t="n"/>
      <c r="F204" s="40" t="n"/>
      <c r="G204" s="40" t="n"/>
      <c r="H204" s="41" t="n"/>
      <c r="I204" s="41" t="n"/>
      <c r="J204" s="42" t="n"/>
      <c r="K204" s="42" t="n"/>
      <c r="L204" s="42" t="n"/>
      <c r="M204" s="41" t="n"/>
      <c r="N204" s="41" t="n"/>
      <c r="O204" s="41" t="n"/>
      <c r="P204" s="41" t="n"/>
      <c r="Q204" s="40" t="n"/>
      <c r="R204" s="38" t="n"/>
      <c r="S204" s="38" t="n"/>
      <c r="T204" s="39" t="n"/>
      <c r="U204" s="43" t="n"/>
      <c r="V204" s="44">
        <f>IFERROR(IF($A204="","",MAX($F204-$G204,0)),"")</f>
        <v/>
      </c>
      <c r="W204" s="45">
        <f>IFERROR(IF($A204="","",$H204+$I204),"")</f>
        <v/>
      </c>
      <c r="X204" s="45">
        <f>IFERROR(IF($A204="","",$H204*IF($J204="",'Assumptions'!$B$4,$J204)),"")</f>
        <v/>
      </c>
      <c r="Y204" s="45">
        <f>IFERROR(IF($A204="","",$X204*IF($K204="",'Assumptions'!$B$12,$K204)),"")</f>
        <v/>
      </c>
      <c r="Z204" s="45">
        <f>IFERROR(IF($A204="","",($X204+$Y204)*IF($L204="",'Assumptions'!$B$13,$L204)),"")</f>
        <v/>
      </c>
      <c r="AA204" s="45">
        <f>IFERROR(IF($A204="","",$X204+$Y204+$Z204),"")</f>
        <v/>
      </c>
      <c r="AB204" s="45">
        <f>IFERROR(IF($A204="","",$V204*'Assumptions'!$B$5),"")</f>
        <v/>
      </c>
      <c r="AC204" s="45">
        <f>IFERROR(IF($A204="","",$I204*'Assumptions'!$B$6),"")</f>
        <v/>
      </c>
      <c r="AD204" s="45">
        <f>IFERROR(IF($A204="","",$AB204+$AC204),"")</f>
        <v/>
      </c>
      <c r="AE204" s="45">
        <f>IFERROR(IF($A204="","",($M204+$N204)*'Assumptions'!$B$7),"")</f>
        <v/>
      </c>
      <c r="AF204" s="45">
        <f>IFERROR(IF($A204="","",($Q204/60)*'Assumptions'!$B$8),"")</f>
        <v/>
      </c>
      <c r="AG204" s="45">
        <f>IFERROR(IF($A204="","",$P204+$AE204+$AF204),"")</f>
        <v/>
      </c>
      <c r="AH204" s="45">
        <f>IFERROR(IF($A204="","",$M204+$O204),"")</f>
        <v/>
      </c>
      <c r="AI204" s="46">
        <f>IFERROR(IF($A204="","",IFERROR($AH204/$W204,0)),"")</f>
        <v/>
      </c>
      <c r="AJ204" s="45">
        <f>IFERROR(IF($A204="","",$W204-$AH204-$AD204+$AG204),"")</f>
        <v/>
      </c>
      <c r="AK204" s="47">
        <f>IFERROR(IF($A204="","",IF(OR($S204="Collected",$S204="Waived",$S204="Uncollectible",$S204="No Charge Due"),"",IF($T204="",$B204+'Assumptions'!$B$9,$T204+'Assumptions'!$B$9))),"")</f>
        <v/>
      </c>
      <c r="AL204" s="48">
        <f>IFERROR(IF($A204="","",IF(OR($S204="Collected",$S204="Waived",$S204="Uncollectible",$S204="No Charge Due"),"Closed",IF($AK204&lt;TODAY(),"Overdue",IF($AK204=TODAY(),"Due","Open")))),"")</f>
        <v/>
      </c>
      <c r="AM204" s="49">
        <f>IFERROR(IF($A204="","",IF(COUNTIF($A$5:$A$504,$A204)&gt;1,"Duplicate reservation ID",IF($C204&lt;=$B204,"Check stay dates",IF($G204&gt;$F204,"Resold nights exceed booked nights",IF($M204+$N204&gt;$AA204+0.01,"Collection exceeds expected amount",IF(AND($S204="Collected",$M204=0),"Collected status has no amount",IF($AJ204&gt;='Assumptions'!$B$10,"High-cost review","OK"))))))),"")</f>
        <v/>
      </c>
    </row>
    <row r="205">
      <c r="A205" s="38" t="n"/>
      <c r="B205" s="39" t="n"/>
      <c r="C205" s="39" t="n"/>
      <c r="D205" s="38" t="n"/>
      <c r="E205" s="38" t="n"/>
      <c r="F205" s="40" t="n"/>
      <c r="G205" s="40" t="n"/>
      <c r="H205" s="41" t="n"/>
      <c r="I205" s="41" t="n"/>
      <c r="J205" s="42" t="n"/>
      <c r="K205" s="42" t="n"/>
      <c r="L205" s="42" t="n"/>
      <c r="M205" s="41" t="n"/>
      <c r="N205" s="41" t="n"/>
      <c r="O205" s="41" t="n"/>
      <c r="P205" s="41" t="n"/>
      <c r="Q205" s="40" t="n"/>
      <c r="R205" s="38" t="n"/>
      <c r="S205" s="38" t="n"/>
      <c r="T205" s="39" t="n"/>
      <c r="U205" s="43" t="n"/>
      <c r="V205" s="44">
        <f>IFERROR(IF($A205="","",MAX($F205-$G205,0)),"")</f>
        <v/>
      </c>
      <c r="W205" s="45">
        <f>IFERROR(IF($A205="","",$H205+$I205),"")</f>
        <v/>
      </c>
      <c r="X205" s="45">
        <f>IFERROR(IF($A205="","",$H205*IF($J205="",'Assumptions'!$B$4,$J205)),"")</f>
        <v/>
      </c>
      <c r="Y205" s="45">
        <f>IFERROR(IF($A205="","",$X205*IF($K205="",'Assumptions'!$B$12,$K205)),"")</f>
        <v/>
      </c>
      <c r="Z205" s="45">
        <f>IFERROR(IF($A205="","",($X205+$Y205)*IF($L205="",'Assumptions'!$B$13,$L205)),"")</f>
        <v/>
      </c>
      <c r="AA205" s="45">
        <f>IFERROR(IF($A205="","",$X205+$Y205+$Z205),"")</f>
        <v/>
      </c>
      <c r="AB205" s="45">
        <f>IFERROR(IF($A205="","",$V205*'Assumptions'!$B$5),"")</f>
        <v/>
      </c>
      <c r="AC205" s="45">
        <f>IFERROR(IF($A205="","",$I205*'Assumptions'!$B$6),"")</f>
        <v/>
      </c>
      <c r="AD205" s="45">
        <f>IFERROR(IF($A205="","",$AB205+$AC205),"")</f>
        <v/>
      </c>
      <c r="AE205" s="45">
        <f>IFERROR(IF($A205="","",($M205+$N205)*'Assumptions'!$B$7),"")</f>
        <v/>
      </c>
      <c r="AF205" s="45">
        <f>IFERROR(IF($A205="","",($Q205/60)*'Assumptions'!$B$8),"")</f>
        <v/>
      </c>
      <c r="AG205" s="45">
        <f>IFERROR(IF($A205="","",$P205+$AE205+$AF205),"")</f>
        <v/>
      </c>
      <c r="AH205" s="45">
        <f>IFERROR(IF($A205="","",$M205+$O205),"")</f>
        <v/>
      </c>
      <c r="AI205" s="46">
        <f>IFERROR(IF($A205="","",IFERROR($AH205/$W205,0)),"")</f>
        <v/>
      </c>
      <c r="AJ205" s="45">
        <f>IFERROR(IF($A205="","",$W205-$AH205-$AD205+$AG205),"")</f>
        <v/>
      </c>
      <c r="AK205" s="47">
        <f>IFERROR(IF($A205="","",IF(OR($S205="Collected",$S205="Waived",$S205="Uncollectible",$S205="No Charge Due"),"",IF($T205="",$B205+'Assumptions'!$B$9,$T205+'Assumptions'!$B$9))),"")</f>
        <v/>
      </c>
      <c r="AL205" s="48">
        <f>IFERROR(IF($A205="","",IF(OR($S205="Collected",$S205="Waived",$S205="Uncollectible",$S205="No Charge Due"),"Closed",IF($AK205&lt;TODAY(),"Overdue",IF($AK205=TODAY(),"Due","Open")))),"")</f>
        <v/>
      </c>
      <c r="AM205" s="49">
        <f>IFERROR(IF($A205="","",IF(COUNTIF($A$5:$A$504,$A205)&gt;1,"Duplicate reservation ID",IF($C205&lt;=$B205,"Check stay dates",IF($G205&gt;$F205,"Resold nights exceed booked nights",IF($M205+$N205&gt;$AA205+0.01,"Collection exceeds expected amount",IF(AND($S205="Collected",$M205=0),"Collected status has no amount",IF($AJ205&gt;='Assumptions'!$B$10,"High-cost review","OK"))))))),"")</f>
        <v/>
      </c>
    </row>
    <row r="206">
      <c r="A206" s="38" t="n"/>
      <c r="B206" s="39" t="n"/>
      <c r="C206" s="39" t="n"/>
      <c r="D206" s="38" t="n"/>
      <c r="E206" s="38" t="n"/>
      <c r="F206" s="40" t="n"/>
      <c r="G206" s="40" t="n"/>
      <c r="H206" s="41" t="n"/>
      <c r="I206" s="41" t="n"/>
      <c r="J206" s="42" t="n"/>
      <c r="K206" s="42" t="n"/>
      <c r="L206" s="42" t="n"/>
      <c r="M206" s="41" t="n"/>
      <c r="N206" s="41" t="n"/>
      <c r="O206" s="41" t="n"/>
      <c r="P206" s="41" t="n"/>
      <c r="Q206" s="40" t="n"/>
      <c r="R206" s="38" t="n"/>
      <c r="S206" s="38" t="n"/>
      <c r="T206" s="39" t="n"/>
      <c r="U206" s="43" t="n"/>
      <c r="V206" s="44">
        <f>IFERROR(IF($A206="","",MAX($F206-$G206,0)),"")</f>
        <v/>
      </c>
      <c r="W206" s="45">
        <f>IFERROR(IF($A206="","",$H206+$I206),"")</f>
        <v/>
      </c>
      <c r="X206" s="45">
        <f>IFERROR(IF($A206="","",$H206*IF($J206="",'Assumptions'!$B$4,$J206)),"")</f>
        <v/>
      </c>
      <c r="Y206" s="45">
        <f>IFERROR(IF($A206="","",$X206*IF($K206="",'Assumptions'!$B$12,$K206)),"")</f>
        <v/>
      </c>
      <c r="Z206" s="45">
        <f>IFERROR(IF($A206="","",($X206+$Y206)*IF($L206="",'Assumptions'!$B$13,$L206)),"")</f>
        <v/>
      </c>
      <c r="AA206" s="45">
        <f>IFERROR(IF($A206="","",$X206+$Y206+$Z206),"")</f>
        <v/>
      </c>
      <c r="AB206" s="45">
        <f>IFERROR(IF($A206="","",$V206*'Assumptions'!$B$5),"")</f>
        <v/>
      </c>
      <c r="AC206" s="45">
        <f>IFERROR(IF($A206="","",$I206*'Assumptions'!$B$6),"")</f>
        <v/>
      </c>
      <c r="AD206" s="45">
        <f>IFERROR(IF($A206="","",$AB206+$AC206),"")</f>
        <v/>
      </c>
      <c r="AE206" s="45">
        <f>IFERROR(IF($A206="","",($M206+$N206)*'Assumptions'!$B$7),"")</f>
        <v/>
      </c>
      <c r="AF206" s="45">
        <f>IFERROR(IF($A206="","",($Q206/60)*'Assumptions'!$B$8),"")</f>
        <v/>
      </c>
      <c r="AG206" s="45">
        <f>IFERROR(IF($A206="","",$P206+$AE206+$AF206),"")</f>
        <v/>
      </c>
      <c r="AH206" s="45">
        <f>IFERROR(IF($A206="","",$M206+$O206),"")</f>
        <v/>
      </c>
      <c r="AI206" s="46">
        <f>IFERROR(IF($A206="","",IFERROR($AH206/$W206,0)),"")</f>
        <v/>
      </c>
      <c r="AJ206" s="45">
        <f>IFERROR(IF($A206="","",$W206-$AH206-$AD206+$AG206),"")</f>
        <v/>
      </c>
      <c r="AK206" s="47">
        <f>IFERROR(IF($A206="","",IF(OR($S206="Collected",$S206="Waived",$S206="Uncollectible",$S206="No Charge Due"),"",IF($T206="",$B206+'Assumptions'!$B$9,$T206+'Assumptions'!$B$9))),"")</f>
        <v/>
      </c>
      <c r="AL206" s="48">
        <f>IFERROR(IF($A206="","",IF(OR($S206="Collected",$S206="Waived",$S206="Uncollectible",$S206="No Charge Due"),"Closed",IF($AK206&lt;TODAY(),"Overdue",IF($AK206=TODAY(),"Due","Open")))),"")</f>
        <v/>
      </c>
      <c r="AM206" s="49">
        <f>IFERROR(IF($A206="","",IF(COUNTIF($A$5:$A$504,$A206)&gt;1,"Duplicate reservation ID",IF($C206&lt;=$B206,"Check stay dates",IF($G206&gt;$F206,"Resold nights exceed booked nights",IF($M206+$N206&gt;$AA206+0.01,"Collection exceeds expected amount",IF(AND($S206="Collected",$M206=0),"Collected status has no amount",IF($AJ206&gt;='Assumptions'!$B$10,"High-cost review","OK"))))))),"")</f>
        <v/>
      </c>
    </row>
    <row r="207">
      <c r="A207" s="38" t="n"/>
      <c r="B207" s="39" t="n"/>
      <c r="C207" s="39" t="n"/>
      <c r="D207" s="38" t="n"/>
      <c r="E207" s="38" t="n"/>
      <c r="F207" s="40" t="n"/>
      <c r="G207" s="40" t="n"/>
      <c r="H207" s="41" t="n"/>
      <c r="I207" s="41" t="n"/>
      <c r="J207" s="42" t="n"/>
      <c r="K207" s="42" t="n"/>
      <c r="L207" s="42" t="n"/>
      <c r="M207" s="41" t="n"/>
      <c r="N207" s="41" t="n"/>
      <c r="O207" s="41" t="n"/>
      <c r="P207" s="41" t="n"/>
      <c r="Q207" s="40" t="n"/>
      <c r="R207" s="38" t="n"/>
      <c r="S207" s="38" t="n"/>
      <c r="T207" s="39" t="n"/>
      <c r="U207" s="43" t="n"/>
      <c r="V207" s="44">
        <f>IFERROR(IF($A207="","",MAX($F207-$G207,0)),"")</f>
        <v/>
      </c>
      <c r="W207" s="45">
        <f>IFERROR(IF($A207="","",$H207+$I207),"")</f>
        <v/>
      </c>
      <c r="X207" s="45">
        <f>IFERROR(IF($A207="","",$H207*IF($J207="",'Assumptions'!$B$4,$J207)),"")</f>
        <v/>
      </c>
      <c r="Y207" s="45">
        <f>IFERROR(IF($A207="","",$X207*IF($K207="",'Assumptions'!$B$12,$K207)),"")</f>
        <v/>
      </c>
      <c r="Z207" s="45">
        <f>IFERROR(IF($A207="","",($X207+$Y207)*IF($L207="",'Assumptions'!$B$13,$L207)),"")</f>
        <v/>
      </c>
      <c r="AA207" s="45">
        <f>IFERROR(IF($A207="","",$X207+$Y207+$Z207),"")</f>
        <v/>
      </c>
      <c r="AB207" s="45">
        <f>IFERROR(IF($A207="","",$V207*'Assumptions'!$B$5),"")</f>
        <v/>
      </c>
      <c r="AC207" s="45">
        <f>IFERROR(IF($A207="","",$I207*'Assumptions'!$B$6),"")</f>
        <v/>
      </c>
      <c r="AD207" s="45">
        <f>IFERROR(IF($A207="","",$AB207+$AC207),"")</f>
        <v/>
      </c>
      <c r="AE207" s="45">
        <f>IFERROR(IF($A207="","",($M207+$N207)*'Assumptions'!$B$7),"")</f>
        <v/>
      </c>
      <c r="AF207" s="45">
        <f>IFERROR(IF($A207="","",($Q207/60)*'Assumptions'!$B$8),"")</f>
        <v/>
      </c>
      <c r="AG207" s="45">
        <f>IFERROR(IF($A207="","",$P207+$AE207+$AF207),"")</f>
        <v/>
      </c>
      <c r="AH207" s="45">
        <f>IFERROR(IF($A207="","",$M207+$O207),"")</f>
        <v/>
      </c>
      <c r="AI207" s="46">
        <f>IFERROR(IF($A207="","",IFERROR($AH207/$W207,0)),"")</f>
        <v/>
      </c>
      <c r="AJ207" s="45">
        <f>IFERROR(IF($A207="","",$W207-$AH207-$AD207+$AG207),"")</f>
        <v/>
      </c>
      <c r="AK207" s="47">
        <f>IFERROR(IF($A207="","",IF(OR($S207="Collected",$S207="Waived",$S207="Uncollectible",$S207="No Charge Due"),"",IF($T207="",$B207+'Assumptions'!$B$9,$T207+'Assumptions'!$B$9))),"")</f>
        <v/>
      </c>
      <c r="AL207" s="48">
        <f>IFERROR(IF($A207="","",IF(OR($S207="Collected",$S207="Waived",$S207="Uncollectible",$S207="No Charge Due"),"Closed",IF($AK207&lt;TODAY(),"Overdue",IF($AK207=TODAY(),"Due","Open")))),"")</f>
        <v/>
      </c>
      <c r="AM207" s="49">
        <f>IFERROR(IF($A207="","",IF(COUNTIF($A$5:$A$504,$A207)&gt;1,"Duplicate reservation ID",IF($C207&lt;=$B207,"Check stay dates",IF($G207&gt;$F207,"Resold nights exceed booked nights",IF($M207+$N207&gt;$AA207+0.01,"Collection exceeds expected amount",IF(AND($S207="Collected",$M207=0),"Collected status has no amount",IF($AJ207&gt;='Assumptions'!$B$10,"High-cost review","OK"))))))),"")</f>
        <v/>
      </c>
    </row>
    <row r="208">
      <c r="A208" s="38" t="n"/>
      <c r="B208" s="39" t="n"/>
      <c r="C208" s="39" t="n"/>
      <c r="D208" s="38" t="n"/>
      <c r="E208" s="38" t="n"/>
      <c r="F208" s="40" t="n"/>
      <c r="G208" s="40" t="n"/>
      <c r="H208" s="41" t="n"/>
      <c r="I208" s="41" t="n"/>
      <c r="J208" s="42" t="n"/>
      <c r="K208" s="42" t="n"/>
      <c r="L208" s="42" t="n"/>
      <c r="M208" s="41" t="n"/>
      <c r="N208" s="41" t="n"/>
      <c r="O208" s="41" t="n"/>
      <c r="P208" s="41" t="n"/>
      <c r="Q208" s="40" t="n"/>
      <c r="R208" s="38" t="n"/>
      <c r="S208" s="38" t="n"/>
      <c r="T208" s="39" t="n"/>
      <c r="U208" s="43" t="n"/>
      <c r="V208" s="44">
        <f>IFERROR(IF($A208="","",MAX($F208-$G208,0)),"")</f>
        <v/>
      </c>
      <c r="W208" s="45">
        <f>IFERROR(IF($A208="","",$H208+$I208),"")</f>
        <v/>
      </c>
      <c r="X208" s="45">
        <f>IFERROR(IF($A208="","",$H208*IF($J208="",'Assumptions'!$B$4,$J208)),"")</f>
        <v/>
      </c>
      <c r="Y208" s="45">
        <f>IFERROR(IF($A208="","",$X208*IF($K208="",'Assumptions'!$B$12,$K208)),"")</f>
        <v/>
      </c>
      <c r="Z208" s="45">
        <f>IFERROR(IF($A208="","",($X208+$Y208)*IF($L208="",'Assumptions'!$B$13,$L208)),"")</f>
        <v/>
      </c>
      <c r="AA208" s="45">
        <f>IFERROR(IF($A208="","",$X208+$Y208+$Z208),"")</f>
        <v/>
      </c>
      <c r="AB208" s="45">
        <f>IFERROR(IF($A208="","",$V208*'Assumptions'!$B$5),"")</f>
        <v/>
      </c>
      <c r="AC208" s="45">
        <f>IFERROR(IF($A208="","",$I208*'Assumptions'!$B$6),"")</f>
        <v/>
      </c>
      <c r="AD208" s="45">
        <f>IFERROR(IF($A208="","",$AB208+$AC208),"")</f>
        <v/>
      </c>
      <c r="AE208" s="45">
        <f>IFERROR(IF($A208="","",($M208+$N208)*'Assumptions'!$B$7),"")</f>
        <v/>
      </c>
      <c r="AF208" s="45">
        <f>IFERROR(IF($A208="","",($Q208/60)*'Assumptions'!$B$8),"")</f>
        <v/>
      </c>
      <c r="AG208" s="45">
        <f>IFERROR(IF($A208="","",$P208+$AE208+$AF208),"")</f>
        <v/>
      </c>
      <c r="AH208" s="45">
        <f>IFERROR(IF($A208="","",$M208+$O208),"")</f>
        <v/>
      </c>
      <c r="AI208" s="46">
        <f>IFERROR(IF($A208="","",IFERROR($AH208/$W208,0)),"")</f>
        <v/>
      </c>
      <c r="AJ208" s="45">
        <f>IFERROR(IF($A208="","",$W208-$AH208-$AD208+$AG208),"")</f>
        <v/>
      </c>
      <c r="AK208" s="47">
        <f>IFERROR(IF($A208="","",IF(OR($S208="Collected",$S208="Waived",$S208="Uncollectible",$S208="No Charge Due"),"",IF($T208="",$B208+'Assumptions'!$B$9,$T208+'Assumptions'!$B$9))),"")</f>
        <v/>
      </c>
      <c r="AL208" s="48">
        <f>IFERROR(IF($A208="","",IF(OR($S208="Collected",$S208="Waived",$S208="Uncollectible",$S208="No Charge Due"),"Closed",IF($AK208&lt;TODAY(),"Overdue",IF($AK208=TODAY(),"Due","Open")))),"")</f>
        <v/>
      </c>
      <c r="AM208" s="49">
        <f>IFERROR(IF($A208="","",IF(COUNTIF($A$5:$A$504,$A208)&gt;1,"Duplicate reservation ID",IF($C208&lt;=$B208,"Check stay dates",IF($G208&gt;$F208,"Resold nights exceed booked nights",IF($M208+$N208&gt;$AA208+0.01,"Collection exceeds expected amount",IF(AND($S208="Collected",$M208=0),"Collected status has no amount",IF($AJ208&gt;='Assumptions'!$B$10,"High-cost review","OK"))))))),"")</f>
        <v/>
      </c>
    </row>
    <row r="209">
      <c r="A209" s="38" t="n"/>
      <c r="B209" s="39" t="n"/>
      <c r="C209" s="39" t="n"/>
      <c r="D209" s="38" t="n"/>
      <c r="E209" s="38" t="n"/>
      <c r="F209" s="40" t="n"/>
      <c r="G209" s="40" t="n"/>
      <c r="H209" s="41" t="n"/>
      <c r="I209" s="41" t="n"/>
      <c r="J209" s="42" t="n"/>
      <c r="K209" s="42" t="n"/>
      <c r="L209" s="42" t="n"/>
      <c r="M209" s="41" t="n"/>
      <c r="N209" s="41" t="n"/>
      <c r="O209" s="41" t="n"/>
      <c r="P209" s="41" t="n"/>
      <c r="Q209" s="40" t="n"/>
      <c r="R209" s="38" t="n"/>
      <c r="S209" s="38" t="n"/>
      <c r="T209" s="39" t="n"/>
      <c r="U209" s="43" t="n"/>
      <c r="V209" s="44">
        <f>IFERROR(IF($A209="","",MAX($F209-$G209,0)),"")</f>
        <v/>
      </c>
      <c r="W209" s="45">
        <f>IFERROR(IF($A209="","",$H209+$I209),"")</f>
        <v/>
      </c>
      <c r="X209" s="45">
        <f>IFERROR(IF($A209="","",$H209*IF($J209="",'Assumptions'!$B$4,$J209)),"")</f>
        <v/>
      </c>
      <c r="Y209" s="45">
        <f>IFERROR(IF($A209="","",$X209*IF($K209="",'Assumptions'!$B$12,$K209)),"")</f>
        <v/>
      </c>
      <c r="Z209" s="45">
        <f>IFERROR(IF($A209="","",($X209+$Y209)*IF($L209="",'Assumptions'!$B$13,$L209)),"")</f>
        <v/>
      </c>
      <c r="AA209" s="45">
        <f>IFERROR(IF($A209="","",$X209+$Y209+$Z209),"")</f>
        <v/>
      </c>
      <c r="AB209" s="45">
        <f>IFERROR(IF($A209="","",$V209*'Assumptions'!$B$5),"")</f>
        <v/>
      </c>
      <c r="AC209" s="45">
        <f>IFERROR(IF($A209="","",$I209*'Assumptions'!$B$6),"")</f>
        <v/>
      </c>
      <c r="AD209" s="45">
        <f>IFERROR(IF($A209="","",$AB209+$AC209),"")</f>
        <v/>
      </c>
      <c r="AE209" s="45">
        <f>IFERROR(IF($A209="","",($M209+$N209)*'Assumptions'!$B$7),"")</f>
        <v/>
      </c>
      <c r="AF209" s="45">
        <f>IFERROR(IF($A209="","",($Q209/60)*'Assumptions'!$B$8),"")</f>
        <v/>
      </c>
      <c r="AG209" s="45">
        <f>IFERROR(IF($A209="","",$P209+$AE209+$AF209),"")</f>
        <v/>
      </c>
      <c r="AH209" s="45">
        <f>IFERROR(IF($A209="","",$M209+$O209),"")</f>
        <v/>
      </c>
      <c r="AI209" s="46">
        <f>IFERROR(IF($A209="","",IFERROR($AH209/$W209,0)),"")</f>
        <v/>
      </c>
      <c r="AJ209" s="45">
        <f>IFERROR(IF($A209="","",$W209-$AH209-$AD209+$AG209),"")</f>
        <v/>
      </c>
      <c r="AK209" s="47">
        <f>IFERROR(IF($A209="","",IF(OR($S209="Collected",$S209="Waived",$S209="Uncollectible",$S209="No Charge Due"),"",IF($T209="",$B209+'Assumptions'!$B$9,$T209+'Assumptions'!$B$9))),"")</f>
        <v/>
      </c>
      <c r="AL209" s="48">
        <f>IFERROR(IF($A209="","",IF(OR($S209="Collected",$S209="Waived",$S209="Uncollectible",$S209="No Charge Due"),"Closed",IF($AK209&lt;TODAY(),"Overdue",IF($AK209=TODAY(),"Due","Open")))),"")</f>
        <v/>
      </c>
      <c r="AM209" s="49">
        <f>IFERROR(IF($A209="","",IF(COUNTIF($A$5:$A$504,$A209)&gt;1,"Duplicate reservation ID",IF($C209&lt;=$B209,"Check stay dates",IF($G209&gt;$F209,"Resold nights exceed booked nights",IF($M209+$N209&gt;$AA209+0.01,"Collection exceeds expected amount",IF(AND($S209="Collected",$M209=0),"Collected status has no amount",IF($AJ209&gt;='Assumptions'!$B$10,"High-cost review","OK"))))))),"")</f>
        <v/>
      </c>
    </row>
    <row r="210">
      <c r="A210" s="38" t="n"/>
      <c r="B210" s="39" t="n"/>
      <c r="C210" s="39" t="n"/>
      <c r="D210" s="38" t="n"/>
      <c r="E210" s="38" t="n"/>
      <c r="F210" s="40" t="n"/>
      <c r="G210" s="40" t="n"/>
      <c r="H210" s="41" t="n"/>
      <c r="I210" s="41" t="n"/>
      <c r="J210" s="42" t="n"/>
      <c r="K210" s="42" t="n"/>
      <c r="L210" s="42" t="n"/>
      <c r="M210" s="41" t="n"/>
      <c r="N210" s="41" t="n"/>
      <c r="O210" s="41" t="n"/>
      <c r="P210" s="41" t="n"/>
      <c r="Q210" s="40" t="n"/>
      <c r="R210" s="38" t="n"/>
      <c r="S210" s="38" t="n"/>
      <c r="T210" s="39" t="n"/>
      <c r="U210" s="43" t="n"/>
      <c r="V210" s="44">
        <f>IFERROR(IF($A210="","",MAX($F210-$G210,0)),"")</f>
        <v/>
      </c>
      <c r="W210" s="45">
        <f>IFERROR(IF($A210="","",$H210+$I210),"")</f>
        <v/>
      </c>
      <c r="X210" s="45">
        <f>IFERROR(IF($A210="","",$H210*IF($J210="",'Assumptions'!$B$4,$J210)),"")</f>
        <v/>
      </c>
      <c r="Y210" s="45">
        <f>IFERROR(IF($A210="","",$X210*IF($K210="",'Assumptions'!$B$12,$K210)),"")</f>
        <v/>
      </c>
      <c r="Z210" s="45">
        <f>IFERROR(IF($A210="","",($X210+$Y210)*IF($L210="",'Assumptions'!$B$13,$L210)),"")</f>
        <v/>
      </c>
      <c r="AA210" s="45">
        <f>IFERROR(IF($A210="","",$X210+$Y210+$Z210),"")</f>
        <v/>
      </c>
      <c r="AB210" s="45">
        <f>IFERROR(IF($A210="","",$V210*'Assumptions'!$B$5),"")</f>
        <v/>
      </c>
      <c r="AC210" s="45">
        <f>IFERROR(IF($A210="","",$I210*'Assumptions'!$B$6),"")</f>
        <v/>
      </c>
      <c r="AD210" s="45">
        <f>IFERROR(IF($A210="","",$AB210+$AC210),"")</f>
        <v/>
      </c>
      <c r="AE210" s="45">
        <f>IFERROR(IF($A210="","",($M210+$N210)*'Assumptions'!$B$7),"")</f>
        <v/>
      </c>
      <c r="AF210" s="45">
        <f>IFERROR(IF($A210="","",($Q210/60)*'Assumptions'!$B$8),"")</f>
        <v/>
      </c>
      <c r="AG210" s="45">
        <f>IFERROR(IF($A210="","",$P210+$AE210+$AF210),"")</f>
        <v/>
      </c>
      <c r="AH210" s="45">
        <f>IFERROR(IF($A210="","",$M210+$O210),"")</f>
        <v/>
      </c>
      <c r="AI210" s="46">
        <f>IFERROR(IF($A210="","",IFERROR($AH210/$W210,0)),"")</f>
        <v/>
      </c>
      <c r="AJ210" s="45">
        <f>IFERROR(IF($A210="","",$W210-$AH210-$AD210+$AG210),"")</f>
        <v/>
      </c>
      <c r="AK210" s="47">
        <f>IFERROR(IF($A210="","",IF(OR($S210="Collected",$S210="Waived",$S210="Uncollectible",$S210="No Charge Due"),"",IF($T210="",$B210+'Assumptions'!$B$9,$T210+'Assumptions'!$B$9))),"")</f>
        <v/>
      </c>
      <c r="AL210" s="48">
        <f>IFERROR(IF($A210="","",IF(OR($S210="Collected",$S210="Waived",$S210="Uncollectible",$S210="No Charge Due"),"Closed",IF($AK210&lt;TODAY(),"Overdue",IF($AK210=TODAY(),"Due","Open")))),"")</f>
        <v/>
      </c>
      <c r="AM210" s="49">
        <f>IFERROR(IF($A210="","",IF(COUNTIF($A$5:$A$504,$A210)&gt;1,"Duplicate reservation ID",IF($C210&lt;=$B210,"Check stay dates",IF($G210&gt;$F210,"Resold nights exceed booked nights",IF($M210+$N210&gt;$AA210+0.01,"Collection exceeds expected amount",IF(AND($S210="Collected",$M210=0),"Collected status has no amount",IF($AJ210&gt;='Assumptions'!$B$10,"High-cost review","OK"))))))),"")</f>
        <v/>
      </c>
    </row>
    <row r="211">
      <c r="A211" s="38" t="n"/>
      <c r="B211" s="39" t="n"/>
      <c r="C211" s="39" t="n"/>
      <c r="D211" s="38" t="n"/>
      <c r="E211" s="38" t="n"/>
      <c r="F211" s="40" t="n"/>
      <c r="G211" s="40" t="n"/>
      <c r="H211" s="41" t="n"/>
      <c r="I211" s="41" t="n"/>
      <c r="J211" s="42" t="n"/>
      <c r="K211" s="42" t="n"/>
      <c r="L211" s="42" t="n"/>
      <c r="M211" s="41" t="n"/>
      <c r="N211" s="41" t="n"/>
      <c r="O211" s="41" t="n"/>
      <c r="P211" s="41" t="n"/>
      <c r="Q211" s="40" t="n"/>
      <c r="R211" s="38" t="n"/>
      <c r="S211" s="38" t="n"/>
      <c r="T211" s="39" t="n"/>
      <c r="U211" s="43" t="n"/>
      <c r="V211" s="44">
        <f>IFERROR(IF($A211="","",MAX($F211-$G211,0)),"")</f>
        <v/>
      </c>
      <c r="W211" s="45">
        <f>IFERROR(IF($A211="","",$H211+$I211),"")</f>
        <v/>
      </c>
      <c r="X211" s="45">
        <f>IFERROR(IF($A211="","",$H211*IF($J211="",'Assumptions'!$B$4,$J211)),"")</f>
        <v/>
      </c>
      <c r="Y211" s="45">
        <f>IFERROR(IF($A211="","",$X211*IF($K211="",'Assumptions'!$B$12,$K211)),"")</f>
        <v/>
      </c>
      <c r="Z211" s="45">
        <f>IFERROR(IF($A211="","",($X211+$Y211)*IF($L211="",'Assumptions'!$B$13,$L211)),"")</f>
        <v/>
      </c>
      <c r="AA211" s="45">
        <f>IFERROR(IF($A211="","",$X211+$Y211+$Z211),"")</f>
        <v/>
      </c>
      <c r="AB211" s="45">
        <f>IFERROR(IF($A211="","",$V211*'Assumptions'!$B$5),"")</f>
        <v/>
      </c>
      <c r="AC211" s="45">
        <f>IFERROR(IF($A211="","",$I211*'Assumptions'!$B$6),"")</f>
        <v/>
      </c>
      <c r="AD211" s="45">
        <f>IFERROR(IF($A211="","",$AB211+$AC211),"")</f>
        <v/>
      </c>
      <c r="AE211" s="45">
        <f>IFERROR(IF($A211="","",($M211+$N211)*'Assumptions'!$B$7),"")</f>
        <v/>
      </c>
      <c r="AF211" s="45">
        <f>IFERROR(IF($A211="","",($Q211/60)*'Assumptions'!$B$8),"")</f>
        <v/>
      </c>
      <c r="AG211" s="45">
        <f>IFERROR(IF($A211="","",$P211+$AE211+$AF211),"")</f>
        <v/>
      </c>
      <c r="AH211" s="45">
        <f>IFERROR(IF($A211="","",$M211+$O211),"")</f>
        <v/>
      </c>
      <c r="AI211" s="46">
        <f>IFERROR(IF($A211="","",IFERROR($AH211/$W211,0)),"")</f>
        <v/>
      </c>
      <c r="AJ211" s="45">
        <f>IFERROR(IF($A211="","",$W211-$AH211-$AD211+$AG211),"")</f>
        <v/>
      </c>
      <c r="AK211" s="47">
        <f>IFERROR(IF($A211="","",IF(OR($S211="Collected",$S211="Waived",$S211="Uncollectible",$S211="No Charge Due"),"",IF($T211="",$B211+'Assumptions'!$B$9,$T211+'Assumptions'!$B$9))),"")</f>
        <v/>
      </c>
      <c r="AL211" s="48">
        <f>IFERROR(IF($A211="","",IF(OR($S211="Collected",$S211="Waived",$S211="Uncollectible",$S211="No Charge Due"),"Closed",IF($AK211&lt;TODAY(),"Overdue",IF($AK211=TODAY(),"Due","Open")))),"")</f>
        <v/>
      </c>
      <c r="AM211" s="49">
        <f>IFERROR(IF($A211="","",IF(COUNTIF($A$5:$A$504,$A211)&gt;1,"Duplicate reservation ID",IF($C211&lt;=$B211,"Check stay dates",IF($G211&gt;$F211,"Resold nights exceed booked nights",IF($M211+$N211&gt;$AA211+0.01,"Collection exceeds expected amount",IF(AND($S211="Collected",$M211=0),"Collected status has no amount",IF($AJ211&gt;='Assumptions'!$B$10,"High-cost review","OK"))))))),"")</f>
        <v/>
      </c>
    </row>
    <row r="212">
      <c r="A212" s="38" t="n"/>
      <c r="B212" s="39" t="n"/>
      <c r="C212" s="39" t="n"/>
      <c r="D212" s="38" t="n"/>
      <c r="E212" s="38" t="n"/>
      <c r="F212" s="40" t="n"/>
      <c r="G212" s="40" t="n"/>
      <c r="H212" s="41" t="n"/>
      <c r="I212" s="41" t="n"/>
      <c r="J212" s="42" t="n"/>
      <c r="K212" s="42" t="n"/>
      <c r="L212" s="42" t="n"/>
      <c r="M212" s="41" t="n"/>
      <c r="N212" s="41" t="n"/>
      <c r="O212" s="41" t="n"/>
      <c r="P212" s="41" t="n"/>
      <c r="Q212" s="40" t="n"/>
      <c r="R212" s="38" t="n"/>
      <c r="S212" s="38" t="n"/>
      <c r="T212" s="39" t="n"/>
      <c r="U212" s="43" t="n"/>
      <c r="V212" s="44">
        <f>IFERROR(IF($A212="","",MAX($F212-$G212,0)),"")</f>
        <v/>
      </c>
      <c r="W212" s="45">
        <f>IFERROR(IF($A212="","",$H212+$I212),"")</f>
        <v/>
      </c>
      <c r="X212" s="45">
        <f>IFERROR(IF($A212="","",$H212*IF($J212="",'Assumptions'!$B$4,$J212)),"")</f>
        <v/>
      </c>
      <c r="Y212" s="45">
        <f>IFERROR(IF($A212="","",$X212*IF($K212="",'Assumptions'!$B$12,$K212)),"")</f>
        <v/>
      </c>
      <c r="Z212" s="45">
        <f>IFERROR(IF($A212="","",($X212+$Y212)*IF($L212="",'Assumptions'!$B$13,$L212)),"")</f>
        <v/>
      </c>
      <c r="AA212" s="45">
        <f>IFERROR(IF($A212="","",$X212+$Y212+$Z212),"")</f>
        <v/>
      </c>
      <c r="AB212" s="45">
        <f>IFERROR(IF($A212="","",$V212*'Assumptions'!$B$5),"")</f>
        <v/>
      </c>
      <c r="AC212" s="45">
        <f>IFERROR(IF($A212="","",$I212*'Assumptions'!$B$6),"")</f>
        <v/>
      </c>
      <c r="AD212" s="45">
        <f>IFERROR(IF($A212="","",$AB212+$AC212),"")</f>
        <v/>
      </c>
      <c r="AE212" s="45">
        <f>IFERROR(IF($A212="","",($M212+$N212)*'Assumptions'!$B$7),"")</f>
        <v/>
      </c>
      <c r="AF212" s="45">
        <f>IFERROR(IF($A212="","",($Q212/60)*'Assumptions'!$B$8),"")</f>
        <v/>
      </c>
      <c r="AG212" s="45">
        <f>IFERROR(IF($A212="","",$P212+$AE212+$AF212),"")</f>
        <v/>
      </c>
      <c r="AH212" s="45">
        <f>IFERROR(IF($A212="","",$M212+$O212),"")</f>
        <v/>
      </c>
      <c r="AI212" s="46">
        <f>IFERROR(IF($A212="","",IFERROR($AH212/$W212,0)),"")</f>
        <v/>
      </c>
      <c r="AJ212" s="45">
        <f>IFERROR(IF($A212="","",$W212-$AH212-$AD212+$AG212),"")</f>
        <v/>
      </c>
      <c r="AK212" s="47">
        <f>IFERROR(IF($A212="","",IF(OR($S212="Collected",$S212="Waived",$S212="Uncollectible",$S212="No Charge Due"),"",IF($T212="",$B212+'Assumptions'!$B$9,$T212+'Assumptions'!$B$9))),"")</f>
        <v/>
      </c>
      <c r="AL212" s="48">
        <f>IFERROR(IF($A212="","",IF(OR($S212="Collected",$S212="Waived",$S212="Uncollectible",$S212="No Charge Due"),"Closed",IF($AK212&lt;TODAY(),"Overdue",IF($AK212=TODAY(),"Due","Open")))),"")</f>
        <v/>
      </c>
      <c r="AM212" s="49">
        <f>IFERROR(IF($A212="","",IF(COUNTIF($A$5:$A$504,$A212)&gt;1,"Duplicate reservation ID",IF($C212&lt;=$B212,"Check stay dates",IF($G212&gt;$F212,"Resold nights exceed booked nights",IF($M212+$N212&gt;$AA212+0.01,"Collection exceeds expected amount",IF(AND($S212="Collected",$M212=0),"Collected status has no amount",IF($AJ212&gt;='Assumptions'!$B$10,"High-cost review","OK"))))))),"")</f>
        <v/>
      </c>
    </row>
    <row r="213">
      <c r="A213" s="38" t="n"/>
      <c r="B213" s="39" t="n"/>
      <c r="C213" s="39" t="n"/>
      <c r="D213" s="38" t="n"/>
      <c r="E213" s="38" t="n"/>
      <c r="F213" s="40" t="n"/>
      <c r="G213" s="40" t="n"/>
      <c r="H213" s="41" t="n"/>
      <c r="I213" s="41" t="n"/>
      <c r="J213" s="42" t="n"/>
      <c r="K213" s="42" t="n"/>
      <c r="L213" s="42" t="n"/>
      <c r="M213" s="41" t="n"/>
      <c r="N213" s="41" t="n"/>
      <c r="O213" s="41" t="n"/>
      <c r="P213" s="41" t="n"/>
      <c r="Q213" s="40" t="n"/>
      <c r="R213" s="38" t="n"/>
      <c r="S213" s="38" t="n"/>
      <c r="T213" s="39" t="n"/>
      <c r="U213" s="43" t="n"/>
      <c r="V213" s="44">
        <f>IFERROR(IF($A213="","",MAX($F213-$G213,0)),"")</f>
        <v/>
      </c>
      <c r="W213" s="45">
        <f>IFERROR(IF($A213="","",$H213+$I213),"")</f>
        <v/>
      </c>
      <c r="X213" s="45">
        <f>IFERROR(IF($A213="","",$H213*IF($J213="",'Assumptions'!$B$4,$J213)),"")</f>
        <v/>
      </c>
      <c r="Y213" s="45">
        <f>IFERROR(IF($A213="","",$X213*IF($K213="",'Assumptions'!$B$12,$K213)),"")</f>
        <v/>
      </c>
      <c r="Z213" s="45">
        <f>IFERROR(IF($A213="","",($X213+$Y213)*IF($L213="",'Assumptions'!$B$13,$L213)),"")</f>
        <v/>
      </c>
      <c r="AA213" s="45">
        <f>IFERROR(IF($A213="","",$X213+$Y213+$Z213),"")</f>
        <v/>
      </c>
      <c r="AB213" s="45">
        <f>IFERROR(IF($A213="","",$V213*'Assumptions'!$B$5),"")</f>
        <v/>
      </c>
      <c r="AC213" s="45">
        <f>IFERROR(IF($A213="","",$I213*'Assumptions'!$B$6),"")</f>
        <v/>
      </c>
      <c r="AD213" s="45">
        <f>IFERROR(IF($A213="","",$AB213+$AC213),"")</f>
        <v/>
      </c>
      <c r="AE213" s="45">
        <f>IFERROR(IF($A213="","",($M213+$N213)*'Assumptions'!$B$7),"")</f>
        <v/>
      </c>
      <c r="AF213" s="45">
        <f>IFERROR(IF($A213="","",($Q213/60)*'Assumptions'!$B$8),"")</f>
        <v/>
      </c>
      <c r="AG213" s="45">
        <f>IFERROR(IF($A213="","",$P213+$AE213+$AF213),"")</f>
        <v/>
      </c>
      <c r="AH213" s="45">
        <f>IFERROR(IF($A213="","",$M213+$O213),"")</f>
        <v/>
      </c>
      <c r="AI213" s="46">
        <f>IFERROR(IF($A213="","",IFERROR($AH213/$W213,0)),"")</f>
        <v/>
      </c>
      <c r="AJ213" s="45">
        <f>IFERROR(IF($A213="","",$W213-$AH213-$AD213+$AG213),"")</f>
        <v/>
      </c>
      <c r="AK213" s="47">
        <f>IFERROR(IF($A213="","",IF(OR($S213="Collected",$S213="Waived",$S213="Uncollectible",$S213="No Charge Due"),"",IF($T213="",$B213+'Assumptions'!$B$9,$T213+'Assumptions'!$B$9))),"")</f>
        <v/>
      </c>
      <c r="AL213" s="48">
        <f>IFERROR(IF($A213="","",IF(OR($S213="Collected",$S213="Waived",$S213="Uncollectible",$S213="No Charge Due"),"Closed",IF($AK213&lt;TODAY(),"Overdue",IF($AK213=TODAY(),"Due","Open")))),"")</f>
        <v/>
      </c>
      <c r="AM213" s="49">
        <f>IFERROR(IF($A213="","",IF(COUNTIF($A$5:$A$504,$A213)&gt;1,"Duplicate reservation ID",IF($C213&lt;=$B213,"Check stay dates",IF($G213&gt;$F213,"Resold nights exceed booked nights",IF($M213+$N213&gt;$AA213+0.01,"Collection exceeds expected amount",IF(AND($S213="Collected",$M213=0),"Collected status has no amount",IF($AJ213&gt;='Assumptions'!$B$10,"High-cost review","OK"))))))),"")</f>
        <v/>
      </c>
    </row>
    <row r="214">
      <c r="A214" s="38" t="n"/>
      <c r="B214" s="39" t="n"/>
      <c r="C214" s="39" t="n"/>
      <c r="D214" s="38" t="n"/>
      <c r="E214" s="38" t="n"/>
      <c r="F214" s="40" t="n"/>
      <c r="G214" s="40" t="n"/>
      <c r="H214" s="41" t="n"/>
      <c r="I214" s="41" t="n"/>
      <c r="J214" s="42" t="n"/>
      <c r="K214" s="42" t="n"/>
      <c r="L214" s="42" t="n"/>
      <c r="M214" s="41" t="n"/>
      <c r="N214" s="41" t="n"/>
      <c r="O214" s="41" t="n"/>
      <c r="P214" s="41" t="n"/>
      <c r="Q214" s="40" t="n"/>
      <c r="R214" s="38" t="n"/>
      <c r="S214" s="38" t="n"/>
      <c r="T214" s="39" t="n"/>
      <c r="U214" s="43" t="n"/>
      <c r="V214" s="44">
        <f>IFERROR(IF($A214="","",MAX($F214-$G214,0)),"")</f>
        <v/>
      </c>
      <c r="W214" s="45">
        <f>IFERROR(IF($A214="","",$H214+$I214),"")</f>
        <v/>
      </c>
      <c r="X214" s="45">
        <f>IFERROR(IF($A214="","",$H214*IF($J214="",'Assumptions'!$B$4,$J214)),"")</f>
        <v/>
      </c>
      <c r="Y214" s="45">
        <f>IFERROR(IF($A214="","",$X214*IF($K214="",'Assumptions'!$B$12,$K214)),"")</f>
        <v/>
      </c>
      <c r="Z214" s="45">
        <f>IFERROR(IF($A214="","",($X214+$Y214)*IF($L214="",'Assumptions'!$B$13,$L214)),"")</f>
        <v/>
      </c>
      <c r="AA214" s="45">
        <f>IFERROR(IF($A214="","",$X214+$Y214+$Z214),"")</f>
        <v/>
      </c>
      <c r="AB214" s="45">
        <f>IFERROR(IF($A214="","",$V214*'Assumptions'!$B$5),"")</f>
        <v/>
      </c>
      <c r="AC214" s="45">
        <f>IFERROR(IF($A214="","",$I214*'Assumptions'!$B$6),"")</f>
        <v/>
      </c>
      <c r="AD214" s="45">
        <f>IFERROR(IF($A214="","",$AB214+$AC214),"")</f>
        <v/>
      </c>
      <c r="AE214" s="45">
        <f>IFERROR(IF($A214="","",($M214+$N214)*'Assumptions'!$B$7),"")</f>
        <v/>
      </c>
      <c r="AF214" s="45">
        <f>IFERROR(IF($A214="","",($Q214/60)*'Assumptions'!$B$8),"")</f>
        <v/>
      </c>
      <c r="AG214" s="45">
        <f>IFERROR(IF($A214="","",$P214+$AE214+$AF214),"")</f>
        <v/>
      </c>
      <c r="AH214" s="45">
        <f>IFERROR(IF($A214="","",$M214+$O214),"")</f>
        <v/>
      </c>
      <c r="AI214" s="46">
        <f>IFERROR(IF($A214="","",IFERROR($AH214/$W214,0)),"")</f>
        <v/>
      </c>
      <c r="AJ214" s="45">
        <f>IFERROR(IF($A214="","",$W214-$AH214-$AD214+$AG214),"")</f>
        <v/>
      </c>
      <c r="AK214" s="47">
        <f>IFERROR(IF($A214="","",IF(OR($S214="Collected",$S214="Waived",$S214="Uncollectible",$S214="No Charge Due"),"",IF($T214="",$B214+'Assumptions'!$B$9,$T214+'Assumptions'!$B$9))),"")</f>
        <v/>
      </c>
      <c r="AL214" s="48">
        <f>IFERROR(IF($A214="","",IF(OR($S214="Collected",$S214="Waived",$S214="Uncollectible",$S214="No Charge Due"),"Closed",IF($AK214&lt;TODAY(),"Overdue",IF($AK214=TODAY(),"Due","Open")))),"")</f>
        <v/>
      </c>
      <c r="AM214" s="49">
        <f>IFERROR(IF($A214="","",IF(COUNTIF($A$5:$A$504,$A214)&gt;1,"Duplicate reservation ID",IF($C214&lt;=$B214,"Check stay dates",IF($G214&gt;$F214,"Resold nights exceed booked nights",IF($M214+$N214&gt;$AA214+0.01,"Collection exceeds expected amount",IF(AND($S214="Collected",$M214=0),"Collected status has no amount",IF($AJ214&gt;='Assumptions'!$B$10,"High-cost review","OK"))))))),"")</f>
        <v/>
      </c>
    </row>
    <row r="215">
      <c r="A215" s="38" t="n"/>
      <c r="B215" s="39" t="n"/>
      <c r="C215" s="39" t="n"/>
      <c r="D215" s="38" t="n"/>
      <c r="E215" s="38" t="n"/>
      <c r="F215" s="40" t="n"/>
      <c r="G215" s="40" t="n"/>
      <c r="H215" s="41" t="n"/>
      <c r="I215" s="41" t="n"/>
      <c r="J215" s="42" t="n"/>
      <c r="K215" s="42" t="n"/>
      <c r="L215" s="42" t="n"/>
      <c r="M215" s="41" t="n"/>
      <c r="N215" s="41" t="n"/>
      <c r="O215" s="41" t="n"/>
      <c r="P215" s="41" t="n"/>
      <c r="Q215" s="40" t="n"/>
      <c r="R215" s="38" t="n"/>
      <c r="S215" s="38" t="n"/>
      <c r="T215" s="39" t="n"/>
      <c r="U215" s="43" t="n"/>
      <c r="V215" s="44">
        <f>IFERROR(IF($A215="","",MAX($F215-$G215,0)),"")</f>
        <v/>
      </c>
      <c r="W215" s="45">
        <f>IFERROR(IF($A215="","",$H215+$I215),"")</f>
        <v/>
      </c>
      <c r="X215" s="45">
        <f>IFERROR(IF($A215="","",$H215*IF($J215="",'Assumptions'!$B$4,$J215)),"")</f>
        <v/>
      </c>
      <c r="Y215" s="45">
        <f>IFERROR(IF($A215="","",$X215*IF($K215="",'Assumptions'!$B$12,$K215)),"")</f>
        <v/>
      </c>
      <c r="Z215" s="45">
        <f>IFERROR(IF($A215="","",($X215+$Y215)*IF($L215="",'Assumptions'!$B$13,$L215)),"")</f>
        <v/>
      </c>
      <c r="AA215" s="45">
        <f>IFERROR(IF($A215="","",$X215+$Y215+$Z215),"")</f>
        <v/>
      </c>
      <c r="AB215" s="45">
        <f>IFERROR(IF($A215="","",$V215*'Assumptions'!$B$5),"")</f>
        <v/>
      </c>
      <c r="AC215" s="45">
        <f>IFERROR(IF($A215="","",$I215*'Assumptions'!$B$6),"")</f>
        <v/>
      </c>
      <c r="AD215" s="45">
        <f>IFERROR(IF($A215="","",$AB215+$AC215),"")</f>
        <v/>
      </c>
      <c r="AE215" s="45">
        <f>IFERROR(IF($A215="","",($M215+$N215)*'Assumptions'!$B$7),"")</f>
        <v/>
      </c>
      <c r="AF215" s="45">
        <f>IFERROR(IF($A215="","",($Q215/60)*'Assumptions'!$B$8),"")</f>
        <v/>
      </c>
      <c r="AG215" s="45">
        <f>IFERROR(IF($A215="","",$P215+$AE215+$AF215),"")</f>
        <v/>
      </c>
      <c r="AH215" s="45">
        <f>IFERROR(IF($A215="","",$M215+$O215),"")</f>
        <v/>
      </c>
      <c r="AI215" s="46">
        <f>IFERROR(IF($A215="","",IFERROR($AH215/$W215,0)),"")</f>
        <v/>
      </c>
      <c r="AJ215" s="45">
        <f>IFERROR(IF($A215="","",$W215-$AH215-$AD215+$AG215),"")</f>
        <v/>
      </c>
      <c r="AK215" s="47">
        <f>IFERROR(IF($A215="","",IF(OR($S215="Collected",$S215="Waived",$S215="Uncollectible",$S215="No Charge Due"),"",IF($T215="",$B215+'Assumptions'!$B$9,$T215+'Assumptions'!$B$9))),"")</f>
        <v/>
      </c>
      <c r="AL215" s="48">
        <f>IFERROR(IF($A215="","",IF(OR($S215="Collected",$S215="Waived",$S215="Uncollectible",$S215="No Charge Due"),"Closed",IF($AK215&lt;TODAY(),"Overdue",IF($AK215=TODAY(),"Due","Open")))),"")</f>
        <v/>
      </c>
      <c r="AM215" s="49">
        <f>IFERROR(IF($A215="","",IF(COUNTIF($A$5:$A$504,$A215)&gt;1,"Duplicate reservation ID",IF($C215&lt;=$B215,"Check stay dates",IF($G215&gt;$F215,"Resold nights exceed booked nights",IF($M215+$N215&gt;$AA215+0.01,"Collection exceeds expected amount",IF(AND($S215="Collected",$M215=0),"Collected status has no amount",IF($AJ215&gt;='Assumptions'!$B$10,"High-cost review","OK"))))))),"")</f>
        <v/>
      </c>
    </row>
    <row r="216">
      <c r="A216" s="38" t="n"/>
      <c r="B216" s="39" t="n"/>
      <c r="C216" s="39" t="n"/>
      <c r="D216" s="38" t="n"/>
      <c r="E216" s="38" t="n"/>
      <c r="F216" s="40" t="n"/>
      <c r="G216" s="40" t="n"/>
      <c r="H216" s="41" t="n"/>
      <c r="I216" s="41" t="n"/>
      <c r="J216" s="42" t="n"/>
      <c r="K216" s="42" t="n"/>
      <c r="L216" s="42" t="n"/>
      <c r="M216" s="41" t="n"/>
      <c r="N216" s="41" t="n"/>
      <c r="O216" s="41" t="n"/>
      <c r="P216" s="41" t="n"/>
      <c r="Q216" s="40" t="n"/>
      <c r="R216" s="38" t="n"/>
      <c r="S216" s="38" t="n"/>
      <c r="T216" s="39" t="n"/>
      <c r="U216" s="43" t="n"/>
      <c r="V216" s="44">
        <f>IFERROR(IF($A216="","",MAX($F216-$G216,0)),"")</f>
        <v/>
      </c>
      <c r="W216" s="45">
        <f>IFERROR(IF($A216="","",$H216+$I216),"")</f>
        <v/>
      </c>
      <c r="X216" s="45">
        <f>IFERROR(IF($A216="","",$H216*IF($J216="",'Assumptions'!$B$4,$J216)),"")</f>
        <v/>
      </c>
      <c r="Y216" s="45">
        <f>IFERROR(IF($A216="","",$X216*IF($K216="",'Assumptions'!$B$12,$K216)),"")</f>
        <v/>
      </c>
      <c r="Z216" s="45">
        <f>IFERROR(IF($A216="","",($X216+$Y216)*IF($L216="",'Assumptions'!$B$13,$L216)),"")</f>
        <v/>
      </c>
      <c r="AA216" s="45">
        <f>IFERROR(IF($A216="","",$X216+$Y216+$Z216),"")</f>
        <v/>
      </c>
      <c r="AB216" s="45">
        <f>IFERROR(IF($A216="","",$V216*'Assumptions'!$B$5),"")</f>
        <v/>
      </c>
      <c r="AC216" s="45">
        <f>IFERROR(IF($A216="","",$I216*'Assumptions'!$B$6),"")</f>
        <v/>
      </c>
      <c r="AD216" s="45">
        <f>IFERROR(IF($A216="","",$AB216+$AC216),"")</f>
        <v/>
      </c>
      <c r="AE216" s="45">
        <f>IFERROR(IF($A216="","",($M216+$N216)*'Assumptions'!$B$7),"")</f>
        <v/>
      </c>
      <c r="AF216" s="45">
        <f>IFERROR(IF($A216="","",($Q216/60)*'Assumptions'!$B$8),"")</f>
        <v/>
      </c>
      <c r="AG216" s="45">
        <f>IFERROR(IF($A216="","",$P216+$AE216+$AF216),"")</f>
        <v/>
      </c>
      <c r="AH216" s="45">
        <f>IFERROR(IF($A216="","",$M216+$O216),"")</f>
        <v/>
      </c>
      <c r="AI216" s="46">
        <f>IFERROR(IF($A216="","",IFERROR($AH216/$W216,0)),"")</f>
        <v/>
      </c>
      <c r="AJ216" s="45">
        <f>IFERROR(IF($A216="","",$W216-$AH216-$AD216+$AG216),"")</f>
        <v/>
      </c>
      <c r="AK216" s="47">
        <f>IFERROR(IF($A216="","",IF(OR($S216="Collected",$S216="Waived",$S216="Uncollectible",$S216="No Charge Due"),"",IF($T216="",$B216+'Assumptions'!$B$9,$T216+'Assumptions'!$B$9))),"")</f>
        <v/>
      </c>
      <c r="AL216" s="48">
        <f>IFERROR(IF($A216="","",IF(OR($S216="Collected",$S216="Waived",$S216="Uncollectible",$S216="No Charge Due"),"Closed",IF($AK216&lt;TODAY(),"Overdue",IF($AK216=TODAY(),"Due","Open")))),"")</f>
        <v/>
      </c>
      <c r="AM216" s="49">
        <f>IFERROR(IF($A216="","",IF(COUNTIF($A$5:$A$504,$A216)&gt;1,"Duplicate reservation ID",IF($C216&lt;=$B216,"Check stay dates",IF($G216&gt;$F216,"Resold nights exceed booked nights",IF($M216+$N216&gt;$AA216+0.01,"Collection exceeds expected amount",IF(AND($S216="Collected",$M216=0),"Collected status has no amount",IF($AJ216&gt;='Assumptions'!$B$10,"High-cost review","OK"))))))),"")</f>
        <v/>
      </c>
    </row>
    <row r="217">
      <c r="A217" s="38" t="n"/>
      <c r="B217" s="39" t="n"/>
      <c r="C217" s="39" t="n"/>
      <c r="D217" s="38" t="n"/>
      <c r="E217" s="38" t="n"/>
      <c r="F217" s="40" t="n"/>
      <c r="G217" s="40" t="n"/>
      <c r="H217" s="41" t="n"/>
      <c r="I217" s="41" t="n"/>
      <c r="J217" s="42" t="n"/>
      <c r="K217" s="42" t="n"/>
      <c r="L217" s="42" t="n"/>
      <c r="M217" s="41" t="n"/>
      <c r="N217" s="41" t="n"/>
      <c r="O217" s="41" t="n"/>
      <c r="P217" s="41" t="n"/>
      <c r="Q217" s="40" t="n"/>
      <c r="R217" s="38" t="n"/>
      <c r="S217" s="38" t="n"/>
      <c r="T217" s="39" t="n"/>
      <c r="U217" s="43" t="n"/>
      <c r="V217" s="44">
        <f>IFERROR(IF($A217="","",MAX($F217-$G217,0)),"")</f>
        <v/>
      </c>
      <c r="W217" s="45">
        <f>IFERROR(IF($A217="","",$H217+$I217),"")</f>
        <v/>
      </c>
      <c r="X217" s="45">
        <f>IFERROR(IF($A217="","",$H217*IF($J217="",'Assumptions'!$B$4,$J217)),"")</f>
        <v/>
      </c>
      <c r="Y217" s="45">
        <f>IFERROR(IF($A217="","",$X217*IF($K217="",'Assumptions'!$B$12,$K217)),"")</f>
        <v/>
      </c>
      <c r="Z217" s="45">
        <f>IFERROR(IF($A217="","",($X217+$Y217)*IF($L217="",'Assumptions'!$B$13,$L217)),"")</f>
        <v/>
      </c>
      <c r="AA217" s="45">
        <f>IFERROR(IF($A217="","",$X217+$Y217+$Z217),"")</f>
        <v/>
      </c>
      <c r="AB217" s="45">
        <f>IFERROR(IF($A217="","",$V217*'Assumptions'!$B$5),"")</f>
        <v/>
      </c>
      <c r="AC217" s="45">
        <f>IFERROR(IF($A217="","",$I217*'Assumptions'!$B$6),"")</f>
        <v/>
      </c>
      <c r="AD217" s="45">
        <f>IFERROR(IF($A217="","",$AB217+$AC217),"")</f>
        <v/>
      </c>
      <c r="AE217" s="45">
        <f>IFERROR(IF($A217="","",($M217+$N217)*'Assumptions'!$B$7),"")</f>
        <v/>
      </c>
      <c r="AF217" s="45">
        <f>IFERROR(IF($A217="","",($Q217/60)*'Assumptions'!$B$8),"")</f>
        <v/>
      </c>
      <c r="AG217" s="45">
        <f>IFERROR(IF($A217="","",$P217+$AE217+$AF217),"")</f>
        <v/>
      </c>
      <c r="AH217" s="45">
        <f>IFERROR(IF($A217="","",$M217+$O217),"")</f>
        <v/>
      </c>
      <c r="AI217" s="46">
        <f>IFERROR(IF($A217="","",IFERROR($AH217/$W217,0)),"")</f>
        <v/>
      </c>
      <c r="AJ217" s="45">
        <f>IFERROR(IF($A217="","",$W217-$AH217-$AD217+$AG217),"")</f>
        <v/>
      </c>
      <c r="AK217" s="47">
        <f>IFERROR(IF($A217="","",IF(OR($S217="Collected",$S217="Waived",$S217="Uncollectible",$S217="No Charge Due"),"",IF($T217="",$B217+'Assumptions'!$B$9,$T217+'Assumptions'!$B$9))),"")</f>
        <v/>
      </c>
      <c r="AL217" s="48">
        <f>IFERROR(IF($A217="","",IF(OR($S217="Collected",$S217="Waived",$S217="Uncollectible",$S217="No Charge Due"),"Closed",IF($AK217&lt;TODAY(),"Overdue",IF($AK217=TODAY(),"Due","Open")))),"")</f>
        <v/>
      </c>
      <c r="AM217" s="49">
        <f>IFERROR(IF($A217="","",IF(COUNTIF($A$5:$A$504,$A217)&gt;1,"Duplicate reservation ID",IF($C217&lt;=$B217,"Check stay dates",IF($G217&gt;$F217,"Resold nights exceed booked nights",IF($M217+$N217&gt;$AA217+0.01,"Collection exceeds expected amount",IF(AND($S217="Collected",$M217=0),"Collected status has no amount",IF($AJ217&gt;='Assumptions'!$B$10,"High-cost review","OK"))))))),"")</f>
        <v/>
      </c>
    </row>
    <row r="218">
      <c r="A218" s="38" t="n"/>
      <c r="B218" s="39" t="n"/>
      <c r="C218" s="39" t="n"/>
      <c r="D218" s="38" t="n"/>
      <c r="E218" s="38" t="n"/>
      <c r="F218" s="40" t="n"/>
      <c r="G218" s="40" t="n"/>
      <c r="H218" s="41" t="n"/>
      <c r="I218" s="41" t="n"/>
      <c r="J218" s="42" t="n"/>
      <c r="K218" s="42" t="n"/>
      <c r="L218" s="42" t="n"/>
      <c r="M218" s="41" t="n"/>
      <c r="N218" s="41" t="n"/>
      <c r="O218" s="41" t="n"/>
      <c r="P218" s="41" t="n"/>
      <c r="Q218" s="40" t="n"/>
      <c r="R218" s="38" t="n"/>
      <c r="S218" s="38" t="n"/>
      <c r="T218" s="39" t="n"/>
      <c r="U218" s="43" t="n"/>
      <c r="V218" s="44">
        <f>IFERROR(IF($A218="","",MAX($F218-$G218,0)),"")</f>
        <v/>
      </c>
      <c r="W218" s="45">
        <f>IFERROR(IF($A218="","",$H218+$I218),"")</f>
        <v/>
      </c>
      <c r="X218" s="45">
        <f>IFERROR(IF($A218="","",$H218*IF($J218="",'Assumptions'!$B$4,$J218)),"")</f>
        <v/>
      </c>
      <c r="Y218" s="45">
        <f>IFERROR(IF($A218="","",$X218*IF($K218="",'Assumptions'!$B$12,$K218)),"")</f>
        <v/>
      </c>
      <c r="Z218" s="45">
        <f>IFERROR(IF($A218="","",($X218+$Y218)*IF($L218="",'Assumptions'!$B$13,$L218)),"")</f>
        <v/>
      </c>
      <c r="AA218" s="45">
        <f>IFERROR(IF($A218="","",$X218+$Y218+$Z218),"")</f>
        <v/>
      </c>
      <c r="AB218" s="45">
        <f>IFERROR(IF($A218="","",$V218*'Assumptions'!$B$5),"")</f>
        <v/>
      </c>
      <c r="AC218" s="45">
        <f>IFERROR(IF($A218="","",$I218*'Assumptions'!$B$6),"")</f>
        <v/>
      </c>
      <c r="AD218" s="45">
        <f>IFERROR(IF($A218="","",$AB218+$AC218),"")</f>
        <v/>
      </c>
      <c r="AE218" s="45">
        <f>IFERROR(IF($A218="","",($M218+$N218)*'Assumptions'!$B$7),"")</f>
        <v/>
      </c>
      <c r="AF218" s="45">
        <f>IFERROR(IF($A218="","",($Q218/60)*'Assumptions'!$B$8),"")</f>
        <v/>
      </c>
      <c r="AG218" s="45">
        <f>IFERROR(IF($A218="","",$P218+$AE218+$AF218),"")</f>
        <v/>
      </c>
      <c r="AH218" s="45">
        <f>IFERROR(IF($A218="","",$M218+$O218),"")</f>
        <v/>
      </c>
      <c r="AI218" s="46">
        <f>IFERROR(IF($A218="","",IFERROR($AH218/$W218,0)),"")</f>
        <v/>
      </c>
      <c r="AJ218" s="45">
        <f>IFERROR(IF($A218="","",$W218-$AH218-$AD218+$AG218),"")</f>
        <v/>
      </c>
      <c r="AK218" s="47">
        <f>IFERROR(IF($A218="","",IF(OR($S218="Collected",$S218="Waived",$S218="Uncollectible",$S218="No Charge Due"),"",IF($T218="",$B218+'Assumptions'!$B$9,$T218+'Assumptions'!$B$9))),"")</f>
        <v/>
      </c>
      <c r="AL218" s="48">
        <f>IFERROR(IF($A218="","",IF(OR($S218="Collected",$S218="Waived",$S218="Uncollectible",$S218="No Charge Due"),"Closed",IF($AK218&lt;TODAY(),"Overdue",IF($AK218=TODAY(),"Due","Open")))),"")</f>
        <v/>
      </c>
      <c r="AM218" s="49">
        <f>IFERROR(IF($A218="","",IF(COUNTIF($A$5:$A$504,$A218)&gt;1,"Duplicate reservation ID",IF($C218&lt;=$B218,"Check stay dates",IF($G218&gt;$F218,"Resold nights exceed booked nights",IF($M218+$N218&gt;$AA218+0.01,"Collection exceeds expected amount",IF(AND($S218="Collected",$M218=0),"Collected status has no amount",IF($AJ218&gt;='Assumptions'!$B$10,"High-cost review","OK"))))))),"")</f>
        <v/>
      </c>
    </row>
    <row r="219">
      <c r="A219" s="38" t="n"/>
      <c r="B219" s="39" t="n"/>
      <c r="C219" s="39" t="n"/>
      <c r="D219" s="38" t="n"/>
      <c r="E219" s="38" t="n"/>
      <c r="F219" s="40" t="n"/>
      <c r="G219" s="40" t="n"/>
      <c r="H219" s="41" t="n"/>
      <c r="I219" s="41" t="n"/>
      <c r="J219" s="42" t="n"/>
      <c r="K219" s="42" t="n"/>
      <c r="L219" s="42" t="n"/>
      <c r="M219" s="41" t="n"/>
      <c r="N219" s="41" t="n"/>
      <c r="O219" s="41" t="n"/>
      <c r="P219" s="41" t="n"/>
      <c r="Q219" s="40" t="n"/>
      <c r="R219" s="38" t="n"/>
      <c r="S219" s="38" t="n"/>
      <c r="T219" s="39" t="n"/>
      <c r="U219" s="43" t="n"/>
      <c r="V219" s="44">
        <f>IFERROR(IF($A219="","",MAX($F219-$G219,0)),"")</f>
        <v/>
      </c>
      <c r="W219" s="45">
        <f>IFERROR(IF($A219="","",$H219+$I219),"")</f>
        <v/>
      </c>
      <c r="X219" s="45">
        <f>IFERROR(IF($A219="","",$H219*IF($J219="",'Assumptions'!$B$4,$J219)),"")</f>
        <v/>
      </c>
      <c r="Y219" s="45">
        <f>IFERROR(IF($A219="","",$X219*IF($K219="",'Assumptions'!$B$12,$K219)),"")</f>
        <v/>
      </c>
      <c r="Z219" s="45">
        <f>IFERROR(IF($A219="","",($X219+$Y219)*IF($L219="",'Assumptions'!$B$13,$L219)),"")</f>
        <v/>
      </c>
      <c r="AA219" s="45">
        <f>IFERROR(IF($A219="","",$X219+$Y219+$Z219),"")</f>
        <v/>
      </c>
      <c r="AB219" s="45">
        <f>IFERROR(IF($A219="","",$V219*'Assumptions'!$B$5),"")</f>
        <v/>
      </c>
      <c r="AC219" s="45">
        <f>IFERROR(IF($A219="","",$I219*'Assumptions'!$B$6),"")</f>
        <v/>
      </c>
      <c r="AD219" s="45">
        <f>IFERROR(IF($A219="","",$AB219+$AC219),"")</f>
        <v/>
      </c>
      <c r="AE219" s="45">
        <f>IFERROR(IF($A219="","",($M219+$N219)*'Assumptions'!$B$7),"")</f>
        <v/>
      </c>
      <c r="AF219" s="45">
        <f>IFERROR(IF($A219="","",($Q219/60)*'Assumptions'!$B$8),"")</f>
        <v/>
      </c>
      <c r="AG219" s="45">
        <f>IFERROR(IF($A219="","",$P219+$AE219+$AF219),"")</f>
        <v/>
      </c>
      <c r="AH219" s="45">
        <f>IFERROR(IF($A219="","",$M219+$O219),"")</f>
        <v/>
      </c>
      <c r="AI219" s="46">
        <f>IFERROR(IF($A219="","",IFERROR($AH219/$W219,0)),"")</f>
        <v/>
      </c>
      <c r="AJ219" s="45">
        <f>IFERROR(IF($A219="","",$W219-$AH219-$AD219+$AG219),"")</f>
        <v/>
      </c>
      <c r="AK219" s="47">
        <f>IFERROR(IF($A219="","",IF(OR($S219="Collected",$S219="Waived",$S219="Uncollectible",$S219="No Charge Due"),"",IF($T219="",$B219+'Assumptions'!$B$9,$T219+'Assumptions'!$B$9))),"")</f>
        <v/>
      </c>
      <c r="AL219" s="48">
        <f>IFERROR(IF($A219="","",IF(OR($S219="Collected",$S219="Waived",$S219="Uncollectible",$S219="No Charge Due"),"Closed",IF($AK219&lt;TODAY(),"Overdue",IF($AK219=TODAY(),"Due","Open")))),"")</f>
        <v/>
      </c>
      <c r="AM219" s="49">
        <f>IFERROR(IF($A219="","",IF(COUNTIF($A$5:$A$504,$A219)&gt;1,"Duplicate reservation ID",IF($C219&lt;=$B219,"Check stay dates",IF($G219&gt;$F219,"Resold nights exceed booked nights",IF($M219+$N219&gt;$AA219+0.01,"Collection exceeds expected amount",IF(AND($S219="Collected",$M219=0),"Collected status has no amount",IF($AJ219&gt;='Assumptions'!$B$10,"High-cost review","OK"))))))),"")</f>
        <v/>
      </c>
    </row>
    <row r="220">
      <c r="A220" s="38" t="n"/>
      <c r="B220" s="39" t="n"/>
      <c r="C220" s="39" t="n"/>
      <c r="D220" s="38" t="n"/>
      <c r="E220" s="38" t="n"/>
      <c r="F220" s="40" t="n"/>
      <c r="G220" s="40" t="n"/>
      <c r="H220" s="41" t="n"/>
      <c r="I220" s="41" t="n"/>
      <c r="J220" s="42" t="n"/>
      <c r="K220" s="42" t="n"/>
      <c r="L220" s="42" t="n"/>
      <c r="M220" s="41" t="n"/>
      <c r="N220" s="41" t="n"/>
      <c r="O220" s="41" t="n"/>
      <c r="P220" s="41" t="n"/>
      <c r="Q220" s="40" t="n"/>
      <c r="R220" s="38" t="n"/>
      <c r="S220" s="38" t="n"/>
      <c r="T220" s="39" t="n"/>
      <c r="U220" s="43" t="n"/>
      <c r="V220" s="44">
        <f>IFERROR(IF($A220="","",MAX($F220-$G220,0)),"")</f>
        <v/>
      </c>
      <c r="W220" s="45">
        <f>IFERROR(IF($A220="","",$H220+$I220),"")</f>
        <v/>
      </c>
      <c r="X220" s="45">
        <f>IFERROR(IF($A220="","",$H220*IF($J220="",'Assumptions'!$B$4,$J220)),"")</f>
        <v/>
      </c>
      <c r="Y220" s="45">
        <f>IFERROR(IF($A220="","",$X220*IF($K220="",'Assumptions'!$B$12,$K220)),"")</f>
        <v/>
      </c>
      <c r="Z220" s="45">
        <f>IFERROR(IF($A220="","",($X220+$Y220)*IF($L220="",'Assumptions'!$B$13,$L220)),"")</f>
        <v/>
      </c>
      <c r="AA220" s="45">
        <f>IFERROR(IF($A220="","",$X220+$Y220+$Z220),"")</f>
        <v/>
      </c>
      <c r="AB220" s="45">
        <f>IFERROR(IF($A220="","",$V220*'Assumptions'!$B$5),"")</f>
        <v/>
      </c>
      <c r="AC220" s="45">
        <f>IFERROR(IF($A220="","",$I220*'Assumptions'!$B$6),"")</f>
        <v/>
      </c>
      <c r="AD220" s="45">
        <f>IFERROR(IF($A220="","",$AB220+$AC220),"")</f>
        <v/>
      </c>
      <c r="AE220" s="45">
        <f>IFERROR(IF($A220="","",($M220+$N220)*'Assumptions'!$B$7),"")</f>
        <v/>
      </c>
      <c r="AF220" s="45">
        <f>IFERROR(IF($A220="","",($Q220/60)*'Assumptions'!$B$8),"")</f>
        <v/>
      </c>
      <c r="AG220" s="45">
        <f>IFERROR(IF($A220="","",$P220+$AE220+$AF220),"")</f>
        <v/>
      </c>
      <c r="AH220" s="45">
        <f>IFERROR(IF($A220="","",$M220+$O220),"")</f>
        <v/>
      </c>
      <c r="AI220" s="46">
        <f>IFERROR(IF($A220="","",IFERROR($AH220/$W220,0)),"")</f>
        <v/>
      </c>
      <c r="AJ220" s="45">
        <f>IFERROR(IF($A220="","",$W220-$AH220-$AD220+$AG220),"")</f>
        <v/>
      </c>
      <c r="AK220" s="47">
        <f>IFERROR(IF($A220="","",IF(OR($S220="Collected",$S220="Waived",$S220="Uncollectible",$S220="No Charge Due"),"",IF($T220="",$B220+'Assumptions'!$B$9,$T220+'Assumptions'!$B$9))),"")</f>
        <v/>
      </c>
      <c r="AL220" s="48">
        <f>IFERROR(IF($A220="","",IF(OR($S220="Collected",$S220="Waived",$S220="Uncollectible",$S220="No Charge Due"),"Closed",IF($AK220&lt;TODAY(),"Overdue",IF($AK220=TODAY(),"Due","Open")))),"")</f>
        <v/>
      </c>
      <c r="AM220" s="49">
        <f>IFERROR(IF($A220="","",IF(COUNTIF($A$5:$A$504,$A220)&gt;1,"Duplicate reservation ID",IF($C220&lt;=$B220,"Check stay dates",IF($G220&gt;$F220,"Resold nights exceed booked nights",IF($M220+$N220&gt;$AA220+0.01,"Collection exceeds expected amount",IF(AND($S220="Collected",$M220=0),"Collected status has no amount",IF($AJ220&gt;='Assumptions'!$B$10,"High-cost review","OK"))))))),"")</f>
        <v/>
      </c>
    </row>
    <row r="221">
      <c r="A221" s="38" t="n"/>
      <c r="B221" s="39" t="n"/>
      <c r="C221" s="39" t="n"/>
      <c r="D221" s="38" t="n"/>
      <c r="E221" s="38" t="n"/>
      <c r="F221" s="40" t="n"/>
      <c r="G221" s="40" t="n"/>
      <c r="H221" s="41" t="n"/>
      <c r="I221" s="41" t="n"/>
      <c r="J221" s="42" t="n"/>
      <c r="K221" s="42" t="n"/>
      <c r="L221" s="42" t="n"/>
      <c r="M221" s="41" t="n"/>
      <c r="N221" s="41" t="n"/>
      <c r="O221" s="41" t="n"/>
      <c r="P221" s="41" t="n"/>
      <c r="Q221" s="40" t="n"/>
      <c r="R221" s="38" t="n"/>
      <c r="S221" s="38" t="n"/>
      <c r="T221" s="39" t="n"/>
      <c r="U221" s="43" t="n"/>
      <c r="V221" s="44">
        <f>IFERROR(IF($A221="","",MAX($F221-$G221,0)),"")</f>
        <v/>
      </c>
      <c r="W221" s="45">
        <f>IFERROR(IF($A221="","",$H221+$I221),"")</f>
        <v/>
      </c>
      <c r="X221" s="45">
        <f>IFERROR(IF($A221="","",$H221*IF($J221="",'Assumptions'!$B$4,$J221)),"")</f>
        <v/>
      </c>
      <c r="Y221" s="45">
        <f>IFERROR(IF($A221="","",$X221*IF($K221="",'Assumptions'!$B$12,$K221)),"")</f>
        <v/>
      </c>
      <c r="Z221" s="45">
        <f>IFERROR(IF($A221="","",($X221+$Y221)*IF($L221="",'Assumptions'!$B$13,$L221)),"")</f>
        <v/>
      </c>
      <c r="AA221" s="45">
        <f>IFERROR(IF($A221="","",$X221+$Y221+$Z221),"")</f>
        <v/>
      </c>
      <c r="AB221" s="45">
        <f>IFERROR(IF($A221="","",$V221*'Assumptions'!$B$5),"")</f>
        <v/>
      </c>
      <c r="AC221" s="45">
        <f>IFERROR(IF($A221="","",$I221*'Assumptions'!$B$6),"")</f>
        <v/>
      </c>
      <c r="AD221" s="45">
        <f>IFERROR(IF($A221="","",$AB221+$AC221),"")</f>
        <v/>
      </c>
      <c r="AE221" s="45">
        <f>IFERROR(IF($A221="","",($M221+$N221)*'Assumptions'!$B$7),"")</f>
        <v/>
      </c>
      <c r="AF221" s="45">
        <f>IFERROR(IF($A221="","",($Q221/60)*'Assumptions'!$B$8),"")</f>
        <v/>
      </c>
      <c r="AG221" s="45">
        <f>IFERROR(IF($A221="","",$P221+$AE221+$AF221),"")</f>
        <v/>
      </c>
      <c r="AH221" s="45">
        <f>IFERROR(IF($A221="","",$M221+$O221),"")</f>
        <v/>
      </c>
      <c r="AI221" s="46">
        <f>IFERROR(IF($A221="","",IFERROR($AH221/$W221,0)),"")</f>
        <v/>
      </c>
      <c r="AJ221" s="45">
        <f>IFERROR(IF($A221="","",$W221-$AH221-$AD221+$AG221),"")</f>
        <v/>
      </c>
      <c r="AK221" s="47">
        <f>IFERROR(IF($A221="","",IF(OR($S221="Collected",$S221="Waived",$S221="Uncollectible",$S221="No Charge Due"),"",IF($T221="",$B221+'Assumptions'!$B$9,$T221+'Assumptions'!$B$9))),"")</f>
        <v/>
      </c>
      <c r="AL221" s="48">
        <f>IFERROR(IF($A221="","",IF(OR($S221="Collected",$S221="Waived",$S221="Uncollectible",$S221="No Charge Due"),"Closed",IF($AK221&lt;TODAY(),"Overdue",IF($AK221=TODAY(),"Due","Open")))),"")</f>
        <v/>
      </c>
      <c r="AM221" s="49">
        <f>IFERROR(IF($A221="","",IF(COUNTIF($A$5:$A$504,$A221)&gt;1,"Duplicate reservation ID",IF($C221&lt;=$B221,"Check stay dates",IF($G221&gt;$F221,"Resold nights exceed booked nights",IF($M221+$N221&gt;$AA221+0.01,"Collection exceeds expected amount",IF(AND($S221="Collected",$M221=0),"Collected status has no amount",IF($AJ221&gt;='Assumptions'!$B$10,"High-cost review","OK"))))))),"")</f>
        <v/>
      </c>
    </row>
    <row r="222">
      <c r="A222" s="38" t="n"/>
      <c r="B222" s="39" t="n"/>
      <c r="C222" s="39" t="n"/>
      <c r="D222" s="38" t="n"/>
      <c r="E222" s="38" t="n"/>
      <c r="F222" s="40" t="n"/>
      <c r="G222" s="40" t="n"/>
      <c r="H222" s="41" t="n"/>
      <c r="I222" s="41" t="n"/>
      <c r="J222" s="42" t="n"/>
      <c r="K222" s="42" t="n"/>
      <c r="L222" s="42" t="n"/>
      <c r="M222" s="41" t="n"/>
      <c r="N222" s="41" t="n"/>
      <c r="O222" s="41" t="n"/>
      <c r="P222" s="41" t="n"/>
      <c r="Q222" s="40" t="n"/>
      <c r="R222" s="38" t="n"/>
      <c r="S222" s="38" t="n"/>
      <c r="T222" s="39" t="n"/>
      <c r="U222" s="43" t="n"/>
      <c r="V222" s="44">
        <f>IFERROR(IF($A222="","",MAX($F222-$G222,0)),"")</f>
        <v/>
      </c>
      <c r="W222" s="45">
        <f>IFERROR(IF($A222="","",$H222+$I222),"")</f>
        <v/>
      </c>
      <c r="X222" s="45">
        <f>IFERROR(IF($A222="","",$H222*IF($J222="",'Assumptions'!$B$4,$J222)),"")</f>
        <v/>
      </c>
      <c r="Y222" s="45">
        <f>IFERROR(IF($A222="","",$X222*IF($K222="",'Assumptions'!$B$12,$K222)),"")</f>
        <v/>
      </c>
      <c r="Z222" s="45">
        <f>IFERROR(IF($A222="","",($X222+$Y222)*IF($L222="",'Assumptions'!$B$13,$L222)),"")</f>
        <v/>
      </c>
      <c r="AA222" s="45">
        <f>IFERROR(IF($A222="","",$X222+$Y222+$Z222),"")</f>
        <v/>
      </c>
      <c r="AB222" s="45">
        <f>IFERROR(IF($A222="","",$V222*'Assumptions'!$B$5),"")</f>
        <v/>
      </c>
      <c r="AC222" s="45">
        <f>IFERROR(IF($A222="","",$I222*'Assumptions'!$B$6),"")</f>
        <v/>
      </c>
      <c r="AD222" s="45">
        <f>IFERROR(IF($A222="","",$AB222+$AC222),"")</f>
        <v/>
      </c>
      <c r="AE222" s="45">
        <f>IFERROR(IF($A222="","",($M222+$N222)*'Assumptions'!$B$7),"")</f>
        <v/>
      </c>
      <c r="AF222" s="45">
        <f>IFERROR(IF($A222="","",($Q222/60)*'Assumptions'!$B$8),"")</f>
        <v/>
      </c>
      <c r="AG222" s="45">
        <f>IFERROR(IF($A222="","",$P222+$AE222+$AF222),"")</f>
        <v/>
      </c>
      <c r="AH222" s="45">
        <f>IFERROR(IF($A222="","",$M222+$O222),"")</f>
        <v/>
      </c>
      <c r="AI222" s="46">
        <f>IFERROR(IF($A222="","",IFERROR($AH222/$W222,0)),"")</f>
        <v/>
      </c>
      <c r="AJ222" s="45">
        <f>IFERROR(IF($A222="","",$W222-$AH222-$AD222+$AG222),"")</f>
        <v/>
      </c>
      <c r="AK222" s="47">
        <f>IFERROR(IF($A222="","",IF(OR($S222="Collected",$S222="Waived",$S222="Uncollectible",$S222="No Charge Due"),"",IF($T222="",$B222+'Assumptions'!$B$9,$T222+'Assumptions'!$B$9))),"")</f>
        <v/>
      </c>
      <c r="AL222" s="48">
        <f>IFERROR(IF($A222="","",IF(OR($S222="Collected",$S222="Waived",$S222="Uncollectible",$S222="No Charge Due"),"Closed",IF($AK222&lt;TODAY(),"Overdue",IF($AK222=TODAY(),"Due","Open")))),"")</f>
        <v/>
      </c>
      <c r="AM222" s="49">
        <f>IFERROR(IF($A222="","",IF(COUNTIF($A$5:$A$504,$A222)&gt;1,"Duplicate reservation ID",IF($C222&lt;=$B222,"Check stay dates",IF($G222&gt;$F222,"Resold nights exceed booked nights",IF($M222+$N222&gt;$AA222+0.01,"Collection exceeds expected amount",IF(AND($S222="Collected",$M222=0),"Collected status has no amount",IF($AJ222&gt;='Assumptions'!$B$10,"High-cost review","OK"))))))),"")</f>
        <v/>
      </c>
    </row>
    <row r="223">
      <c r="A223" s="38" t="n"/>
      <c r="B223" s="39" t="n"/>
      <c r="C223" s="39" t="n"/>
      <c r="D223" s="38" t="n"/>
      <c r="E223" s="38" t="n"/>
      <c r="F223" s="40" t="n"/>
      <c r="G223" s="40" t="n"/>
      <c r="H223" s="41" t="n"/>
      <c r="I223" s="41" t="n"/>
      <c r="J223" s="42" t="n"/>
      <c r="K223" s="42" t="n"/>
      <c r="L223" s="42" t="n"/>
      <c r="M223" s="41" t="n"/>
      <c r="N223" s="41" t="n"/>
      <c r="O223" s="41" t="n"/>
      <c r="P223" s="41" t="n"/>
      <c r="Q223" s="40" t="n"/>
      <c r="R223" s="38" t="n"/>
      <c r="S223" s="38" t="n"/>
      <c r="T223" s="39" t="n"/>
      <c r="U223" s="43" t="n"/>
      <c r="V223" s="44">
        <f>IFERROR(IF($A223="","",MAX($F223-$G223,0)),"")</f>
        <v/>
      </c>
      <c r="W223" s="45">
        <f>IFERROR(IF($A223="","",$H223+$I223),"")</f>
        <v/>
      </c>
      <c r="X223" s="45">
        <f>IFERROR(IF($A223="","",$H223*IF($J223="",'Assumptions'!$B$4,$J223)),"")</f>
        <v/>
      </c>
      <c r="Y223" s="45">
        <f>IFERROR(IF($A223="","",$X223*IF($K223="",'Assumptions'!$B$12,$K223)),"")</f>
        <v/>
      </c>
      <c r="Z223" s="45">
        <f>IFERROR(IF($A223="","",($X223+$Y223)*IF($L223="",'Assumptions'!$B$13,$L223)),"")</f>
        <v/>
      </c>
      <c r="AA223" s="45">
        <f>IFERROR(IF($A223="","",$X223+$Y223+$Z223),"")</f>
        <v/>
      </c>
      <c r="AB223" s="45">
        <f>IFERROR(IF($A223="","",$V223*'Assumptions'!$B$5),"")</f>
        <v/>
      </c>
      <c r="AC223" s="45">
        <f>IFERROR(IF($A223="","",$I223*'Assumptions'!$B$6),"")</f>
        <v/>
      </c>
      <c r="AD223" s="45">
        <f>IFERROR(IF($A223="","",$AB223+$AC223),"")</f>
        <v/>
      </c>
      <c r="AE223" s="45">
        <f>IFERROR(IF($A223="","",($M223+$N223)*'Assumptions'!$B$7),"")</f>
        <v/>
      </c>
      <c r="AF223" s="45">
        <f>IFERROR(IF($A223="","",($Q223/60)*'Assumptions'!$B$8),"")</f>
        <v/>
      </c>
      <c r="AG223" s="45">
        <f>IFERROR(IF($A223="","",$P223+$AE223+$AF223),"")</f>
        <v/>
      </c>
      <c r="AH223" s="45">
        <f>IFERROR(IF($A223="","",$M223+$O223),"")</f>
        <v/>
      </c>
      <c r="AI223" s="46">
        <f>IFERROR(IF($A223="","",IFERROR($AH223/$W223,0)),"")</f>
        <v/>
      </c>
      <c r="AJ223" s="45">
        <f>IFERROR(IF($A223="","",$W223-$AH223-$AD223+$AG223),"")</f>
        <v/>
      </c>
      <c r="AK223" s="47">
        <f>IFERROR(IF($A223="","",IF(OR($S223="Collected",$S223="Waived",$S223="Uncollectible",$S223="No Charge Due"),"",IF($T223="",$B223+'Assumptions'!$B$9,$T223+'Assumptions'!$B$9))),"")</f>
        <v/>
      </c>
      <c r="AL223" s="48">
        <f>IFERROR(IF($A223="","",IF(OR($S223="Collected",$S223="Waived",$S223="Uncollectible",$S223="No Charge Due"),"Closed",IF($AK223&lt;TODAY(),"Overdue",IF($AK223=TODAY(),"Due","Open")))),"")</f>
        <v/>
      </c>
      <c r="AM223" s="49">
        <f>IFERROR(IF($A223="","",IF(COUNTIF($A$5:$A$504,$A223)&gt;1,"Duplicate reservation ID",IF($C223&lt;=$B223,"Check stay dates",IF($G223&gt;$F223,"Resold nights exceed booked nights",IF($M223+$N223&gt;$AA223+0.01,"Collection exceeds expected amount",IF(AND($S223="Collected",$M223=0),"Collected status has no amount",IF($AJ223&gt;='Assumptions'!$B$10,"High-cost review","OK"))))))),"")</f>
        <v/>
      </c>
    </row>
    <row r="224">
      <c r="A224" s="38" t="n"/>
      <c r="B224" s="39" t="n"/>
      <c r="C224" s="39" t="n"/>
      <c r="D224" s="38" t="n"/>
      <c r="E224" s="38" t="n"/>
      <c r="F224" s="40" t="n"/>
      <c r="G224" s="40" t="n"/>
      <c r="H224" s="41" t="n"/>
      <c r="I224" s="41" t="n"/>
      <c r="J224" s="42" t="n"/>
      <c r="K224" s="42" t="n"/>
      <c r="L224" s="42" t="n"/>
      <c r="M224" s="41" t="n"/>
      <c r="N224" s="41" t="n"/>
      <c r="O224" s="41" t="n"/>
      <c r="P224" s="41" t="n"/>
      <c r="Q224" s="40" t="n"/>
      <c r="R224" s="38" t="n"/>
      <c r="S224" s="38" t="n"/>
      <c r="T224" s="39" t="n"/>
      <c r="U224" s="43" t="n"/>
      <c r="V224" s="44">
        <f>IFERROR(IF($A224="","",MAX($F224-$G224,0)),"")</f>
        <v/>
      </c>
      <c r="W224" s="45">
        <f>IFERROR(IF($A224="","",$H224+$I224),"")</f>
        <v/>
      </c>
      <c r="X224" s="45">
        <f>IFERROR(IF($A224="","",$H224*IF($J224="",'Assumptions'!$B$4,$J224)),"")</f>
        <v/>
      </c>
      <c r="Y224" s="45">
        <f>IFERROR(IF($A224="","",$X224*IF($K224="",'Assumptions'!$B$12,$K224)),"")</f>
        <v/>
      </c>
      <c r="Z224" s="45">
        <f>IFERROR(IF($A224="","",($X224+$Y224)*IF($L224="",'Assumptions'!$B$13,$L224)),"")</f>
        <v/>
      </c>
      <c r="AA224" s="45">
        <f>IFERROR(IF($A224="","",$X224+$Y224+$Z224),"")</f>
        <v/>
      </c>
      <c r="AB224" s="45">
        <f>IFERROR(IF($A224="","",$V224*'Assumptions'!$B$5),"")</f>
        <v/>
      </c>
      <c r="AC224" s="45">
        <f>IFERROR(IF($A224="","",$I224*'Assumptions'!$B$6),"")</f>
        <v/>
      </c>
      <c r="AD224" s="45">
        <f>IFERROR(IF($A224="","",$AB224+$AC224),"")</f>
        <v/>
      </c>
      <c r="AE224" s="45">
        <f>IFERROR(IF($A224="","",($M224+$N224)*'Assumptions'!$B$7),"")</f>
        <v/>
      </c>
      <c r="AF224" s="45">
        <f>IFERROR(IF($A224="","",($Q224/60)*'Assumptions'!$B$8),"")</f>
        <v/>
      </c>
      <c r="AG224" s="45">
        <f>IFERROR(IF($A224="","",$P224+$AE224+$AF224),"")</f>
        <v/>
      </c>
      <c r="AH224" s="45">
        <f>IFERROR(IF($A224="","",$M224+$O224),"")</f>
        <v/>
      </c>
      <c r="AI224" s="46">
        <f>IFERROR(IF($A224="","",IFERROR($AH224/$W224,0)),"")</f>
        <v/>
      </c>
      <c r="AJ224" s="45">
        <f>IFERROR(IF($A224="","",$W224-$AH224-$AD224+$AG224),"")</f>
        <v/>
      </c>
      <c r="AK224" s="47">
        <f>IFERROR(IF($A224="","",IF(OR($S224="Collected",$S224="Waived",$S224="Uncollectible",$S224="No Charge Due"),"",IF($T224="",$B224+'Assumptions'!$B$9,$T224+'Assumptions'!$B$9))),"")</f>
        <v/>
      </c>
      <c r="AL224" s="48">
        <f>IFERROR(IF($A224="","",IF(OR($S224="Collected",$S224="Waived",$S224="Uncollectible",$S224="No Charge Due"),"Closed",IF($AK224&lt;TODAY(),"Overdue",IF($AK224=TODAY(),"Due","Open")))),"")</f>
        <v/>
      </c>
      <c r="AM224" s="49">
        <f>IFERROR(IF($A224="","",IF(COUNTIF($A$5:$A$504,$A224)&gt;1,"Duplicate reservation ID",IF($C224&lt;=$B224,"Check stay dates",IF($G224&gt;$F224,"Resold nights exceed booked nights",IF($M224+$N224&gt;$AA224+0.01,"Collection exceeds expected amount",IF(AND($S224="Collected",$M224=0),"Collected status has no amount",IF($AJ224&gt;='Assumptions'!$B$10,"High-cost review","OK"))))))),"")</f>
        <v/>
      </c>
    </row>
    <row r="225">
      <c r="A225" s="38" t="n"/>
      <c r="B225" s="39" t="n"/>
      <c r="C225" s="39" t="n"/>
      <c r="D225" s="38" t="n"/>
      <c r="E225" s="38" t="n"/>
      <c r="F225" s="40" t="n"/>
      <c r="G225" s="40" t="n"/>
      <c r="H225" s="41" t="n"/>
      <c r="I225" s="41" t="n"/>
      <c r="J225" s="42" t="n"/>
      <c r="K225" s="42" t="n"/>
      <c r="L225" s="42" t="n"/>
      <c r="M225" s="41" t="n"/>
      <c r="N225" s="41" t="n"/>
      <c r="O225" s="41" t="n"/>
      <c r="P225" s="41" t="n"/>
      <c r="Q225" s="40" t="n"/>
      <c r="R225" s="38" t="n"/>
      <c r="S225" s="38" t="n"/>
      <c r="T225" s="39" t="n"/>
      <c r="U225" s="43" t="n"/>
      <c r="V225" s="44">
        <f>IFERROR(IF($A225="","",MAX($F225-$G225,0)),"")</f>
        <v/>
      </c>
      <c r="W225" s="45">
        <f>IFERROR(IF($A225="","",$H225+$I225),"")</f>
        <v/>
      </c>
      <c r="X225" s="45">
        <f>IFERROR(IF($A225="","",$H225*IF($J225="",'Assumptions'!$B$4,$J225)),"")</f>
        <v/>
      </c>
      <c r="Y225" s="45">
        <f>IFERROR(IF($A225="","",$X225*IF($K225="",'Assumptions'!$B$12,$K225)),"")</f>
        <v/>
      </c>
      <c r="Z225" s="45">
        <f>IFERROR(IF($A225="","",($X225+$Y225)*IF($L225="",'Assumptions'!$B$13,$L225)),"")</f>
        <v/>
      </c>
      <c r="AA225" s="45">
        <f>IFERROR(IF($A225="","",$X225+$Y225+$Z225),"")</f>
        <v/>
      </c>
      <c r="AB225" s="45">
        <f>IFERROR(IF($A225="","",$V225*'Assumptions'!$B$5),"")</f>
        <v/>
      </c>
      <c r="AC225" s="45">
        <f>IFERROR(IF($A225="","",$I225*'Assumptions'!$B$6),"")</f>
        <v/>
      </c>
      <c r="AD225" s="45">
        <f>IFERROR(IF($A225="","",$AB225+$AC225),"")</f>
        <v/>
      </c>
      <c r="AE225" s="45">
        <f>IFERROR(IF($A225="","",($M225+$N225)*'Assumptions'!$B$7),"")</f>
        <v/>
      </c>
      <c r="AF225" s="45">
        <f>IFERROR(IF($A225="","",($Q225/60)*'Assumptions'!$B$8),"")</f>
        <v/>
      </c>
      <c r="AG225" s="45">
        <f>IFERROR(IF($A225="","",$P225+$AE225+$AF225),"")</f>
        <v/>
      </c>
      <c r="AH225" s="45">
        <f>IFERROR(IF($A225="","",$M225+$O225),"")</f>
        <v/>
      </c>
      <c r="AI225" s="46">
        <f>IFERROR(IF($A225="","",IFERROR($AH225/$W225,0)),"")</f>
        <v/>
      </c>
      <c r="AJ225" s="45">
        <f>IFERROR(IF($A225="","",$W225-$AH225-$AD225+$AG225),"")</f>
        <v/>
      </c>
      <c r="AK225" s="47">
        <f>IFERROR(IF($A225="","",IF(OR($S225="Collected",$S225="Waived",$S225="Uncollectible",$S225="No Charge Due"),"",IF($T225="",$B225+'Assumptions'!$B$9,$T225+'Assumptions'!$B$9))),"")</f>
        <v/>
      </c>
      <c r="AL225" s="48">
        <f>IFERROR(IF($A225="","",IF(OR($S225="Collected",$S225="Waived",$S225="Uncollectible",$S225="No Charge Due"),"Closed",IF($AK225&lt;TODAY(),"Overdue",IF($AK225=TODAY(),"Due","Open")))),"")</f>
        <v/>
      </c>
      <c r="AM225" s="49">
        <f>IFERROR(IF($A225="","",IF(COUNTIF($A$5:$A$504,$A225)&gt;1,"Duplicate reservation ID",IF($C225&lt;=$B225,"Check stay dates",IF($G225&gt;$F225,"Resold nights exceed booked nights",IF($M225+$N225&gt;$AA225+0.01,"Collection exceeds expected amount",IF(AND($S225="Collected",$M225=0),"Collected status has no amount",IF($AJ225&gt;='Assumptions'!$B$10,"High-cost review","OK"))))))),"")</f>
        <v/>
      </c>
    </row>
    <row r="226">
      <c r="A226" s="38" t="n"/>
      <c r="B226" s="39" t="n"/>
      <c r="C226" s="39" t="n"/>
      <c r="D226" s="38" t="n"/>
      <c r="E226" s="38" t="n"/>
      <c r="F226" s="40" t="n"/>
      <c r="G226" s="40" t="n"/>
      <c r="H226" s="41" t="n"/>
      <c r="I226" s="41" t="n"/>
      <c r="J226" s="42" t="n"/>
      <c r="K226" s="42" t="n"/>
      <c r="L226" s="42" t="n"/>
      <c r="M226" s="41" t="n"/>
      <c r="N226" s="41" t="n"/>
      <c r="O226" s="41" t="n"/>
      <c r="P226" s="41" t="n"/>
      <c r="Q226" s="40" t="n"/>
      <c r="R226" s="38" t="n"/>
      <c r="S226" s="38" t="n"/>
      <c r="T226" s="39" t="n"/>
      <c r="U226" s="43" t="n"/>
      <c r="V226" s="44">
        <f>IFERROR(IF($A226="","",MAX($F226-$G226,0)),"")</f>
        <v/>
      </c>
      <c r="W226" s="45">
        <f>IFERROR(IF($A226="","",$H226+$I226),"")</f>
        <v/>
      </c>
      <c r="X226" s="45">
        <f>IFERROR(IF($A226="","",$H226*IF($J226="",'Assumptions'!$B$4,$J226)),"")</f>
        <v/>
      </c>
      <c r="Y226" s="45">
        <f>IFERROR(IF($A226="","",$X226*IF($K226="",'Assumptions'!$B$12,$K226)),"")</f>
        <v/>
      </c>
      <c r="Z226" s="45">
        <f>IFERROR(IF($A226="","",($X226+$Y226)*IF($L226="",'Assumptions'!$B$13,$L226)),"")</f>
        <v/>
      </c>
      <c r="AA226" s="45">
        <f>IFERROR(IF($A226="","",$X226+$Y226+$Z226),"")</f>
        <v/>
      </c>
      <c r="AB226" s="45">
        <f>IFERROR(IF($A226="","",$V226*'Assumptions'!$B$5),"")</f>
        <v/>
      </c>
      <c r="AC226" s="45">
        <f>IFERROR(IF($A226="","",$I226*'Assumptions'!$B$6),"")</f>
        <v/>
      </c>
      <c r="AD226" s="45">
        <f>IFERROR(IF($A226="","",$AB226+$AC226),"")</f>
        <v/>
      </c>
      <c r="AE226" s="45">
        <f>IFERROR(IF($A226="","",($M226+$N226)*'Assumptions'!$B$7),"")</f>
        <v/>
      </c>
      <c r="AF226" s="45">
        <f>IFERROR(IF($A226="","",($Q226/60)*'Assumptions'!$B$8),"")</f>
        <v/>
      </c>
      <c r="AG226" s="45">
        <f>IFERROR(IF($A226="","",$P226+$AE226+$AF226),"")</f>
        <v/>
      </c>
      <c r="AH226" s="45">
        <f>IFERROR(IF($A226="","",$M226+$O226),"")</f>
        <v/>
      </c>
      <c r="AI226" s="46">
        <f>IFERROR(IF($A226="","",IFERROR($AH226/$W226,0)),"")</f>
        <v/>
      </c>
      <c r="AJ226" s="45">
        <f>IFERROR(IF($A226="","",$W226-$AH226-$AD226+$AG226),"")</f>
        <v/>
      </c>
      <c r="AK226" s="47">
        <f>IFERROR(IF($A226="","",IF(OR($S226="Collected",$S226="Waived",$S226="Uncollectible",$S226="No Charge Due"),"",IF($T226="",$B226+'Assumptions'!$B$9,$T226+'Assumptions'!$B$9))),"")</f>
        <v/>
      </c>
      <c r="AL226" s="48">
        <f>IFERROR(IF($A226="","",IF(OR($S226="Collected",$S226="Waived",$S226="Uncollectible",$S226="No Charge Due"),"Closed",IF($AK226&lt;TODAY(),"Overdue",IF($AK226=TODAY(),"Due","Open")))),"")</f>
        <v/>
      </c>
      <c r="AM226" s="49">
        <f>IFERROR(IF($A226="","",IF(COUNTIF($A$5:$A$504,$A226)&gt;1,"Duplicate reservation ID",IF($C226&lt;=$B226,"Check stay dates",IF($G226&gt;$F226,"Resold nights exceed booked nights",IF($M226+$N226&gt;$AA226+0.01,"Collection exceeds expected amount",IF(AND($S226="Collected",$M226=0),"Collected status has no amount",IF($AJ226&gt;='Assumptions'!$B$10,"High-cost review","OK"))))))),"")</f>
        <v/>
      </c>
    </row>
    <row r="227">
      <c r="A227" s="38" t="n"/>
      <c r="B227" s="39" t="n"/>
      <c r="C227" s="39" t="n"/>
      <c r="D227" s="38" t="n"/>
      <c r="E227" s="38" t="n"/>
      <c r="F227" s="40" t="n"/>
      <c r="G227" s="40" t="n"/>
      <c r="H227" s="41" t="n"/>
      <c r="I227" s="41" t="n"/>
      <c r="J227" s="42" t="n"/>
      <c r="K227" s="42" t="n"/>
      <c r="L227" s="42" t="n"/>
      <c r="M227" s="41" t="n"/>
      <c r="N227" s="41" t="n"/>
      <c r="O227" s="41" t="n"/>
      <c r="P227" s="41" t="n"/>
      <c r="Q227" s="40" t="n"/>
      <c r="R227" s="38" t="n"/>
      <c r="S227" s="38" t="n"/>
      <c r="T227" s="39" t="n"/>
      <c r="U227" s="43" t="n"/>
      <c r="V227" s="44">
        <f>IFERROR(IF($A227="","",MAX($F227-$G227,0)),"")</f>
        <v/>
      </c>
      <c r="W227" s="45">
        <f>IFERROR(IF($A227="","",$H227+$I227),"")</f>
        <v/>
      </c>
      <c r="X227" s="45">
        <f>IFERROR(IF($A227="","",$H227*IF($J227="",'Assumptions'!$B$4,$J227)),"")</f>
        <v/>
      </c>
      <c r="Y227" s="45">
        <f>IFERROR(IF($A227="","",$X227*IF($K227="",'Assumptions'!$B$12,$K227)),"")</f>
        <v/>
      </c>
      <c r="Z227" s="45">
        <f>IFERROR(IF($A227="","",($X227+$Y227)*IF($L227="",'Assumptions'!$B$13,$L227)),"")</f>
        <v/>
      </c>
      <c r="AA227" s="45">
        <f>IFERROR(IF($A227="","",$X227+$Y227+$Z227),"")</f>
        <v/>
      </c>
      <c r="AB227" s="45">
        <f>IFERROR(IF($A227="","",$V227*'Assumptions'!$B$5),"")</f>
        <v/>
      </c>
      <c r="AC227" s="45">
        <f>IFERROR(IF($A227="","",$I227*'Assumptions'!$B$6),"")</f>
        <v/>
      </c>
      <c r="AD227" s="45">
        <f>IFERROR(IF($A227="","",$AB227+$AC227),"")</f>
        <v/>
      </c>
      <c r="AE227" s="45">
        <f>IFERROR(IF($A227="","",($M227+$N227)*'Assumptions'!$B$7),"")</f>
        <v/>
      </c>
      <c r="AF227" s="45">
        <f>IFERROR(IF($A227="","",($Q227/60)*'Assumptions'!$B$8),"")</f>
        <v/>
      </c>
      <c r="AG227" s="45">
        <f>IFERROR(IF($A227="","",$P227+$AE227+$AF227),"")</f>
        <v/>
      </c>
      <c r="AH227" s="45">
        <f>IFERROR(IF($A227="","",$M227+$O227),"")</f>
        <v/>
      </c>
      <c r="AI227" s="46">
        <f>IFERROR(IF($A227="","",IFERROR($AH227/$W227,0)),"")</f>
        <v/>
      </c>
      <c r="AJ227" s="45">
        <f>IFERROR(IF($A227="","",$W227-$AH227-$AD227+$AG227),"")</f>
        <v/>
      </c>
      <c r="AK227" s="47">
        <f>IFERROR(IF($A227="","",IF(OR($S227="Collected",$S227="Waived",$S227="Uncollectible",$S227="No Charge Due"),"",IF($T227="",$B227+'Assumptions'!$B$9,$T227+'Assumptions'!$B$9))),"")</f>
        <v/>
      </c>
      <c r="AL227" s="48">
        <f>IFERROR(IF($A227="","",IF(OR($S227="Collected",$S227="Waived",$S227="Uncollectible",$S227="No Charge Due"),"Closed",IF($AK227&lt;TODAY(),"Overdue",IF($AK227=TODAY(),"Due","Open")))),"")</f>
        <v/>
      </c>
      <c r="AM227" s="49">
        <f>IFERROR(IF($A227="","",IF(COUNTIF($A$5:$A$504,$A227)&gt;1,"Duplicate reservation ID",IF($C227&lt;=$B227,"Check stay dates",IF($G227&gt;$F227,"Resold nights exceed booked nights",IF($M227+$N227&gt;$AA227+0.01,"Collection exceeds expected amount",IF(AND($S227="Collected",$M227=0),"Collected status has no amount",IF($AJ227&gt;='Assumptions'!$B$10,"High-cost review","OK"))))))),"")</f>
        <v/>
      </c>
    </row>
    <row r="228">
      <c r="A228" s="38" t="n"/>
      <c r="B228" s="39" t="n"/>
      <c r="C228" s="39" t="n"/>
      <c r="D228" s="38" t="n"/>
      <c r="E228" s="38" t="n"/>
      <c r="F228" s="40" t="n"/>
      <c r="G228" s="40" t="n"/>
      <c r="H228" s="41" t="n"/>
      <c r="I228" s="41" t="n"/>
      <c r="J228" s="42" t="n"/>
      <c r="K228" s="42" t="n"/>
      <c r="L228" s="42" t="n"/>
      <c r="M228" s="41" t="n"/>
      <c r="N228" s="41" t="n"/>
      <c r="O228" s="41" t="n"/>
      <c r="P228" s="41" t="n"/>
      <c r="Q228" s="40" t="n"/>
      <c r="R228" s="38" t="n"/>
      <c r="S228" s="38" t="n"/>
      <c r="T228" s="39" t="n"/>
      <c r="U228" s="43" t="n"/>
      <c r="V228" s="44">
        <f>IFERROR(IF($A228="","",MAX($F228-$G228,0)),"")</f>
        <v/>
      </c>
      <c r="W228" s="45">
        <f>IFERROR(IF($A228="","",$H228+$I228),"")</f>
        <v/>
      </c>
      <c r="X228" s="45">
        <f>IFERROR(IF($A228="","",$H228*IF($J228="",'Assumptions'!$B$4,$J228)),"")</f>
        <v/>
      </c>
      <c r="Y228" s="45">
        <f>IFERROR(IF($A228="","",$X228*IF($K228="",'Assumptions'!$B$12,$K228)),"")</f>
        <v/>
      </c>
      <c r="Z228" s="45">
        <f>IFERROR(IF($A228="","",($X228+$Y228)*IF($L228="",'Assumptions'!$B$13,$L228)),"")</f>
        <v/>
      </c>
      <c r="AA228" s="45">
        <f>IFERROR(IF($A228="","",$X228+$Y228+$Z228),"")</f>
        <v/>
      </c>
      <c r="AB228" s="45">
        <f>IFERROR(IF($A228="","",$V228*'Assumptions'!$B$5),"")</f>
        <v/>
      </c>
      <c r="AC228" s="45">
        <f>IFERROR(IF($A228="","",$I228*'Assumptions'!$B$6),"")</f>
        <v/>
      </c>
      <c r="AD228" s="45">
        <f>IFERROR(IF($A228="","",$AB228+$AC228),"")</f>
        <v/>
      </c>
      <c r="AE228" s="45">
        <f>IFERROR(IF($A228="","",($M228+$N228)*'Assumptions'!$B$7),"")</f>
        <v/>
      </c>
      <c r="AF228" s="45">
        <f>IFERROR(IF($A228="","",($Q228/60)*'Assumptions'!$B$8),"")</f>
        <v/>
      </c>
      <c r="AG228" s="45">
        <f>IFERROR(IF($A228="","",$P228+$AE228+$AF228),"")</f>
        <v/>
      </c>
      <c r="AH228" s="45">
        <f>IFERROR(IF($A228="","",$M228+$O228),"")</f>
        <v/>
      </c>
      <c r="AI228" s="46">
        <f>IFERROR(IF($A228="","",IFERROR($AH228/$W228,0)),"")</f>
        <v/>
      </c>
      <c r="AJ228" s="45">
        <f>IFERROR(IF($A228="","",$W228-$AH228-$AD228+$AG228),"")</f>
        <v/>
      </c>
      <c r="AK228" s="47">
        <f>IFERROR(IF($A228="","",IF(OR($S228="Collected",$S228="Waived",$S228="Uncollectible",$S228="No Charge Due"),"",IF($T228="",$B228+'Assumptions'!$B$9,$T228+'Assumptions'!$B$9))),"")</f>
        <v/>
      </c>
      <c r="AL228" s="48">
        <f>IFERROR(IF($A228="","",IF(OR($S228="Collected",$S228="Waived",$S228="Uncollectible",$S228="No Charge Due"),"Closed",IF($AK228&lt;TODAY(),"Overdue",IF($AK228=TODAY(),"Due","Open")))),"")</f>
        <v/>
      </c>
      <c r="AM228" s="49">
        <f>IFERROR(IF($A228="","",IF(COUNTIF($A$5:$A$504,$A228)&gt;1,"Duplicate reservation ID",IF($C228&lt;=$B228,"Check stay dates",IF($G228&gt;$F228,"Resold nights exceed booked nights",IF($M228+$N228&gt;$AA228+0.01,"Collection exceeds expected amount",IF(AND($S228="Collected",$M228=0),"Collected status has no amount",IF($AJ228&gt;='Assumptions'!$B$10,"High-cost review","OK"))))))),"")</f>
        <v/>
      </c>
    </row>
    <row r="229">
      <c r="A229" s="38" t="n"/>
      <c r="B229" s="39" t="n"/>
      <c r="C229" s="39" t="n"/>
      <c r="D229" s="38" t="n"/>
      <c r="E229" s="38" t="n"/>
      <c r="F229" s="40" t="n"/>
      <c r="G229" s="40" t="n"/>
      <c r="H229" s="41" t="n"/>
      <c r="I229" s="41" t="n"/>
      <c r="J229" s="42" t="n"/>
      <c r="K229" s="42" t="n"/>
      <c r="L229" s="42" t="n"/>
      <c r="M229" s="41" t="n"/>
      <c r="N229" s="41" t="n"/>
      <c r="O229" s="41" t="n"/>
      <c r="P229" s="41" t="n"/>
      <c r="Q229" s="40" t="n"/>
      <c r="R229" s="38" t="n"/>
      <c r="S229" s="38" t="n"/>
      <c r="T229" s="39" t="n"/>
      <c r="U229" s="43" t="n"/>
      <c r="V229" s="44">
        <f>IFERROR(IF($A229="","",MAX($F229-$G229,0)),"")</f>
        <v/>
      </c>
      <c r="W229" s="45">
        <f>IFERROR(IF($A229="","",$H229+$I229),"")</f>
        <v/>
      </c>
      <c r="X229" s="45">
        <f>IFERROR(IF($A229="","",$H229*IF($J229="",'Assumptions'!$B$4,$J229)),"")</f>
        <v/>
      </c>
      <c r="Y229" s="45">
        <f>IFERROR(IF($A229="","",$X229*IF($K229="",'Assumptions'!$B$12,$K229)),"")</f>
        <v/>
      </c>
      <c r="Z229" s="45">
        <f>IFERROR(IF($A229="","",($X229+$Y229)*IF($L229="",'Assumptions'!$B$13,$L229)),"")</f>
        <v/>
      </c>
      <c r="AA229" s="45">
        <f>IFERROR(IF($A229="","",$X229+$Y229+$Z229),"")</f>
        <v/>
      </c>
      <c r="AB229" s="45">
        <f>IFERROR(IF($A229="","",$V229*'Assumptions'!$B$5),"")</f>
        <v/>
      </c>
      <c r="AC229" s="45">
        <f>IFERROR(IF($A229="","",$I229*'Assumptions'!$B$6),"")</f>
        <v/>
      </c>
      <c r="AD229" s="45">
        <f>IFERROR(IF($A229="","",$AB229+$AC229),"")</f>
        <v/>
      </c>
      <c r="AE229" s="45">
        <f>IFERROR(IF($A229="","",($M229+$N229)*'Assumptions'!$B$7),"")</f>
        <v/>
      </c>
      <c r="AF229" s="45">
        <f>IFERROR(IF($A229="","",($Q229/60)*'Assumptions'!$B$8),"")</f>
        <v/>
      </c>
      <c r="AG229" s="45">
        <f>IFERROR(IF($A229="","",$P229+$AE229+$AF229),"")</f>
        <v/>
      </c>
      <c r="AH229" s="45">
        <f>IFERROR(IF($A229="","",$M229+$O229),"")</f>
        <v/>
      </c>
      <c r="AI229" s="46">
        <f>IFERROR(IF($A229="","",IFERROR($AH229/$W229,0)),"")</f>
        <v/>
      </c>
      <c r="AJ229" s="45">
        <f>IFERROR(IF($A229="","",$W229-$AH229-$AD229+$AG229),"")</f>
        <v/>
      </c>
      <c r="AK229" s="47">
        <f>IFERROR(IF($A229="","",IF(OR($S229="Collected",$S229="Waived",$S229="Uncollectible",$S229="No Charge Due"),"",IF($T229="",$B229+'Assumptions'!$B$9,$T229+'Assumptions'!$B$9))),"")</f>
        <v/>
      </c>
      <c r="AL229" s="48">
        <f>IFERROR(IF($A229="","",IF(OR($S229="Collected",$S229="Waived",$S229="Uncollectible",$S229="No Charge Due"),"Closed",IF($AK229&lt;TODAY(),"Overdue",IF($AK229=TODAY(),"Due","Open")))),"")</f>
        <v/>
      </c>
      <c r="AM229" s="49">
        <f>IFERROR(IF($A229="","",IF(COUNTIF($A$5:$A$504,$A229)&gt;1,"Duplicate reservation ID",IF($C229&lt;=$B229,"Check stay dates",IF($G229&gt;$F229,"Resold nights exceed booked nights",IF($M229+$N229&gt;$AA229+0.01,"Collection exceeds expected amount",IF(AND($S229="Collected",$M229=0),"Collected status has no amount",IF($AJ229&gt;='Assumptions'!$B$10,"High-cost review","OK"))))))),"")</f>
        <v/>
      </c>
    </row>
    <row r="230">
      <c r="A230" s="38" t="n"/>
      <c r="B230" s="39" t="n"/>
      <c r="C230" s="39" t="n"/>
      <c r="D230" s="38" t="n"/>
      <c r="E230" s="38" t="n"/>
      <c r="F230" s="40" t="n"/>
      <c r="G230" s="40" t="n"/>
      <c r="H230" s="41" t="n"/>
      <c r="I230" s="41" t="n"/>
      <c r="J230" s="42" t="n"/>
      <c r="K230" s="42" t="n"/>
      <c r="L230" s="42" t="n"/>
      <c r="M230" s="41" t="n"/>
      <c r="N230" s="41" t="n"/>
      <c r="O230" s="41" t="n"/>
      <c r="P230" s="41" t="n"/>
      <c r="Q230" s="40" t="n"/>
      <c r="R230" s="38" t="n"/>
      <c r="S230" s="38" t="n"/>
      <c r="T230" s="39" t="n"/>
      <c r="U230" s="43" t="n"/>
      <c r="V230" s="44">
        <f>IFERROR(IF($A230="","",MAX($F230-$G230,0)),"")</f>
        <v/>
      </c>
      <c r="W230" s="45">
        <f>IFERROR(IF($A230="","",$H230+$I230),"")</f>
        <v/>
      </c>
      <c r="X230" s="45">
        <f>IFERROR(IF($A230="","",$H230*IF($J230="",'Assumptions'!$B$4,$J230)),"")</f>
        <v/>
      </c>
      <c r="Y230" s="45">
        <f>IFERROR(IF($A230="","",$X230*IF($K230="",'Assumptions'!$B$12,$K230)),"")</f>
        <v/>
      </c>
      <c r="Z230" s="45">
        <f>IFERROR(IF($A230="","",($X230+$Y230)*IF($L230="",'Assumptions'!$B$13,$L230)),"")</f>
        <v/>
      </c>
      <c r="AA230" s="45">
        <f>IFERROR(IF($A230="","",$X230+$Y230+$Z230),"")</f>
        <v/>
      </c>
      <c r="AB230" s="45">
        <f>IFERROR(IF($A230="","",$V230*'Assumptions'!$B$5),"")</f>
        <v/>
      </c>
      <c r="AC230" s="45">
        <f>IFERROR(IF($A230="","",$I230*'Assumptions'!$B$6),"")</f>
        <v/>
      </c>
      <c r="AD230" s="45">
        <f>IFERROR(IF($A230="","",$AB230+$AC230),"")</f>
        <v/>
      </c>
      <c r="AE230" s="45">
        <f>IFERROR(IF($A230="","",($M230+$N230)*'Assumptions'!$B$7),"")</f>
        <v/>
      </c>
      <c r="AF230" s="45">
        <f>IFERROR(IF($A230="","",($Q230/60)*'Assumptions'!$B$8),"")</f>
        <v/>
      </c>
      <c r="AG230" s="45">
        <f>IFERROR(IF($A230="","",$P230+$AE230+$AF230),"")</f>
        <v/>
      </c>
      <c r="AH230" s="45">
        <f>IFERROR(IF($A230="","",$M230+$O230),"")</f>
        <v/>
      </c>
      <c r="AI230" s="46">
        <f>IFERROR(IF($A230="","",IFERROR($AH230/$W230,0)),"")</f>
        <v/>
      </c>
      <c r="AJ230" s="45">
        <f>IFERROR(IF($A230="","",$W230-$AH230-$AD230+$AG230),"")</f>
        <v/>
      </c>
      <c r="AK230" s="47">
        <f>IFERROR(IF($A230="","",IF(OR($S230="Collected",$S230="Waived",$S230="Uncollectible",$S230="No Charge Due"),"",IF($T230="",$B230+'Assumptions'!$B$9,$T230+'Assumptions'!$B$9))),"")</f>
        <v/>
      </c>
      <c r="AL230" s="48">
        <f>IFERROR(IF($A230="","",IF(OR($S230="Collected",$S230="Waived",$S230="Uncollectible",$S230="No Charge Due"),"Closed",IF($AK230&lt;TODAY(),"Overdue",IF($AK230=TODAY(),"Due","Open")))),"")</f>
        <v/>
      </c>
      <c r="AM230" s="49">
        <f>IFERROR(IF($A230="","",IF(COUNTIF($A$5:$A$504,$A230)&gt;1,"Duplicate reservation ID",IF($C230&lt;=$B230,"Check stay dates",IF($G230&gt;$F230,"Resold nights exceed booked nights",IF($M230+$N230&gt;$AA230+0.01,"Collection exceeds expected amount",IF(AND($S230="Collected",$M230=0),"Collected status has no amount",IF($AJ230&gt;='Assumptions'!$B$10,"High-cost review","OK"))))))),"")</f>
        <v/>
      </c>
    </row>
    <row r="231">
      <c r="A231" s="38" t="n"/>
      <c r="B231" s="39" t="n"/>
      <c r="C231" s="39" t="n"/>
      <c r="D231" s="38" t="n"/>
      <c r="E231" s="38" t="n"/>
      <c r="F231" s="40" t="n"/>
      <c r="G231" s="40" t="n"/>
      <c r="H231" s="41" t="n"/>
      <c r="I231" s="41" t="n"/>
      <c r="J231" s="42" t="n"/>
      <c r="K231" s="42" t="n"/>
      <c r="L231" s="42" t="n"/>
      <c r="M231" s="41" t="n"/>
      <c r="N231" s="41" t="n"/>
      <c r="O231" s="41" t="n"/>
      <c r="P231" s="41" t="n"/>
      <c r="Q231" s="40" t="n"/>
      <c r="R231" s="38" t="n"/>
      <c r="S231" s="38" t="n"/>
      <c r="T231" s="39" t="n"/>
      <c r="U231" s="43" t="n"/>
      <c r="V231" s="44">
        <f>IFERROR(IF($A231="","",MAX($F231-$G231,0)),"")</f>
        <v/>
      </c>
      <c r="W231" s="45">
        <f>IFERROR(IF($A231="","",$H231+$I231),"")</f>
        <v/>
      </c>
      <c r="X231" s="45">
        <f>IFERROR(IF($A231="","",$H231*IF($J231="",'Assumptions'!$B$4,$J231)),"")</f>
        <v/>
      </c>
      <c r="Y231" s="45">
        <f>IFERROR(IF($A231="","",$X231*IF($K231="",'Assumptions'!$B$12,$K231)),"")</f>
        <v/>
      </c>
      <c r="Z231" s="45">
        <f>IFERROR(IF($A231="","",($X231+$Y231)*IF($L231="",'Assumptions'!$B$13,$L231)),"")</f>
        <v/>
      </c>
      <c r="AA231" s="45">
        <f>IFERROR(IF($A231="","",$X231+$Y231+$Z231),"")</f>
        <v/>
      </c>
      <c r="AB231" s="45">
        <f>IFERROR(IF($A231="","",$V231*'Assumptions'!$B$5),"")</f>
        <v/>
      </c>
      <c r="AC231" s="45">
        <f>IFERROR(IF($A231="","",$I231*'Assumptions'!$B$6),"")</f>
        <v/>
      </c>
      <c r="AD231" s="45">
        <f>IFERROR(IF($A231="","",$AB231+$AC231),"")</f>
        <v/>
      </c>
      <c r="AE231" s="45">
        <f>IFERROR(IF($A231="","",($M231+$N231)*'Assumptions'!$B$7),"")</f>
        <v/>
      </c>
      <c r="AF231" s="45">
        <f>IFERROR(IF($A231="","",($Q231/60)*'Assumptions'!$B$8),"")</f>
        <v/>
      </c>
      <c r="AG231" s="45">
        <f>IFERROR(IF($A231="","",$P231+$AE231+$AF231),"")</f>
        <v/>
      </c>
      <c r="AH231" s="45">
        <f>IFERROR(IF($A231="","",$M231+$O231),"")</f>
        <v/>
      </c>
      <c r="AI231" s="46">
        <f>IFERROR(IF($A231="","",IFERROR($AH231/$W231,0)),"")</f>
        <v/>
      </c>
      <c r="AJ231" s="45">
        <f>IFERROR(IF($A231="","",$W231-$AH231-$AD231+$AG231),"")</f>
        <v/>
      </c>
      <c r="AK231" s="47">
        <f>IFERROR(IF($A231="","",IF(OR($S231="Collected",$S231="Waived",$S231="Uncollectible",$S231="No Charge Due"),"",IF($T231="",$B231+'Assumptions'!$B$9,$T231+'Assumptions'!$B$9))),"")</f>
        <v/>
      </c>
      <c r="AL231" s="48">
        <f>IFERROR(IF($A231="","",IF(OR($S231="Collected",$S231="Waived",$S231="Uncollectible",$S231="No Charge Due"),"Closed",IF($AK231&lt;TODAY(),"Overdue",IF($AK231=TODAY(),"Due","Open")))),"")</f>
        <v/>
      </c>
      <c r="AM231" s="49">
        <f>IFERROR(IF($A231="","",IF(COUNTIF($A$5:$A$504,$A231)&gt;1,"Duplicate reservation ID",IF($C231&lt;=$B231,"Check stay dates",IF($G231&gt;$F231,"Resold nights exceed booked nights",IF($M231+$N231&gt;$AA231+0.01,"Collection exceeds expected amount",IF(AND($S231="Collected",$M231=0),"Collected status has no amount",IF($AJ231&gt;='Assumptions'!$B$10,"High-cost review","OK"))))))),"")</f>
        <v/>
      </c>
    </row>
    <row r="232">
      <c r="A232" s="38" t="n"/>
      <c r="B232" s="39" t="n"/>
      <c r="C232" s="39" t="n"/>
      <c r="D232" s="38" t="n"/>
      <c r="E232" s="38" t="n"/>
      <c r="F232" s="40" t="n"/>
      <c r="G232" s="40" t="n"/>
      <c r="H232" s="41" t="n"/>
      <c r="I232" s="41" t="n"/>
      <c r="J232" s="42" t="n"/>
      <c r="K232" s="42" t="n"/>
      <c r="L232" s="42" t="n"/>
      <c r="M232" s="41" t="n"/>
      <c r="N232" s="41" t="n"/>
      <c r="O232" s="41" t="n"/>
      <c r="P232" s="41" t="n"/>
      <c r="Q232" s="40" t="n"/>
      <c r="R232" s="38" t="n"/>
      <c r="S232" s="38" t="n"/>
      <c r="T232" s="39" t="n"/>
      <c r="U232" s="43" t="n"/>
      <c r="V232" s="44">
        <f>IFERROR(IF($A232="","",MAX($F232-$G232,0)),"")</f>
        <v/>
      </c>
      <c r="W232" s="45">
        <f>IFERROR(IF($A232="","",$H232+$I232),"")</f>
        <v/>
      </c>
      <c r="X232" s="45">
        <f>IFERROR(IF($A232="","",$H232*IF($J232="",'Assumptions'!$B$4,$J232)),"")</f>
        <v/>
      </c>
      <c r="Y232" s="45">
        <f>IFERROR(IF($A232="","",$X232*IF($K232="",'Assumptions'!$B$12,$K232)),"")</f>
        <v/>
      </c>
      <c r="Z232" s="45">
        <f>IFERROR(IF($A232="","",($X232+$Y232)*IF($L232="",'Assumptions'!$B$13,$L232)),"")</f>
        <v/>
      </c>
      <c r="AA232" s="45">
        <f>IFERROR(IF($A232="","",$X232+$Y232+$Z232),"")</f>
        <v/>
      </c>
      <c r="AB232" s="45">
        <f>IFERROR(IF($A232="","",$V232*'Assumptions'!$B$5),"")</f>
        <v/>
      </c>
      <c r="AC232" s="45">
        <f>IFERROR(IF($A232="","",$I232*'Assumptions'!$B$6),"")</f>
        <v/>
      </c>
      <c r="AD232" s="45">
        <f>IFERROR(IF($A232="","",$AB232+$AC232),"")</f>
        <v/>
      </c>
      <c r="AE232" s="45">
        <f>IFERROR(IF($A232="","",($M232+$N232)*'Assumptions'!$B$7),"")</f>
        <v/>
      </c>
      <c r="AF232" s="45">
        <f>IFERROR(IF($A232="","",($Q232/60)*'Assumptions'!$B$8),"")</f>
        <v/>
      </c>
      <c r="AG232" s="45">
        <f>IFERROR(IF($A232="","",$P232+$AE232+$AF232),"")</f>
        <v/>
      </c>
      <c r="AH232" s="45">
        <f>IFERROR(IF($A232="","",$M232+$O232),"")</f>
        <v/>
      </c>
      <c r="AI232" s="46">
        <f>IFERROR(IF($A232="","",IFERROR($AH232/$W232,0)),"")</f>
        <v/>
      </c>
      <c r="AJ232" s="45">
        <f>IFERROR(IF($A232="","",$W232-$AH232-$AD232+$AG232),"")</f>
        <v/>
      </c>
      <c r="AK232" s="47">
        <f>IFERROR(IF($A232="","",IF(OR($S232="Collected",$S232="Waived",$S232="Uncollectible",$S232="No Charge Due"),"",IF($T232="",$B232+'Assumptions'!$B$9,$T232+'Assumptions'!$B$9))),"")</f>
        <v/>
      </c>
      <c r="AL232" s="48">
        <f>IFERROR(IF($A232="","",IF(OR($S232="Collected",$S232="Waived",$S232="Uncollectible",$S232="No Charge Due"),"Closed",IF($AK232&lt;TODAY(),"Overdue",IF($AK232=TODAY(),"Due","Open")))),"")</f>
        <v/>
      </c>
      <c r="AM232" s="49">
        <f>IFERROR(IF($A232="","",IF(COUNTIF($A$5:$A$504,$A232)&gt;1,"Duplicate reservation ID",IF($C232&lt;=$B232,"Check stay dates",IF($G232&gt;$F232,"Resold nights exceed booked nights",IF($M232+$N232&gt;$AA232+0.01,"Collection exceeds expected amount",IF(AND($S232="Collected",$M232=0),"Collected status has no amount",IF($AJ232&gt;='Assumptions'!$B$10,"High-cost review","OK"))))))),"")</f>
        <v/>
      </c>
    </row>
    <row r="233">
      <c r="A233" s="38" t="n"/>
      <c r="B233" s="39" t="n"/>
      <c r="C233" s="39" t="n"/>
      <c r="D233" s="38" t="n"/>
      <c r="E233" s="38" t="n"/>
      <c r="F233" s="40" t="n"/>
      <c r="G233" s="40" t="n"/>
      <c r="H233" s="41" t="n"/>
      <c r="I233" s="41" t="n"/>
      <c r="J233" s="42" t="n"/>
      <c r="K233" s="42" t="n"/>
      <c r="L233" s="42" t="n"/>
      <c r="M233" s="41" t="n"/>
      <c r="N233" s="41" t="n"/>
      <c r="O233" s="41" t="n"/>
      <c r="P233" s="41" t="n"/>
      <c r="Q233" s="40" t="n"/>
      <c r="R233" s="38" t="n"/>
      <c r="S233" s="38" t="n"/>
      <c r="T233" s="39" t="n"/>
      <c r="U233" s="43" t="n"/>
      <c r="V233" s="44">
        <f>IFERROR(IF($A233="","",MAX($F233-$G233,0)),"")</f>
        <v/>
      </c>
      <c r="W233" s="45">
        <f>IFERROR(IF($A233="","",$H233+$I233),"")</f>
        <v/>
      </c>
      <c r="X233" s="45">
        <f>IFERROR(IF($A233="","",$H233*IF($J233="",'Assumptions'!$B$4,$J233)),"")</f>
        <v/>
      </c>
      <c r="Y233" s="45">
        <f>IFERROR(IF($A233="","",$X233*IF($K233="",'Assumptions'!$B$12,$K233)),"")</f>
        <v/>
      </c>
      <c r="Z233" s="45">
        <f>IFERROR(IF($A233="","",($X233+$Y233)*IF($L233="",'Assumptions'!$B$13,$L233)),"")</f>
        <v/>
      </c>
      <c r="AA233" s="45">
        <f>IFERROR(IF($A233="","",$X233+$Y233+$Z233),"")</f>
        <v/>
      </c>
      <c r="AB233" s="45">
        <f>IFERROR(IF($A233="","",$V233*'Assumptions'!$B$5),"")</f>
        <v/>
      </c>
      <c r="AC233" s="45">
        <f>IFERROR(IF($A233="","",$I233*'Assumptions'!$B$6),"")</f>
        <v/>
      </c>
      <c r="AD233" s="45">
        <f>IFERROR(IF($A233="","",$AB233+$AC233),"")</f>
        <v/>
      </c>
      <c r="AE233" s="45">
        <f>IFERROR(IF($A233="","",($M233+$N233)*'Assumptions'!$B$7),"")</f>
        <v/>
      </c>
      <c r="AF233" s="45">
        <f>IFERROR(IF($A233="","",($Q233/60)*'Assumptions'!$B$8),"")</f>
        <v/>
      </c>
      <c r="AG233" s="45">
        <f>IFERROR(IF($A233="","",$P233+$AE233+$AF233),"")</f>
        <v/>
      </c>
      <c r="AH233" s="45">
        <f>IFERROR(IF($A233="","",$M233+$O233),"")</f>
        <v/>
      </c>
      <c r="AI233" s="46">
        <f>IFERROR(IF($A233="","",IFERROR($AH233/$W233,0)),"")</f>
        <v/>
      </c>
      <c r="AJ233" s="45">
        <f>IFERROR(IF($A233="","",$W233-$AH233-$AD233+$AG233),"")</f>
        <v/>
      </c>
      <c r="AK233" s="47">
        <f>IFERROR(IF($A233="","",IF(OR($S233="Collected",$S233="Waived",$S233="Uncollectible",$S233="No Charge Due"),"",IF($T233="",$B233+'Assumptions'!$B$9,$T233+'Assumptions'!$B$9))),"")</f>
        <v/>
      </c>
      <c r="AL233" s="48">
        <f>IFERROR(IF($A233="","",IF(OR($S233="Collected",$S233="Waived",$S233="Uncollectible",$S233="No Charge Due"),"Closed",IF($AK233&lt;TODAY(),"Overdue",IF($AK233=TODAY(),"Due","Open")))),"")</f>
        <v/>
      </c>
      <c r="AM233" s="49">
        <f>IFERROR(IF($A233="","",IF(COUNTIF($A$5:$A$504,$A233)&gt;1,"Duplicate reservation ID",IF($C233&lt;=$B233,"Check stay dates",IF($G233&gt;$F233,"Resold nights exceed booked nights",IF($M233+$N233&gt;$AA233+0.01,"Collection exceeds expected amount",IF(AND($S233="Collected",$M233=0),"Collected status has no amount",IF($AJ233&gt;='Assumptions'!$B$10,"High-cost review","OK"))))))),"")</f>
        <v/>
      </c>
    </row>
    <row r="234">
      <c r="A234" s="38" t="n"/>
      <c r="B234" s="39" t="n"/>
      <c r="C234" s="39" t="n"/>
      <c r="D234" s="38" t="n"/>
      <c r="E234" s="38" t="n"/>
      <c r="F234" s="40" t="n"/>
      <c r="G234" s="40" t="n"/>
      <c r="H234" s="41" t="n"/>
      <c r="I234" s="41" t="n"/>
      <c r="J234" s="42" t="n"/>
      <c r="K234" s="42" t="n"/>
      <c r="L234" s="42" t="n"/>
      <c r="M234" s="41" t="n"/>
      <c r="N234" s="41" t="n"/>
      <c r="O234" s="41" t="n"/>
      <c r="P234" s="41" t="n"/>
      <c r="Q234" s="40" t="n"/>
      <c r="R234" s="38" t="n"/>
      <c r="S234" s="38" t="n"/>
      <c r="T234" s="39" t="n"/>
      <c r="U234" s="43" t="n"/>
      <c r="V234" s="44">
        <f>IFERROR(IF($A234="","",MAX($F234-$G234,0)),"")</f>
        <v/>
      </c>
      <c r="W234" s="45">
        <f>IFERROR(IF($A234="","",$H234+$I234),"")</f>
        <v/>
      </c>
      <c r="X234" s="45">
        <f>IFERROR(IF($A234="","",$H234*IF($J234="",'Assumptions'!$B$4,$J234)),"")</f>
        <v/>
      </c>
      <c r="Y234" s="45">
        <f>IFERROR(IF($A234="","",$X234*IF($K234="",'Assumptions'!$B$12,$K234)),"")</f>
        <v/>
      </c>
      <c r="Z234" s="45">
        <f>IFERROR(IF($A234="","",($X234+$Y234)*IF($L234="",'Assumptions'!$B$13,$L234)),"")</f>
        <v/>
      </c>
      <c r="AA234" s="45">
        <f>IFERROR(IF($A234="","",$X234+$Y234+$Z234),"")</f>
        <v/>
      </c>
      <c r="AB234" s="45">
        <f>IFERROR(IF($A234="","",$V234*'Assumptions'!$B$5),"")</f>
        <v/>
      </c>
      <c r="AC234" s="45">
        <f>IFERROR(IF($A234="","",$I234*'Assumptions'!$B$6),"")</f>
        <v/>
      </c>
      <c r="AD234" s="45">
        <f>IFERROR(IF($A234="","",$AB234+$AC234),"")</f>
        <v/>
      </c>
      <c r="AE234" s="45">
        <f>IFERROR(IF($A234="","",($M234+$N234)*'Assumptions'!$B$7),"")</f>
        <v/>
      </c>
      <c r="AF234" s="45">
        <f>IFERROR(IF($A234="","",($Q234/60)*'Assumptions'!$B$8),"")</f>
        <v/>
      </c>
      <c r="AG234" s="45">
        <f>IFERROR(IF($A234="","",$P234+$AE234+$AF234),"")</f>
        <v/>
      </c>
      <c r="AH234" s="45">
        <f>IFERROR(IF($A234="","",$M234+$O234),"")</f>
        <v/>
      </c>
      <c r="AI234" s="46">
        <f>IFERROR(IF($A234="","",IFERROR($AH234/$W234,0)),"")</f>
        <v/>
      </c>
      <c r="AJ234" s="45">
        <f>IFERROR(IF($A234="","",$W234-$AH234-$AD234+$AG234),"")</f>
        <v/>
      </c>
      <c r="AK234" s="47">
        <f>IFERROR(IF($A234="","",IF(OR($S234="Collected",$S234="Waived",$S234="Uncollectible",$S234="No Charge Due"),"",IF($T234="",$B234+'Assumptions'!$B$9,$T234+'Assumptions'!$B$9))),"")</f>
        <v/>
      </c>
      <c r="AL234" s="48">
        <f>IFERROR(IF($A234="","",IF(OR($S234="Collected",$S234="Waived",$S234="Uncollectible",$S234="No Charge Due"),"Closed",IF($AK234&lt;TODAY(),"Overdue",IF($AK234=TODAY(),"Due","Open")))),"")</f>
        <v/>
      </c>
      <c r="AM234" s="49">
        <f>IFERROR(IF($A234="","",IF(COUNTIF($A$5:$A$504,$A234)&gt;1,"Duplicate reservation ID",IF($C234&lt;=$B234,"Check stay dates",IF($G234&gt;$F234,"Resold nights exceed booked nights",IF($M234+$N234&gt;$AA234+0.01,"Collection exceeds expected amount",IF(AND($S234="Collected",$M234=0),"Collected status has no amount",IF($AJ234&gt;='Assumptions'!$B$10,"High-cost review","OK"))))))),"")</f>
        <v/>
      </c>
    </row>
    <row r="235">
      <c r="A235" s="38" t="n"/>
      <c r="B235" s="39" t="n"/>
      <c r="C235" s="39" t="n"/>
      <c r="D235" s="38" t="n"/>
      <c r="E235" s="38" t="n"/>
      <c r="F235" s="40" t="n"/>
      <c r="G235" s="40" t="n"/>
      <c r="H235" s="41" t="n"/>
      <c r="I235" s="41" t="n"/>
      <c r="J235" s="42" t="n"/>
      <c r="K235" s="42" t="n"/>
      <c r="L235" s="42" t="n"/>
      <c r="M235" s="41" t="n"/>
      <c r="N235" s="41" t="n"/>
      <c r="O235" s="41" t="n"/>
      <c r="P235" s="41" t="n"/>
      <c r="Q235" s="40" t="n"/>
      <c r="R235" s="38" t="n"/>
      <c r="S235" s="38" t="n"/>
      <c r="T235" s="39" t="n"/>
      <c r="U235" s="43" t="n"/>
      <c r="V235" s="44">
        <f>IFERROR(IF($A235="","",MAX($F235-$G235,0)),"")</f>
        <v/>
      </c>
      <c r="W235" s="45">
        <f>IFERROR(IF($A235="","",$H235+$I235),"")</f>
        <v/>
      </c>
      <c r="X235" s="45">
        <f>IFERROR(IF($A235="","",$H235*IF($J235="",'Assumptions'!$B$4,$J235)),"")</f>
        <v/>
      </c>
      <c r="Y235" s="45">
        <f>IFERROR(IF($A235="","",$X235*IF($K235="",'Assumptions'!$B$12,$K235)),"")</f>
        <v/>
      </c>
      <c r="Z235" s="45">
        <f>IFERROR(IF($A235="","",($X235+$Y235)*IF($L235="",'Assumptions'!$B$13,$L235)),"")</f>
        <v/>
      </c>
      <c r="AA235" s="45">
        <f>IFERROR(IF($A235="","",$X235+$Y235+$Z235),"")</f>
        <v/>
      </c>
      <c r="AB235" s="45">
        <f>IFERROR(IF($A235="","",$V235*'Assumptions'!$B$5),"")</f>
        <v/>
      </c>
      <c r="AC235" s="45">
        <f>IFERROR(IF($A235="","",$I235*'Assumptions'!$B$6),"")</f>
        <v/>
      </c>
      <c r="AD235" s="45">
        <f>IFERROR(IF($A235="","",$AB235+$AC235),"")</f>
        <v/>
      </c>
      <c r="AE235" s="45">
        <f>IFERROR(IF($A235="","",($M235+$N235)*'Assumptions'!$B$7),"")</f>
        <v/>
      </c>
      <c r="AF235" s="45">
        <f>IFERROR(IF($A235="","",($Q235/60)*'Assumptions'!$B$8),"")</f>
        <v/>
      </c>
      <c r="AG235" s="45">
        <f>IFERROR(IF($A235="","",$P235+$AE235+$AF235),"")</f>
        <v/>
      </c>
      <c r="AH235" s="45">
        <f>IFERROR(IF($A235="","",$M235+$O235),"")</f>
        <v/>
      </c>
      <c r="AI235" s="46">
        <f>IFERROR(IF($A235="","",IFERROR($AH235/$W235,0)),"")</f>
        <v/>
      </c>
      <c r="AJ235" s="45">
        <f>IFERROR(IF($A235="","",$W235-$AH235-$AD235+$AG235),"")</f>
        <v/>
      </c>
      <c r="AK235" s="47">
        <f>IFERROR(IF($A235="","",IF(OR($S235="Collected",$S235="Waived",$S235="Uncollectible",$S235="No Charge Due"),"",IF($T235="",$B235+'Assumptions'!$B$9,$T235+'Assumptions'!$B$9))),"")</f>
        <v/>
      </c>
      <c r="AL235" s="48">
        <f>IFERROR(IF($A235="","",IF(OR($S235="Collected",$S235="Waived",$S235="Uncollectible",$S235="No Charge Due"),"Closed",IF($AK235&lt;TODAY(),"Overdue",IF($AK235=TODAY(),"Due","Open")))),"")</f>
        <v/>
      </c>
      <c r="AM235" s="49">
        <f>IFERROR(IF($A235="","",IF(COUNTIF($A$5:$A$504,$A235)&gt;1,"Duplicate reservation ID",IF($C235&lt;=$B235,"Check stay dates",IF($G235&gt;$F235,"Resold nights exceed booked nights",IF($M235+$N235&gt;$AA235+0.01,"Collection exceeds expected amount",IF(AND($S235="Collected",$M235=0),"Collected status has no amount",IF($AJ235&gt;='Assumptions'!$B$10,"High-cost review","OK"))))))),"")</f>
        <v/>
      </c>
    </row>
    <row r="236">
      <c r="A236" s="38" t="n"/>
      <c r="B236" s="39" t="n"/>
      <c r="C236" s="39" t="n"/>
      <c r="D236" s="38" t="n"/>
      <c r="E236" s="38" t="n"/>
      <c r="F236" s="40" t="n"/>
      <c r="G236" s="40" t="n"/>
      <c r="H236" s="41" t="n"/>
      <c r="I236" s="41" t="n"/>
      <c r="J236" s="42" t="n"/>
      <c r="K236" s="42" t="n"/>
      <c r="L236" s="42" t="n"/>
      <c r="M236" s="41" t="n"/>
      <c r="N236" s="41" t="n"/>
      <c r="O236" s="41" t="n"/>
      <c r="P236" s="41" t="n"/>
      <c r="Q236" s="40" t="n"/>
      <c r="R236" s="38" t="n"/>
      <c r="S236" s="38" t="n"/>
      <c r="T236" s="39" t="n"/>
      <c r="U236" s="43" t="n"/>
      <c r="V236" s="44">
        <f>IFERROR(IF($A236="","",MAX($F236-$G236,0)),"")</f>
        <v/>
      </c>
      <c r="W236" s="45">
        <f>IFERROR(IF($A236="","",$H236+$I236),"")</f>
        <v/>
      </c>
      <c r="X236" s="45">
        <f>IFERROR(IF($A236="","",$H236*IF($J236="",'Assumptions'!$B$4,$J236)),"")</f>
        <v/>
      </c>
      <c r="Y236" s="45">
        <f>IFERROR(IF($A236="","",$X236*IF($K236="",'Assumptions'!$B$12,$K236)),"")</f>
        <v/>
      </c>
      <c r="Z236" s="45">
        <f>IFERROR(IF($A236="","",($X236+$Y236)*IF($L236="",'Assumptions'!$B$13,$L236)),"")</f>
        <v/>
      </c>
      <c r="AA236" s="45">
        <f>IFERROR(IF($A236="","",$X236+$Y236+$Z236),"")</f>
        <v/>
      </c>
      <c r="AB236" s="45">
        <f>IFERROR(IF($A236="","",$V236*'Assumptions'!$B$5),"")</f>
        <v/>
      </c>
      <c r="AC236" s="45">
        <f>IFERROR(IF($A236="","",$I236*'Assumptions'!$B$6),"")</f>
        <v/>
      </c>
      <c r="AD236" s="45">
        <f>IFERROR(IF($A236="","",$AB236+$AC236),"")</f>
        <v/>
      </c>
      <c r="AE236" s="45">
        <f>IFERROR(IF($A236="","",($M236+$N236)*'Assumptions'!$B$7),"")</f>
        <v/>
      </c>
      <c r="AF236" s="45">
        <f>IFERROR(IF($A236="","",($Q236/60)*'Assumptions'!$B$8),"")</f>
        <v/>
      </c>
      <c r="AG236" s="45">
        <f>IFERROR(IF($A236="","",$P236+$AE236+$AF236),"")</f>
        <v/>
      </c>
      <c r="AH236" s="45">
        <f>IFERROR(IF($A236="","",$M236+$O236),"")</f>
        <v/>
      </c>
      <c r="AI236" s="46">
        <f>IFERROR(IF($A236="","",IFERROR($AH236/$W236,0)),"")</f>
        <v/>
      </c>
      <c r="AJ236" s="45">
        <f>IFERROR(IF($A236="","",$W236-$AH236-$AD236+$AG236),"")</f>
        <v/>
      </c>
      <c r="AK236" s="47">
        <f>IFERROR(IF($A236="","",IF(OR($S236="Collected",$S236="Waived",$S236="Uncollectible",$S236="No Charge Due"),"",IF($T236="",$B236+'Assumptions'!$B$9,$T236+'Assumptions'!$B$9))),"")</f>
        <v/>
      </c>
      <c r="AL236" s="48">
        <f>IFERROR(IF($A236="","",IF(OR($S236="Collected",$S236="Waived",$S236="Uncollectible",$S236="No Charge Due"),"Closed",IF($AK236&lt;TODAY(),"Overdue",IF($AK236=TODAY(),"Due","Open")))),"")</f>
        <v/>
      </c>
      <c r="AM236" s="49">
        <f>IFERROR(IF($A236="","",IF(COUNTIF($A$5:$A$504,$A236)&gt;1,"Duplicate reservation ID",IF($C236&lt;=$B236,"Check stay dates",IF($G236&gt;$F236,"Resold nights exceed booked nights",IF($M236+$N236&gt;$AA236+0.01,"Collection exceeds expected amount",IF(AND($S236="Collected",$M236=0),"Collected status has no amount",IF($AJ236&gt;='Assumptions'!$B$10,"High-cost review","OK"))))))),"")</f>
        <v/>
      </c>
    </row>
    <row r="237">
      <c r="A237" s="38" t="n"/>
      <c r="B237" s="39" t="n"/>
      <c r="C237" s="39" t="n"/>
      <c r="D237" s="38" t="n"/>
      <c r="E237" s="38" t="n"/>
      <c r="F237" s="40" t="n"/>
      <c r="G237" s="40" t="n"/>
      <c r="H237" s="41" t="n"/>
      <c r="I237" s="41" t="n"/>
      <c r="J237" s="42" t="n"/>
      <c r="K237" s="42" t="n"/>
      <c r="L237" s="42" t="n"/>
      <c r="M237" s="41" t="n"/>
      <c r="N237" s="41" t="n"/>
      <c r="O237" s="41" t="n"/>
      <c r="P237" s="41" t="n"/>
      <c r="Q237" s="40" t="n"/>
      <c r="R237" s="38" t="n"/>
      <c r="S237" s="38" t="n"/>
      <c r="T237" s="39" t="n"/>
      <c r="U237" s="43" t="n"/>
      <c r="V237" s="44">
        <f>IFERROR(IF($A237="","",MAX($F237-$G237,0)),"")</f>
        <v/>
      </c>
      <c r="W237" s="45">
        <f>IFERROR(IF($A237="","",$H237+$I237),"")</f>
        <v/>
      </c>
      <c r="X237" s="45">
        <f>IFERROR(IF($A237="","",$H237*IF($J237="",'Assumptions'!$B$4,$J237)),"")</f>
        <v/>
      </c>
      <c r="Y237" s="45">
        <f>IFERROR(IF($A237="","",$X237*IF($K237="",'Assumptions'!$B$12,$K237)),"")</f>
        <v/>
      </c>
      <c r="Z237" s="45">
        <f>IFERROR(IF($A237="","",($X237+$Y237)*IF($L237="",'Assumptions'!$B$13,$L237)),"")</f>
        <v/>
      </c>
      <c r="AA237" s="45">
        <f>IFERROR(IF($A237="","",$X237+$Y237+$Z237),"")</f>
        <v/>
      </c>
      <c r="AB237" s="45">
        <f>IFERROR(IF($A237="","",$V237*'Assumptions'!$B$5),"")</f>
        <v/>
      </c>
      <c r="AC237" s="45">
        <f>IFERROR(IF($A237="","",$I237*'Assumptions'!$B$6),"")</f>
        <v/>
      </c>
      <c r="AD237" s="45">
        <f>IFERROR(IF($A237="","",$AB237+$AC237),"")</f>
        <v/>
      </c>
      <c r="AE237" s="45">
        <f>IFERROR(IF($A237="","",($M237+$N237)*'Assumptions'!$B$7),"")</f>
        <v/>
      </c>
      <c r="AF237" s="45">
        <f>IFERROR(IF($A237="","",($Q237/60)*'Assumptions'!$B$8),"")</f>
        <v/>
      </c>
      <c r="AG237" s="45">
        <f>IFERROR(IF($A237="","",$P237+$AE237+$AF237),"")</f>
        <v/>
      </c>
      <c r="AH237" s="45">
        <f>IFERROR(IF($A237="","",$M237+$O237),"")</f>
        <v/>
      </c>
      <c r="AI237" s="46">
        <f>IFERROR(IF($A237="","",IFERROR($AH237/$W237,0)),"")</f>
        <v/>
      </c>
      <c r="AJ237" s="45">
        <f>IFERROR(IF($A237="","",$W237-$AH237-$AD237+$AG237),"")</f>
        <v/>
      </c>
      <c r="AK237" s="47">
        <f>IFERROR(IF($A237="","",IF(OR($S237="Collected",$S237="Waived",$S237="Uncollectible",$S237="No Charge Due"),"",IF($T237="",$B237+'Assumptions'!$B$9,$T237+'Assumptions'!$B$9))),"")</f>
        <v/>
      </c>
      <c r="AL237" s="48">
        <f>IFERROR(IF($A237="","",IF(OR($S237="Collected",$S237="Waived",$S237="Uncollectible",$S237="No Charge Due"),"Closed",IF($AK237&lt;TODAY(),"Overdue",IF($AK237=TODAY(),"Due","Open")))),"")</f>
        <v/>
      </c>
      <c r="AM237" s="49">
        <f>IFERROR(IF($A237="","",IF(COUNTIF($A$5:$A$504,$A237)&gt;1,"Duplicate reservation ID",IF($C237&lt;=$B237,"Check stay dates",IF($G237&gt;$F237,"Resold nights exceed booked nights",IF($M237+$N237&gt;$AA237+0.01,"Collection exceeds expected amount",IF(AND($S237="Collected",$M237=0),"Collected status has no amount",IF($AJ237&gt;='Assumptions'!$B$10,"High-cost review","OK"))))))),"")</f>
        <v/>
      </c>
    </row>
    <row r="238">
      <c r="A238" s="38" t="n"/>
      <c r="B238" s="39" t="n"/>
      <c r="C238" s="39" t="n"/>
      <c r="D238" s="38" t="n"/>
      <c r="E238" s="38" t="n"/>
      <c r="F238" s="40" t="n"/>
      <c r="G238" s="40" t="n"/>
      <c r="H238" s="41" t="n"/>
      <c r="I238" s="41" t="n"/>
      <c r="J238" s="42" t="n"/>
      <c r="K238" s="42" t="n"/>
      <c r="L238" s="42" t="n"/>
      <c r="M238" s="41" t="n"/>
      <c r="N238" s="41" t="n"/>
      <c r="O238" s="41" t="n"/>
      <c r="P238" s="41" t="n"/>
      <c r="Q238" s="40" t="n"/>
      <c r="R238" s="38" t="n"/>
      <c r="S238" s="38" t="n"/>
      <c r="T238" s="39" t="n"/>
      <c r="U238" s="43" t="n"/>
      <c r="V238" s="44">
        <f>IFERROR(IF($A238="","",MAX($F238-$G238,0)),"")</f>
        <v/>
      </c>
      <c r="W238" s="45">
        <f>IFERROR(IF($A238="","",$H238+$I238),"")</f>
        <v/>
      </c>
      <c r="X238" s="45">
        <f>IFERROR(IF($A238="","",$H238*IF($J238="",'Assumptions'!$B$4,$J238)),"")</f>
        <v/>
      </c>
      <c r="Y238" s="45">
        <f>IFERROR(IF($A238="","",$X238*IF($K238="",'Assumptions'!$B$12,$K238)),"")</f>
        <v/>
      </c>
      <c r="Z238" s="45">
        <f>IFERROR(IF($A238="","",($X238+$Y238)*IF($L238="",'Assumptions'!$B$13,$L238)),"")</f>
        <v/>
      </c>
      <c r="AA238" s="45">
        <f>IFERROR(IF($A238="","",$X238+$Y238+$Z238),"")</f>
        <v/>
      </c>
      <c r="AB238" s="45">
        <f>IFERROR(IF($A238="","",$V238*'Assumptions'!$B$5),"")</f>
        <v/>
      </c>
      <c r="AC238" s="45">
        <f>IFERROR(IF($A238="","",$I238*'Assumptions'!$B$6),"")</f>
        <v/>
      </c>
      <c r="AD238" s="45">
        <f>IFERROR(IF($A238="","",$AB238+$AC238),"")</f>
        <v/>
      </c>
      <c r="AE238" s="45">
        <f>IFERROR(IF($A238="","",($M238+$N238)*'Assumptions'!$B$7),"")</f>
        <v/>
      </c>
      <c r="AF238" s="45">
        <f>IFERROR(IF($A238="","",($Q238/60)*'Assumptions'!$B$8),"")</f>
        <v/>
      </c>
      <c r="AG238" s="45">
        <f>IFERROR(IF($A238="","",$P238+$AE238+$AF238),"")</f>
        <v/>
      </c>
      <c r="AH238" s="45">
        <f>IFERROR(IF($A238="","",$M238+$O238),"")</f>
        <v/>
      </c>
      <c r="AI238" s="46">
        <f>IFERROR(IF($A238="","",IFERROR($AH238/$W238,0)),"")</f>
        <v/>
      </c>
      <c r="AJ238" s="45">
        <f>IFERROR(IF($A238="","",$W238-$AH238-$AD238+$AG238),"")</f>
        <v/>
      </c>
      <c r="AK238" s="47">
        <f>IFERROR(IF($A238="","",IF(OR($S238="Collected",$S238="Waived",$S238="Uncollectible",$S238="No Charge Due"),"",IF($T238="",$B238+'Assumptions'!$B$9,$T238+'Assumptions'!$B$9))),"")</f>
        <v/>
      </c>
      <c r="AL238" s="48">
        <f>IFERROR(IF($A238="","",IF(OR($S238="Collected",$S238="Waived",$S238="Uncollectible",$S238="No Charge Due"),"Closed",IF($AK238&lt;TODAY(),"Overdue",IF($AK238=TODAY(),"Due","Open")))),"")</f>
        <v/>
      </c>
      <c r="AM238" s="49">
        <f>IFERROR(IF($A238="","",IF(COUNTIF($A$5:$A$504,$A238)&gt;1,"Duplicate reservation ID",IF($C238&lt;=$B238,"Check stay dates",IF($G238&gt;$F238,"Resold nights exceed booked nights",IF($M238+$N238&gt;$AA238+0.01,"Collection exceeds expected amount",IF(AND($S238="Collected",$M238=0),"Collected status has no amount",IF($AJ238&gt;='Assumptions'!$B$10,"High-cost review","OK"))))))),"")</f>
        <v/>
      </c>
    </row>
    <row r="239">
      <c r="A239" s="38" t="n"/>
      <c r="B239" s="39" t="n"/>
      <c r="C239" s="39" t="n"/>
      <c r="D239" s="38" t="n"/>
      <c r="E239" s="38" t="n"/>
      <c r="F239" s="40" t="n"/>
      <c r="G239" s="40" t="n"/>
      <c r="H239" s="41" t="n"/>
      <c r="I239" s="41" t="n"/>
      <c r="J239" s="42" t="n"/>
      <c r="K239" s="42" t="n"/>
      <c r="L239" s="42" t="n"/>
      <c r="M239" s="41" t="n"/>
      <c r="N239" s="41" t="n"/>
      <c r="O239" s="41" t="n"/>
      <c r="P239" s="41" t="n"/>
      <c r="Q239" s="40" t="n"/>
      <c r="R239" s="38" t="n"/>
      <c r="S239" s="38" t="n"/>
      <c r="T239" s="39" t="n"/>
      <c r="U239" s="43" t="n"/>
      <c r="V239" s="44">
        <f>IFERROR(IF($A239="","",MAX($F239-$G239,0)),"")</f>
        <v/>
      </c>
      <c r="W239" s="45">
        <f>IFERROR(IF($A239="","",$H239+$I239),"")</f>
        <v/>
      </c>
      <c r="X239" s="45">
        <f>IFERROR(IF($A239="","",$H239*IF($J239="",'Assumptions'!$B$4,$J239)),"")</f>
        <v/>
      </c>
      <c r="Y239" s="45">
        <f>IFERROR(IF($A239="","",$X239*IF($K239="",'Assumptions'!$B$12,$K239)),"")</f>
        <v/>
      </c>
      <c r="Z239" s="45">
        <f>IFERROR(IF($A239="","",($X239+$Y239)*IF($L239="",'Assumptions'!$B$13,$L239)),"")</f>
        <v/>
      </c>
      <c r="AA239" s="45">
        <f>IFERROR(IF($A239="","",$X239+$Y239+$Z239),"")</f>
        <v/>
      </c>
      <c r="AB239" s="45">
        <f>IFERROR(IF($A239="","",$V239*'Assumptions'!$B$5),"")</f>
        <v/>
      </c>
      <c r="AC239" s="45">
        <f>IFERROR(IF($A239="","",$I239*'Assumptions'!$B$6),"")</f>
        <v/>
      </c>
      <c r="AD239" s="45">
        <f>IFERROR(IF($A239="","",$AB239+$AC239),"")</f>
        <v/>
      </c>
      <c r="AE239" s="45">
        <f>IFERROR(IF($A239="","",($M239+$N239)*'Assumptions'!$B$7),"")</f>
        <v/>
      </c>
      <c r="AF239" s="45">
        <f>IFERROR(IF($A239="","",($Q239/60)*'Assumptions'!$B$8),"")</f>
        <v/>
      </c>
      <c r="AG239" s="45">
        <f>IFERROR(IF($A239="","",$P239+$AE239+$AF239),"")</f>
        <v/>
      </c>
      <c r="AH239" s="45">
        <f>IFERROR(IF($A239="","",$M239+$O239),"")</f>
        <v/>
      </c>
      <c r="AI239" s="46">
        <f>IFERROR(IF($A239="","",IFERROR($AH239/$W239,0)),"")</f>
        <v/>
      </c>
      <c r="AJ239" s="45">
        <f>IFERROR(IF($A239="","",$W239-$AH239-$AD239+$AG239),"")</f>
        <v/>
      </c>
      <c r="AK239" s="47">
        <f>IFERROR(IF($A239="","",IF(OR($S239="Collected",$S239="Waived",$S239="Uncollectible",$S239="No Charge Due"),"",IF($T239="",$B239+'Assumptions'!$B$9,$T239+'Assumptions'!$B$9))),"")</f>
        <v/>
      </c>
      <c r="AL239" s="48">
        <f>IFERROR(IF($A239="","",IF(OR($S239="Collected",$S239="Waived",$S239="Uncollectible",$S239="No Charge Due"),"Closed",IF($AK239&lt;TODAY(),"Overdue",IF($AK239=TODAY(),"Due","Open")))),"")</f>
        <v/>
      </c>
      <c r="AM239" s="49">
        <f>IFERROR(IF($A239="","",IF(COUNTIF($A$5:$A$504,$A239)&gt;1,"Duplicate reservation ID",IF($C239&lt;=$B239,"Check stay dates",IF($G239&gt;$F239,"Resold nights exceed booked nights",IF($M239+$N239&gt;$AA239+0.01,"Collection exceeds expected amount",IF(AND($S239="Collected",$M239=0),"Collected status has no amount",IF($AJ239&gt;='Assumptions'!$B$10,"High-cost review","OK"))))))),"")</f>
        <v/>
      </c>
    </row>
    <row r="240">
      <c r="A240" s="38" t="n"/>
      <c r="B240" s="39" t="n"/>
      <c r="C240" s="39" t="n"/>
      <c r="D240" s="38" t="n"/>
      <c r="E240" s="38" t="n"/>
      <c r="F240" s="40" t="n"/>
      <c r="G240" s="40" t="n"/>
      <c r="H240" s="41" t="n"/>
      <c r="I240" s="41" t="n"/>
      <c r="J240" s="42" t="n"/>
      <c r="K240" s="42" t="n"/>
      <c r="L240" s="42" t="n"/>
      <c r="M240" s="41" t="n"/>
      <c r="N240" s="41" t="n"/>
      <c r="O240" s="41" t="n"/>
      <c r="P240" s="41" t="n"/>
      <c r="Q240" s="40" t="n"/>
      <c r="R240" s="38" t="n"/>
      <c r="S240" s="38" t="n"/>
      <c r="T240" s="39" t="n"/>
      <c r="U240" s="43" t="n"/>
      <c r="V240" s="44">
        <f>IFERROR(IF($A240="","",MAX($F240-$G240,0)),"")</f>
        <v/>
      </c>
      <c r="W240" s="45">
        <f>IFERROR(IF($A240="","",$H240+$I240),"")</f>
        <v/>
      </c>
      <c r="X240" s="45">
        <f>IFERROR(IF($A240="","",$H240*IF($J240="",'Assumptions'!$B$4,$J240)),"")</f>
        <v/>
      </c>
      <c r="Y240" s="45">
        <f>IFERROR(IF($A240="","",$X240*IF($K240="",'Assumptions'!$B$12,$K240)),"")</f>
        <v/>
      </c>
      <c r="Z240" s="45">
        <f>IFERROR(IF($A240="","",($X240+$Y240)*IF($L240="",'Assumptions'!$B$13,$L240)),"")</f>
        <v/>
      </c>
      <c r="AA240" s="45">
        <f>IFERROR(IF($A240="","",$X240+$Y240+$Z240),"")</f>
        <v/>
      </c>
      <c r="AB240" s="45">
        <f>IFERROR(IF($A240="","",$V240*'Assumptions'!$B$5),"")</f>
        <v/>
      </c>
      <c r="AC240" s="45">
        <f>IFERROR(IF($A240="","",$I240*'Assumptions'!$B$6),"")</f>
        <v/>
      </c>
      <c r="AD240" s="45">
        <f>IFERROR(IF($A240="","",$AB240+$AC240),"")</f>
        <v/>
      </c>
      <c r="AE240" s="45">
        <f>IFERROR(IF($A240="","",($M240+$N240)*'Assumptions'!$B$7),"")</f>
        <v/>
      </c>
      <c r="AF240" s="45">
        <f>IFERROR(IF($A240="","",($Q240/60)*'Assumptions'!$B$8),"")</f>
        <v/>
      </c>
      <c r="AG240" s="45">
        <f>IFERROR(IF($A240="","",$P240+$AE240+$AF240),"")</f>
        <v/>
      </c>
      <c r="AH240" s="45">
        <f>IFERROR(IF($A240="","",$M240+$O240),"")</f>
        <v/>
      </c>
      <c r="AI240" s="46">
        <f>IFERROR(IF($A240="","",IFERROR($AH240/$W240,0)),"")</f>
        <v/>
      </c>
      <c r="AJ240" s="45">
        <f>IFERROR(IF($A240="","",$W240-$AH240-$AD240+$AG240),"")</f>
        <v/>
      </c>
      <c r="AK240" s="47">
        <f>IFERROR(IF($A240="","",IF(OR($S240="Collected",$S240="Waived",$S240="Uncollectible",$S240="No Charge Due"),"",IF($T240="",$B240+'Assumptions'!$B$9,$T240+'Assumptions'!$B$9))),"")</f>
        <v/>
      </c>
      <c r="AL240" s="48">
        <f>IFERROR(IF($A240="","",IF(OR($S240="Collected",$S240="Waived",$S240="Uncollectible",$S240="No Charge Due"),"Closed",IF($AK240&lt;TODAY(),"Overdue",IF($AK240=TODAY(),"Due","Open")))),"")</f>
        <v/>
      </c>
      <c r="AM240" s="49">
        <f>IFERROR(IF($A240="","",IF(COUNTIF($A$5:$A$504,$A240)&gt;1,"Duplicate reservation ID",IF($C240&lt;=$B240,"Check stay dates",IF($G240&gt;$F240,"Resold nights exceed booked nights",IF($M240+$N240&gt;$AA240+0.01,"Collection exceeds expected amount",IF(AND($S240="Collected",$M240=0),"Collected status has no amount",IF($AJ240&gt;='Assumptions'!$B$10,"High-cost review","OK"))))))),"")</f>
        <v/>
      </c>
    </row>
    <row r="241">
      <c r="A241" s="38" t="n"/>
      <c r="B241" s="39" t="n"/>
      <c r="C241" s="39" t="n"/>
      <c r="D241" s="38" t="n"/>
      <c r="E241" s="38" t="n"/>
      <c r="F241" s="40" t="n"/>
      <c r="G241" s="40" t="n"/>
      <c r="H241" s="41" t="n"/>
      <c r="I241" s="41" t="n"/>
      <c r="J241" s="42" t="n"/>
      <c r="K241" s="42" t="n"/>
      <c r="L241" s="42" t="n"/>
      <c r="M241" s="41" t="n"/>
      <c r="N241" s="41" t="n"/>
      <c r="O241" s="41" t="n"/>
      <c r="P241" s="41" t="n"/>
      <c r="Q241" s="40" t="n"/>
      <c r="R241" s="38" t="n"/>
      <c r="S241" s="38" t="n"/>
      <c r="T241" s="39" t="n"/>
      <c r="U241" s="43" t="n"/>
      <c r="V241" s="44">
        <f>IFERROR(IF($A241="","",MAX($F241-$G241,0)),"")</f>
        <v/>
      </c>
      <c r="W241" s="45">
        <f>IFERROR(IF($A241="","",$H241+$I241),"")</f>
        <v/>
      </c>
      <c r="X241" s="45">
        <f>IFERROR(IF($A241="","",$H241*IF($J241="",'Assumptions'!$B$4,$J241)),"")</f>
        <v/>
      </c>
      <c r="Y241" s="45">
        <f>IFERROR(IF($A241="","",$X241*IF($K241="",'Assumptions'!$B$12,$K241)),"")</f>
        <v/>
      </c>
      <c r="Z241" s="45">
        <f>IFERROR(IF($A241="","",($X241+$Y241)*IF($L241="",'Assumptions'!$B$13,$L241)),"")</f>
        <v/>
      </c>
      <c r="AA241" s="45">
        <f>IFERROR(IF($A241="","",$X241+$Y241+$Z241),"")</f>
        <v/>
      </c>
      <c r="AB241" s="45">
        <f>IFERROR(IF($A241="","",$V241*'Assumptions'!$B$5),"")</f>
        <v/>
      </c>
      <c r="AC241" s="45">
        <f>IFERROR(IF($A241="","",$I241*'Assumptions'!$B$6),"")</f>
        <v/>
      </c>
      <c r="AD241" s="45">
        <f>IFERROR(IF($A241="","",$AB241+$AC241),"")</f>
        <v/>
      </c>
      <c r="AE241" s="45">
        <f>IFERROR(IF($A241="","",($M241+$N241)*'Assumptions'!$B$7),"")</f>
        <v/>
      </c>
      <c r="AF241" s="45">
        <f>IFERROR(IF($A241="","",($Q241/60)*'Assumptions'!$B$8),"")</f>
        <v/>
      </c>
      <c r="AG241" s="45">
        <f>IFERROR(IF($A241="","",$P241+$AE241+$AF241),"")</f>
        <v/>
      </c>
      <c r="AH241" s="45">
        <f>IFERROR(IF($A241="","",$M241+$O241),"")</f>
        <v/>
      </c>
      <c r="AI241" s="46">
        <f>IFERROR(IF($A241="","",IFERROR($AH241/$W241,0)),"")</f>
        <v/>
      </c>
      <c r="AJ241" s="45">
        <f>IFERROR(IF($A241="","",$W241-$AH241-$AD241+$AG241),"")</f>
        <v/>
      </c>
      <c r="AK241" s="47">
        <f>IFERROR(IF($A241="","",IF(OR($S241="Collected",$S241="Waived",$S241="Uncollectible",$S241="No Charge Due"),"",IF($T241="",$B241+'Assumptions'!$B$9,$T241+'Assumptions'!$B$9))),"")</f>
        <v/>
      </c>
      <c r="AL241" s="48">
        <f>IFERROR(IF($A241="","",IF(OR($S241="Collected",$S241="Waived",$S241="Uncollectible",$S241="No Charge Due"),"Closed",IF($AK241&lt;TODAY(),"Overdue",IF($AK241=TODAY(),"Due","Open")))),"")</f>
        <v/>
      </c>
      <c r="AM241" s="49">
        <f>IFERROR(IF($A241="","",IF(COUNTIF($A$5:$A$504,$A241)&gt;1,"Duplicate reservation ID",IF($C241&lt;=$B241,"Check stay dates",IF($G241&gt;$F241,"Resold nights exceed booked nights",IF($M241+$N241&gt;$AA241+0.01,"Collection exceeds expected amount",IF(AND($S241="Collected",$M241=0),"Collected status has no amount",IF($AJ241&gt;='Assumptions'!$B$10,"High-cost review","OK"))))))),"")</f>
        <v/>
      </c>
    </row>
    <row r="242">
      <c r="A242" s="38" t="n"/>
      <c r="B242" s="39" t="n"/>
      <c r="C242" s="39" t="n"/>
      <c r="D242" s="38" t="n"/>
      <c r="E242" s="38" t="n"/>
      <c r="F242" s="40" t="n"/>
      <c r="G242" s="40" t="n"/>
      <c r="H242" s="41" t="n"/>
      <c r="I242" s="41" t="n"/>
      <c r="J242" s="42" t="n"/>
      <c r="K242" s="42" t="n"/>
      <c r="L242" s="42" t="n"/>
      <c r="M242" s="41" t="n"/>
      <c r="N242" s="41" t="n"/>
      <c r="O242" s="41" t="n"/>
      <c r="P242" s="41" t="n"/>
      <c r="Q242" s="40" t="n"/>
      <c r="R242" s="38" t="n"/>
      <c r="S242" s="38" t="n"/>
      <c r="T242" s="39" t="n"/>
      <c r="U242" s="43" t="n"/>
      <c r="V242" s="44">
        <f>IFERROR(IF($A242="","",MAX($F242-$G242,0)),"")</f>
        <v/>
      </c>
      <c r="W242" s="45">
        <f>IFERROR(IF($A242="","",$H242+$I242),"")</f>
        <v/>
      </c>
      <c r="X242" s="45">
        <f>IFERROR(IF($A242="","",$H242*IF($J242="",'Assumptions'!$B$4,$J242)),"")</f>
        <v/>
      </c>
      <c r="Y242" s="45">
        <f>IFERROR(IF($A242="","",$X242*IF($K242="",'Assumptions'!$B$12,$K242)),"")</f>
        <v/>
      </c>
      <c r="Z242" s="45">
        <f>IFERROR(IF($A242="","",($X242+$Y242)*IF($L242="",'Assumptions'!$B$13,$L242)),"")</f>
        <v/>
      </c>
      <c r="AA242" s="45">
        <f>IFERROR(IF($A242="","",$X242+$Y242+$Z242),"")</f>
        <v/>
      </c>
      <c r="AB242" s="45">
        <f>IFERROR(IF($A242="","",$V242*'Assumptions'!$B$5),"")</f>
        <v/>
      </c>
      <c r="AC242" s="45">
        <f>IFERROR(IF($A242="","",$I242*'Assumptions'!$B$6),"")</f>
        <v/>
      </c>
      <c r="AD242" s="45">
        <f>IFERROR(IF($A242="","",$AB242+$AC242),"")</f>
        <v/>
      </c>
      <c r="AE242" s="45">
        <f>IFERROR(IF($A242="","",($M242+$N242)*'Assumptions'!$B$7),"")</f>
        <v/>
      </c>
      <c r="AF242" s="45">
        <f>IFERROR(IF($A242="","",($Q242/60)*'Assumptions'!$B$8),"")</f>
        <v/>
      </c>
      <c r="AG242" s="45">
        <f>IFERROR(IF($A242="","",$P242+$AE242+$AF242),"")</f>
        <v/>
      </c>
      <c r="AH242" s="45">
        <f>IFERROR(IF($A242="","",$M242+$O242),"")</f>
        <v/>
      </c>
      <c r="AI242" s="46">
        <f>IFERROR(IF($A242="","",IFERROR($AH242/$W242,0)),"")</f>
        <v/>
      </c>
      <c r="AJ242" s="45">
        <f>IFERROR(IF($A242="","",$W242-$AH242-$AD242+$AG242),"")</f>
        <v/>
      </c>
      <c r="AK242" s="47">
        <f>IFERROR(IF($A242="","",IF(OR($S242="Collected",$S242="Waived",$S242="Uncollectible",$S242="No Charge Due"),"",IF($T242="",$B242+'Assumptions'!$B$9,$T242+'Assumptions'!$B$9))),"")</f>
        <v/>
      </c>
      <c r="AL242" s="48">
        <f>IFERROR(IF($A242="","",IF(OR($S242="Collected",$S242="Waived",$S242="Uncollectible",$S242="No Charge Due"),"Closed",IF($AK242&lt;TODAY(),"Overdue",IF($AK242=TODAY(),"Due","Open")))),"")</f>
        <v/>
      </c>
      <c r="AM242" s="49">
        <f>IFERROR(IF($A242="","",IF(COUNTIF($A$5:$A$504,$A242)&gt;1,"Duplicate reservation ID",IF($C242&lt;=$B242,"Check stay dates",IF($G242&gt;$F242,"Resold nights exceed booked nights",IF($M242+$N242&gt;$AA242+0.01,"Collection exceeds expected amount",IF(AND($S242="Collected",$M242=0),"Collected status has no amount",IF($AJ242&gt;='Assumptions'!$B$10,"High-cost review","OK"))))))),"")</f>
        <v/>
      </c>
    </row>
    <row r="243">
      <c r="A243" s="38" t="n"/>
      <c r="B243" s="39" t="n"/>
      <c r="C243" s="39" t="n"/>
      <c r="D243" s="38" t="n"/>
      <c r="E243" s="38" t="n"/>
      <c r="F243" s="40" t="n"/>
      <c r="G243" s="40" t="n"/>
      <c r="H243" s="41" t="n"/>
      <c r="I243" s="41" t="n"/>
      <c r="J243" s="42" t="n"/>
      <c r="K243" s="42" t="n"/>
      <c r="L243" s="42" t="n"/>
      <c r="M243" s="41" t="n"/>
      <c r="N243" s="41" t="n"/>
      <c r="O243" s="41" t="n"/>
      <c r="P243" s="41" t="n"/>
      <c r="Q243" s="40" t="n"/>
      <c r="R243" s="38" t="n"/>
      <c r="S243" s="38" t="n"/>
      <c r="T243" s="39" t="n"/>
      <c r="U243" s="43" t="n"/>
      <c r="V243" s="44">
        <f>IFERROR(IF($A243="","",MAX($F243-$G243,0)),"")</f>
        <v/>
      </c>
      <c r="W243" s="45">
        <f>IFERROR(IF($A243="","",$H243+$I243),"")</f>
        <v/>
      </c>
      <c r="X243" s="45">
        <f>IFERROR(IF($A243="","",$H243*IF($J243="",'Assumptions'!$B$4,$J243)),"")</f>
        <v/>
      </c>
      <c r="Y243" s="45">
        <f>IFERROR(IF($A243="","",$X243*IF($K243="",'Assumptions'!$B$12,$K243)),"")</f>
        <v/>
      </c>
      <c r="Z243" s="45">
        <f>IFERROR(IF($A243="","",($X243+$Y243)*IF($L243="",'Assumptions'!$B$13,$L243)),"")</f>
        <v/>
      </c>
      <c r="AA243" s="45">
        <f>IFERROR(IF($A243="","",$X243+$Y243+$Z243),"")</f>
        <v/>
      </c>
      <c r="AB243" s="45">
        <f>IFERROR(IF($A243="","",$V243*'Assumptions'!$B$5),"")</f>
        <v/>
      </c>
      <c r="AC243" s="45">
        <f>IFERROR(IF($A243="","",$I243*'Assumptions'!$B$6),"")</f>
        <v/>
      </c>
      <c r="AD243" s="45">
        <f>IFERROR(IF($A243="","",$AB243+$AC243),"")</f>
        <v/>
      </c>
      <c r="AE243" s="45">
        <f>IFERROR(IF($A243="","",($M243+$N243)*'Assumptions'!$B$7),"")</f>
        <v/>
      </c>
      <c r="AF243" s="45">
        <f>IFERROR(IF($A243="","",($Q243/60)*'Assumptions'!$B$8),"")</f>
        <v/>
      </c>
      <c r="AG243" s="45">
        <f>IFERROR(IF($A243="","",$P243+$AE243+$AF243),"")</f>
        <v/>
      </c>
      <c r="AH243" s="45">
        <f>IFERROR(IF($A243="","",$M243+$O243),"")</f>
        <v/>
      </c>
      <c r="AI243" s="46">
        <f>IFERROR(IF($A243="","",IFERROR($AH243/$W243,0)),"")</f>
        <v/>
      </c>
      <c r="AJ243" s="45">
        <f>IFERROR(IF($A243="","",$W243-$AH243-$AD243+$AG243),"")</f>
        <v/>
      </c>
      <c r="AK243" s="47">
        <f>IFERROR(IF($A243="","",IF(OR($S243="Collected",$S243="Waived",$S243="Uncollectible",$S243="No Charge Due"),"",IF($T243="",$B243+'Assumptions'!$B$9,$T243+'Assumptions'!$B$9))),"")</f>
        <v/>
      </c>
      <c r="AL243" s="48">
        <f>IFERROR(IF($A243="","",IF(OR($S243="Collected",$S243="Waived",$S243="Uncollectible",$S243="No Charge Due"),"Closed",IF($AK243&lt;TODAY(),"Overdue",IF($AK243=TODAY(),"Due","Open")))),"")</f>
        <v/>
      </c>
      <c r="AM243" s="49">
        <f>IFERROR(IF($A243="","",IF(COUNTIF($A$5:$A$504,$A243)&gt;1,"Duplicate reservation ID",IF($C243&lt;=$B243,"Check stay dates",IF($G243&gt;$F243,"Resold nights exceed booked nights",IF($M243+$N243&gt;$AA243+0.01,"Collection exceeds expected amount",IF(AND($S243="Collected",$M243=0),"Collected status has no amount",IF($AJ243&gt;='Assumptions'!$B$10,"High-cost review","OK"))))))),"")</f>
        <v/>
      </c>
    </row>
    <row r="244">
      <c r="A244" s="38" t="n"/>
      <c r="B244" s="39" t="n"/>
      <c r="C244" s="39" t="n"/>
      <c r="D244" s="38" t="n"/>
      <c r="E244" s="38" t="n"/>
      <c r="F244" s="40" t="n"/>
      <c r="G244" s="40" t="n"/>
      <c r="H244" s="41" t="n"/>
      <c r="I244" s="41" t="n"/>
      <c r="J244" s="42" t="n"/>
      <c r="K244" s="42" t="n"/>
      <c r="L244" s="42" t="n"/>
      <c r="M244" s="41" t="n"/>
      <c r="N244" s="41" t="n"/>
      <c r="O244" s="41" t="n"/>
      <c r="P244" s="41" t="n"/>
      <c r="Q244" s="40" t="n"/>
      <c r="R244" s="38" t="n"/>
      <c r="S244" s="38" t="n"/>
      <c r="T244" s="39" t="n"/>
      <c r="U244" s="43" t="n"/>
      <c r="V244" s="44">
        <f>IFERROR(IF($A244="","",MAX($F244-$G244,0)),"")</f>
        <v/>
      </c>
      <c r="W244" s="45">
        <f>IFERROR(IF($A244="","",$H244+$I244),"")</f>
        <v/>
      </c>
      <c r="X244" s="45">
        <f>IFERROR(IF($A244="","",$H244*IF($J244="",'Assumptions'!$B$4,$J244)),"")</f>
        <v/>
      </c>
      <c r="Y244" s="45">
        <f>IFERROR(IF($A244="","",$X244*IF($K244="",'Assumptions'!$B$12,$K244)),"")</f>
        <v/>
      </c>
      <c r="Z244" s="45">
        <f>IFERROR(IF($A244="","",($X244+$Y244)*IF($L244="",'Assumptions'!$B$13,$L244)),"")</f>
        <v/>
      </c>
      <c r="AA244" s="45">
        <f>IFERROR(IF($A244="","",$X244+$Y244+$Z244),"")</f>
        <v/>
      </c>
      <c r="AB244" s="45">
        <f>IFERROR(IF($A244="","",$V244*'Assumptions'!$B$5),"")</f>
        <v/>
      </c>
      <c r="AC244" s="45">
        <f>IFERROR(IF($A244="","",$I244*'Assumptions'!$B$6),"")</f>
        <v/>
      </c>
      <c r="AD244" s="45">
        <f>IFERROR(IF($A244="","",$AB244+$AC244),"")</f>
        <v/>
      </c>
      <c r="AE244" s="45">
        <f>IFERROR(IF($A244="","",($M244+$N244)*'Assumptions'!$B$7),"")</f>
        <v/>
      </c>
      <c r="AF244" s="45">
        <f>IFERROR(IF($A244="","",($Q244/60)*'Assumptions'!$B$8),"")</f>
        <v/>
      </c>
      <c r="AG244" s="45">
        <f>IFERROR(IF($A244="","",$P244+$AE244+$AF244),"")</f>
        <v/>
      </c>
      <c r="AH244" s="45">
        <f>IFERROR(IF($A244="","",$M244+$O244),"")</f>
        <v/>
      </c>
      <c r="AI244" s="46">
        <f>IFERROR(IF($A244="","",IFERROR($AH244/$W244,0)),"")</f>
        <v/>
      </c>
      <c r="AJ244" s="45">
        <f>IFERROR(IF($A244="","",$W244-$AH244-$AD244+$AG244),"")</f>
        <v/>
      </c>
      <c r="AK244" s="47">
        <f>IFERROR(IF($A244="","",IF(OR($S244="Collected",$S244="Waived",$S244="Uncollectible",$S244="No Charge Due"),"",IF($T244="",$B244+'Assumptions'!$B$9,$T244+'Assumptions'!$B$9))),"")</f>
        <v/>
      </c>
      <c r="AL244" s="48">
        <f>IFERROR(IF($A244="","",IF(OR($S244="Collected",$S244="Waived",$S244="Uncollectible",$S244="No Charge Due"),"Closed",IF($AK244&lt;TODAY(),"Overdue",IF($AK244=TODAY(),"Due","Open")))),"")</f>
        <v/>
      </c>
      <c r="AM244" s="49">
        <f>IFERROR(IF($A244="","",IF(COUNTIF($A$5:$A$504,$A244)&gt;1,"Duplicate reservation ID",IF($C244&lt;=$B244,"Check stay dates",IF($G244&gt;$F244,"Resold nights exceed booked nights",IF($M244+$N244&gt;$AA244+0.01,"Collection exceeds expected amount",IF(AND($S244="Collected",$M244=0),"Collected status has no amount",IF($AJ244&gt;='Assumptions'!$B$10,"High-cost review","OK"))))))),"")</f>
        <v/>
      </c>
    </row>
    <row r="245">
      <c r="A245" s="38" t="n"/>
      <c r="B245" s="39" t="n"/>
      <c r="C245" s="39" t="n"/>
      <c r="D245" s="38" t="n"/>
      <c r="E245" s="38" t="n"/>
      <c r="F245" s="40" t="n"/>
      <c r="G245" s="40" t="n"/>
      <c r="H245" s="41" t="n"/>
      <c r="I245" s="41" t="n"/>
      <c r="J245" s="42" t="n"/>
      <c r="K245" s="42" t="n"/>
      <c r="L245" s="42" t="n"/>
      <c r="M245" s="41" t="n"/>
      <c r="N245" s="41" t="n"/>
      <c r="O245" s="41" t="n"/>
      <c r="P245" s="41" t="n"/>
      <c r="Q245" s="40" t="n"/>
      <c r="R245" s="38" t="n"/>
      <c r="S245" s="38" t="n"/>
      <c r="T245" s="39" t="n"/>
      <c r="U245" s="43" t="n"/>
      <c r="V245" s="44">
        <f>IFERROR(IF($A245="","",MAX($F245-$G245,0)),"")</f>
        <v/>
      </c>
      <c r="W245" s="45">
        <f>IFERROR(IF($A245="","",$H245+$I245),"")</f>
        <v/>
      </c>
      <c r="X245" s="45">
        <f>IFERROR(IF($A245="","",$H245*IF($J245="",'Assumptions'!$B$4,$J245)),"")</f>
        <v/>
      </c>
      <c r="Y245" s="45">
        <f>IFERROR(IF($A245="","",$X245*IF($K245="",'Assumptions'!$B$12,$K245)),"")</f>
        <v/>
      </c>
      <c r="Z245" s="45">
        <f>IFERROR(IF($A245="","",($X245+$Y245)*IF($L245="",'Assumptions'!$B$13,$L245)),"")</f>
        <v/>
      </c>
      <c r="AA245" s="45">
        <f>IFERROR(IF($A245="","",$X245+$Y245+$Z245),"")</f>
        <v/>
      </c>
      <c r="AB245" s="45">
        <f>IFERROR(IF($A245="","",$V245*'Assumptions'!$B$5),"")</f>
        <v/>
      </c>
      <c r="AC245" s="45">
        <f>IFERROR(IF($A245="","",$I245*'Assumptions'!$B$6),"")</f>
        <v/>
      </c>
      <c r="AD245" s="45">
        <f>IFERROR(IF($A245="","",$AB245+$AC245),"")</f>
        <v/>
      </c>
      <c r="AE245" s="45">
        <f>IFERROR(IF($A245="","",($M245+$N245)*'Assumptions'!$B$7),"")</f>
        <v/>
      </c>
      <c r="AF245" s="45">
        <f>IFERROR(IF($A245="","",($Q245/60)*'Assumptions'!$B$8),"")</f>
        <v/>
      </c>
      <c r="AG245" s="45">
        <f>IFERROR(IF($A245="","",$P245+$AE245+$AF245),"")</f>
        <v/>
      </c>
      <c r="AH245" s="45">
        <f>IFERROR(IF($A245="","",$M245+$O245),"")</f>
        <v/>
      </c>
      <c r="AI245" s="46">
        <f>IFERROR(IF($A245="","",IFERROR($AH245/$W245,0)),"")</f>
        <v/>
      </c>
      <c r="AJ245" s="45">
        <f>IFERROR(IF($A245="","",$W245-$AH245-$AD245+$AG245),"")</f>
        <v/>
      </c>
      <c r="AK245" s="47">
        <f>IFERROR(IF($A245="","",IF(OR($S245="Collected",$S245="Waived",$S245="Uncollectible",$S245="No Charge Due"),"",IF($T245="",$B245+'Assumptions'!$B$9,$T245+'Assumptions'!$B$9))),"")</f>
        <v/>
      </c>
      <c r="AL245" s="48">
        <f>IFERROR(IF($A245="","",IF(OR($S245="Collected",$S245="Waived",$S245="Uncollectible",$S245="No Charge Due"),"Closed",IF($AK245&lt;TODAY(),"Overdue",IF($AK245=TODAY(),"Due","Open")))),"")</f>
        <v/>
      </c>
      <c r="AM245" s="49">
        <f>IFERROR(IF($A245="","",IF(COUNTIF($A$5:$A$504,$A245)&gt;1,"Duplicate reservation ID",IF($C245&lt;=$B245,"Check stay dates",IF($G245&gt;$F245,"Resold nights exceed booked nights",IF($M245+$N245&gt;$AA245+0.01,"Collection exceeds expected amount",IF(AND($S245="Collected",$M245=0),"Collected status has no amount",IF($AJ245&gt;='Assumptions'!$B$10,"High-cost review","OK"))))))),"")</f>
        <v/>
      </c>
    </row>
    <row r="246">
      <c r="A246" s="38" t="n"/>
      <c r="B246" s="39" t="n"/>
      <c r="C246" s="39" t="n"/>
      <c r="D246" s="38" t="n"/>
      <c r="E246" s="38" t="n"/>
      <c r="F246" s="40" t="n"/>
      <c r="G246" s="40" t="n"/>
      <c r="H246" s="41" t="n"/>
      <c r="I246" s="41" t="n"/>
      <c r="J246" s="42" t="n"/>
      <c r="K246" s="42" t="n"/>
      <c r="L246" s="42" t="n"/>
      <c r="M246" s="41" t="n"/>
      <c r="N246" s="41" t="n"/>
      <c r="O246" s="41" t="n"/>
      <c r="P246" s="41" t="n"/>
      <c r="Q246" s="40" t="n"/>
      <c r="R246" s="38" t="n"/>
      <c r="S246" s="38" t="n"/>
      <c r="T246" s="39" t="n"/>
      <c r="U246" s="43" t="n"/>
      <c r="V246" s="44">
        <f>IFERROR(IF($A246="","",MAX($F246-$G246,0)),"")</f>
        <v/>
      </c>
      <c r="W246" s="45">
        <f>IFERROR(IF($A246="","",$H246+$I246),"")</f>
        <v/>
      </c>
      <c r="X246" s="45">
        <f>IFERROR(IF($A246="","",$H246*IF($J246="",'Assumptions'!$B$4,$J246)),"")</f>
        <v/>
      </c>
      <c r="Y246" s="45">
        <f>IFERROR(IF($A246="","",$X246*IF($K246="",'Assumptions'!$B$12,$K246)),"")</f>
        <v/>
      </c>
      <c r="Z246" s="45">
        <f>IFERROR(IF($A246="","",($X246+$Y246)*IF($L246="",'Assumptions'!$B$13,$L246)),"")</f>
        <v/>
      </c>
      <c r="AA246" s="45">
        <f>IFERROR(IF($A246="","",$X246+$Y246+$Z246),"")</f>
        <v/>
      </c>
      <c r="AB246" s="45">
        <f>IFERROR(IF($A246="","",$V246*'Assumptions'!$B$5),"")</f>
        <v/>
      </c>
      <c r="AC246" s="45">
        <f>IFERROR(IF($A246="","",$I246*'Assumptions'!$B$6),"")</f>
        <v/>
      </c>
      <c r="AD246" s="45">
        <f>IFERROR(IF($A246="","",$AB246+$AC246),"")</f>
        <v/>
      </c>
      <c r="AE246" s="45">
        <f>IFERROR(IF($A246="","",($M246+$N246)*'Assumptions'!$B$7),"")</f>
        <v/>
      </c>
      <c r="AF246" s="45">
        <f>IFERROR(IF($A246="","",($Q246/60)*'Assumptions'!$B$8),"")</f>
        <v/>
      </c>
      <c r="AG246" s="45">
        <f>IFERROR(IF($A246="","",$P246+$AE246+$AF246),"")</f>
        <v/>
      </c>
      <c r="AH246" s="45">
        <f>IFERROR(IF($A246="","",$M246+$O246),"")</f>
        <v/>
      </c>
      <c r="AI246" s="46">
        <f>IFERROR(IF($A246="","",IFERROR($AH246/$W246,0)),"")</f>
        <v/>
      </c>
      <c r="AJ246" s="45">
        <f>IFERROR(IF($A246="","",$W246-$AH246-$AD246+$AG246),"")</f>
        <v/>
      </c>
      <c r="AK246" s="47">
        <f>IFERROR(IF($A246="","",IF(OR($S246="Collected",$S246="Waived",$S246="Uncollectible",$S246="No Charge Due"),"",IF($T246="",$B246+'Assumptions'!$B$9,$T246+'Assumptions'!$B$9))),"")</f>
        <v/>
      </c>
      <c r="AL246" s="48">
        <f>IFERROR(IF($A246="","",IF(OR($S246="Collected",$S246="Waived",$S246="Uncollectible",$S246="No Charge Due"),"Closed",IF($AK246&lt;TODAY(),"Overdue",IF($AK246=TODAY(),"Due","Open")))),"")</f>
        <v/>
      </c>
      <c r="AM246" s="49">
        <f>IFERROR(IF($A246="","",IF(COUNTIF($A$5:$A$504,$A246)&gt;1,"Duplicate reservation ID",IF($C246&lt;=$B246,"Check stay dates",IF($G246&gt;$F246,"Resold nights exceed booked nights",IF($M246+$N246&gt;$AA246+0.01,"Collection exceeds expected amount",IF(AND($S246="Collected",$M246=0),"Collected status has no amount",IF($AJ246&gt;='Assumptions'!$B$10,"High-cost review","OK"))))))),"")</f>
        <v/>
      </c>
    </row>
    <row r="247">
      <c r="A247" s="38" t="n"/>
      <c r="B247" s="39" t="n"/>
      <c r="C247" s="39" t="n"/>
      <c r="D247" s="38" t="n"/>
      <c r="E247" s="38" t="n"/>
      <c r="F247" s="40" t="n"/>
      <c r="G247" s="40" t="n"/>
      <c r="H247" s="41" t="n"/>
      <c r="I247" s="41" t="n"/>
      <c r="J247" s="42" t="n"/>
      <c r="K247" s="42" t="n"/>
      <c r="L247" s="42" t="n"/>
      <c r="M247" s="41" t="n"/>
      <c r="N247" s="41" t="n"/>
      <c r="O247" s="41" t="n"/>
      <c r="P247" s="41" t="n"/>
      <c r="Q247" s="40" t="n"/>
      <c r="R247" s="38" t="n"/>
      <c r="S247" s="38" t="n"/>
      <c r="T247" s="39" t="n"/>
      <c r="U247" s="43" t="n"/>
      <c r="V247" s="44">
        <f>IFERROR(IF($A247="","",MAX($F247-$G247,0)),"")</f>
        <v/>
      </c>
      <c r="W247" s="45">
        <f>IFERROR(IF($A247="","",$H247+$I247),"")</f>
        <v/>
      </c>
      <c r="X247" s="45">
        <f>IFERROR(IF($A247="","",$H247*IF($J247="",'Assumptions'!$B$4,$J247)),"")</f>
        <v/>
      </c>
      <c r="Y247" s="45">
        <f>IFERROR(IF($A247="","",$X247*IF($K247="",'Assumptions'!$B$12,$K247)),"")</f>
        <v/>
      </c>
      <c r="Z247" s="45">
        <f>IFERROR(IF($A247="","",($X247+$Y247)*IF($L247="",'Assumptions'!$B$13,$L247)),"")</f>
        <v/>
      </c>
      <c r="AA247" s="45">
        <f>IFERROR(IF($A247="","",$X247+$Y247+$Z247),"")</f>
        <v/>
      </c>
      <c r="AB247" s="45">
        <f>IFERROR(IF($A247="","",$V247*'Assumptions'!$B$5),"")</f>
        <v/>
      </c>
      <c r="AC247" s="45">
        <f>IFERROR(IF($A247="","",$I247*'Assumptions'!$B$6),"")</f>
        <v/>
      </c>
      <c r="AD247" s="45">
        <f>IFERROR(IF($A247="","",$AB247+$AC247),"")</f>
        <v/>
      </c>
      <c r="AE247" s="45">
        <f>IFERROR(IF($A247="","",($M247+$N247)*'Assumptions'!$B$7),"")</f>
        <v/>
      </c>
      <c r="AF247" s="45">
        <f>IFERROR(IF($A247="","",($Q247/60)*'Assumptions'!$B$8),"")</f>
        <v/>
      </c>
      <c r="AG247" s="45">
        <f>IFERROR(IF($A247="","",$P247+$AE247+$AF247),"")</f>
        <v/>
      </c>
      <c r="AH247" s="45">
        <f>IFERROR(IF($A247="","",$M247+$O247),"")</f>
        <v/>
      </c>
      <c r="AI247" s="46">
        <f>IFERROR(IF($A247="","",IFERROR($AH247/$W247,0)),"")</f>
        <v/>
      </c>
      <c r="AJ247" s="45">
        <f>IFERROR(IF($A247="","",$W247-$AH247-$AD247+$AG247),"")</f>
        <v/>
      </c>
      <c r="AK247" s="47">
        <f>IFERROR(IF($A247="","",IF(OR($S247="Collected",$S247="Waived",$S247="Uncollectible",$S247="No Charge Due"),"",IF($T247="",$B247+'Assumptions'!$B$9,$T247+'Assumptions'!$B$9))),"")</f>
        <v/>
      </c>
      <c r="AL247" s="48">
        <f>IFERROR(IF($A247="","",IF(OR($S247="Collected",$S247="Waived",$S247="Uncollectible",$S247="No Charge Due"),"Closed",IF($AK247&lt;TODAY(),"Overdue",IF($AK247=TODAY(),"Due","Open")))),"")</f>
        <v/>
      </c>
      <c r="AM247" s="49">
        <f>IFERROR(IF($A247="","",IF(COUNTIF($A$5:$A$504,$A247)&gt;1,"Duplicate reservation ID",IF($C247&lt;=$B247,"Check stay dates",IF($G247&gt;$F247,"Resold nights exceed booked nights",IF($M247+$N247&gt;$AA247+0.01,"Collection exceeds expected amount",IF(AND($S247="Collected",$M247=0),"Collected status has no amount",IF($AJ247&gt;='Assumptions'!$B$10,"High-cost review","OK"))))))),"")</f>
        <v/>
      </c>
    </row>
    <row r="248">
      <c r="A248" s="38" t="n"/>
      <c r="B248" s="39" t="n"/>
      <c r="C248" s="39" t="n"/>
      <c r="D248" s="38" t="n"/>
      <c r="E248" s="38" t="n"/>
      <c r="F248" s="40" t="n"/>
      <c r="G248" s="40" t="n"/>
      <c r="H248" s="41" t="n"/>
      <c r="I248" s="41" t="n"/>
      <c r="J248" s="42" t="n"/>
      <c r="K248" s="42" t="n"/>
      <c r="L248" s="42" t="n"/>
      <c r="M248" s="41" t="n"/>
      <c r="N248" s="41" t="n"/>
      <c r="O248" s="41" t="n"/>
      <c r="P248" s="41" t="n"/>
      <c r="Q248" s="40" t="n"/>
      <c r="R248" s="38" t="n"/>
      <c r="S248" s="38" t="n"/>
      <c r="T248" s="39" t="n"/>
      <c r="U248" s="43" t="n"/>
      <c r="V248" s="44">
        <f>IFERROR(IF($A248="","",MAX($F248-$G248,0)),"")</f>
        <v/>
      </c>
      <c r="W248" s="45">
        <f>IFERROR(IF($A248="","",$H248+$I248),"")</f>
        <v/>
      </c>
      <c r="X248" s="45">
        <f>IFERROR(IF($A248="","",$H248*IF($J248="",'Assumptions'!$B$4,$J248)),"")</f>
        <v/>
      </c>
      <c r="Y248" s="45">
        <f>IFERROR(IF($A248="","",$X248*IF($K248="",'Assumptions'!$B$12,$K248)),"")</f>
        <v/>
      </c>
      <c r="Z248" s="45">
        <f>IFERROR(IF($A248="","",($X248+$Y248)*IF($L248="",'Assumptions'!$B$13,$L248)),"")</f>
        <v/>
      </c>
      <c r="AA248" s="45">
        <f>IFERROR(IF($A248="","",$X248+$Y248+$Z248),"")</f>
        <v/>
      </c>
      <c r="AB248" s="45">
        <f>IFERROR(IF($A248="","",$V248*'Assumptions'!$B$5),"")</f>
        <v/>
      </c>
      <c r="AC248" s="45">
        <f>IFERROR(IF($A248="","",$I248*'Assumptions'!$B$6),"")</f>
        <v/>
      </c>
      <c r="AD248" s="45">
        <f>IFERROR(IF($A248="","",$AB248+$AC248),"")</f>
        <v/>
      </c>
      <c r="AE248" s="45">
        <f>IFERROR(IF($A248="","",($M248+$N248)*'Assumptions'!$B$7),"")</f>
        <v/>
      </c>
      <c r="AF248" s="45">
        <f>IFERROR(IF($A248="","",($Q248/60)*'Assumptions'!$B$8),"")</f>
        <v/>
      </c>
      <c r="AG248" s="45">
        <f>IFERROR(IF($A248="","",$P248+$AE248+$AF248),"")</f>
        <v/>
      </c>
      <c r="AH248" s="45">
        <f>IFERROR(IF($A248="","",$M248+$O248),"")</f>
        <v/>
      </c>
      <c r="AI248" s="46">
        <f>IFERROR(IF($A248="","",IFERROR($AH248/$W248,0)),"")</f>
        <v/>
      </c>
      <c r="AJ248" s="45">
        <f>IFERROR(IF($A248="","",$W248-$AH248-$AD248+$AG248),"")</f>
        <v/>
      </c>
      <c r="AK248" s="47">
        <f>IFERROR(IF($A248="","",IF(OR($S248="Collected",$S248="Waived",$S248="Uncollectible",$S248="No Charge Due"),"",IF($T248="",$B248+'Assumptions'!$B$9,$T248+'Assumptions'!$B$9))),"")</f>
        <v/>
      </c>
      <c r="AL248" s="48">
        <f>IFERROR(IF($A248="","",IF(OR($S248="Collected",$S248="Waived",$S248="Uncollectible",$S248="No Charge Due"),"Closed",IF($AK248&lt;TODAY(),"Overdue",IF($AK248=TODAY(),"Due","Open")))),"")</f>
        <v/>
      </c>
      <c r="AM248" s="49">
        <f>IFERROR(IF($A248="","",IF(COUNTIF($A$5:$A$504,$A248)&gt;1,"Duplicate reservation ID",IF($C248&lt;=$B248,"Check stay dates",IF($G248&gt;$F248,"Resold nights exceed booked nights",IF($M248+$N248&gt;$AA248+0.01,"Collection exceeds expected amount",IF(AND($S248="Collected",$M248=0),"Collected status has no amount",IF($AJ248&gt;='Assumptions'!$B$10,"High-cost review","OK"))))))),"")</f>
        <v/>
      </c>
    </row>
    <row r="249">
      <c r="A249" s="38" t="n"/>
      <c r="B249" s="39" t="n"/>
      <c r="C249" s="39" t="n"/>
      <c r="D249" s="38" t="n"/>
      <c r="E249" s="38" t="n"/>
      <c r="F249" s="40" t="n"/>
      <c r="G249" s="40" t="n"/>
      <c r="H249" s="41" t="n"/>
      <c r="I249" s="41" t="n"/>
      <c r="J249" s="42" t="n"/>
      <c r="K249" s="42" t="n"/>
      <c r="L249" s="42" t="n"/>
      <c r="M249" s="41" t="n"/>
      <c r="N249" s="41" t="n"/>
      <c r="O249" s="41" t="n"/>
      <c r="P249" s="41" t="n"/>
      <c r="Q249" s="40" t="n"/>
      <c r="R249" s="38" t="n"/>
      <c r="S249" s="38" t="n"/>
      <c r="T249" s="39" t="n"/>
      <c r="U249" s="43" t="n"/>
      <c r="V249" s="44">
        <f>IFERROR(IF($A249="","",MAX($F249-$G249,0)),"")</f>
        <v/>
      </c>
      <c r="W249" s="45">
        <f>IFERROR(IF($A249="","",$H249+$I249),"")</f>
        <v/>
      </c>
      <c r="X249" s="45">
        <f>IFERROR(IF($A249="","",$H249*IF($J249="",'Assumptions'!$B$4,$J249)),"")</f>
        <v/>
      </c>
      <c r="Y249" s="45">
        <f>IFERROR(IF($A249="","",$X249*IF($K249="",'Assumptions'!$B$12,$K249)),"")</f>
        <v/>
      </c>
      <c r="Z249" s="45">
        <f>IFERROR(IF($A249="","",($X249+$Y249)*IF($L249="",'Assumptions'!$B$13,$L249)),"")</f>
        <v/>
      </c>
      <c r="AA249" s="45">
        <f>IFERROR(IF($A249="","",$X249+$Y249+$Z249),"")</f>
        <v/>
      </c>
      <c r="AB249" s="45">
        <f>IFERROR(IF($A249="","",$V249*'Assumptions'!$B$5),"")</f>
        <v/>
      </c>
      <c r="AC249" s="45">
        <f>IFERROR(IF($A249="","",$I249*'Assumptions'!$B$6),"")</f>
        <v/>
      </c>
      <c r="AD249" s="45">
        <f>IFERROR(IF($A249="","",$AB249+$AC249),"")</f>
        <v/>
      </c>
      <c r="AE249" s="45">
        <f>IFERROR(IF($A249="","",($M249+$N249)*'Assumptions'!$B$7),"")</f>
        <v/>
      </c>
      <c r="AF249" s="45">
        <f>IFERROR(IF($A249="","",($Q249/60)*'Assumptions'!$B$8),"")</f>
        <v/>
      </c>
      <c r="AG249" s="45">
        <f>IFERROR(IF($A249="","",$P249+$AE249+$AF249),"")</f>
        <v/>
      </c>
      <c r="AH249" s="45">
        <f>IFERROR(IF($A249="","",$M249+$O249),"")</f>
        <v/>
      </c>
      <c r="AI249" s="46">
        <f>IFERROR(IF($A249="","",IFERROR($AH249/$W249,0)),"")</f>
        <v/>
      </c>
      <c r="AJ249" s="45">
        <f>IFERROR(IF($A249="","",$W249-$AH249-$AD249+$AG249),"")</f>
        <v/>
      </c>
      <c r="AK249" s="47">
        <f>IFERROR(IF($A249="","",IF(OR($S249="Collected",$S249="Waived",$S249="Uncollectible",$S249="No Charge Due"),"",IF($T249="",$B249+'Assumptions'!$B$9,$T249+'Assumptions'!$B$9))),"")</f>
        <v/>
      </c>
      <c r="AL249" s="48">
        <f>IFERROR(IF($A249="","",IF(OR($S249="Collected",$S249="Waived",$S249="Uncollectible",$S249="No Charge Due"),"Closed",IF($AK249&lt;TODAY(),"Overdue",IF($AK249=TODAY(),"Due","Open")))),"")</f>
        <v/>
      </c>
      <c r="AM249" s="49">
        <f>IFERROR(IF($A249="","",IF(COUNTIF($A$5:$A$504,$A249)&gt;1,"Duplicate reservation ID",IF($C249&lt;=$B249,"Check stay dates",IF($G249&gt;$F249,"Resold nights exceed booked nights",IF($M249+$N249&gt;$AA249+0.01,"Collection exceeds expected amount",IF(AND($S249="Collected",$M249=0),"Collected status has no amount",IF($AJ249&gt;='Assumptions'!$B$10,"High-cost review","OK"))))))),"")</f>
        <v/>
      </c>
    </row>
    <row r="250">
      <c r="A250" s="38" t="n"/>
      <c r="B250" s="39" t="n"/>
      <c r="C250" s="39" t="n"/>
      <c r="D250" s="38" t="n"/>
      <c r="E250" s="38" t="n"/>
      <c r="F250" s="40" t="n"/>
      <c r="G250" s="40" t="n"/>
      <c r="H250" s="41" t="n"/>
      <c r="I250" s="41" t="n"/>
      <c r="J250" s="42" t="n"/>
      <c r="K250" s="42" t="n"/>
      <c r="L250" s="42" t="n"/>
      <c r="M250" s="41" t="n"/>
      <c r="N250" s="41" t="n"/>
      <c r="O250" s="41" t="n"/>
      <c r="P250" s="41" t="n"/>
      <c r="Q250" s="40" t="n"/>
      <c r="R250" s="38" t="n"/>
      <c r="S250" s="38" t="n"/>
      <c r="T250" s="39" t="n"/>
      <c r="U250" s="43" t="n"/>
      <c r="V250" s="44">
        <f>IFERROR(IF($A250="","",MAX($F250-$G250,0)),"")</f>
        <v/>
      </c>
      <c r="W250" s="45">
        <f>IFERROR(IF($A250="","",$H250+$I250),"")</f>
        <v/>
      </c>
      <c r="X250" s="45">
        <f>IFERROR(IF($A250="","",$H250*IF($J250="",'Assumptions'!$B$4,$J250)),"")</f>
        <v/>
      </c>
      <c r="Y250" s="45">
        <f>IFERROR(IF($A250="","",$X250*IF($K250="",'Assumptions'!$B$12,$K250)),"")</f>
        <v/>
      </c>
      <c r="Z250" s="45">
        <f>IFERROR(IF($A250="","",($X250+$Y250)*IF($L250="",'Assumptions'!$B$13,$L250)),"")</f>
        <v/>
      </c>
      <c r="AA250" s="45">
        <f>IFERROR(IF($A250="","",$X250+$Y250+$Z250),"")</f>
        <v/>
      </c>
      <c r="AB250" s="45">
        <f>IFERROR(IF($A250="","",$V250*'Assumptions'!$B$5),"")</f>
        <v/>
      </c>
      <c r="AC250" s="45">
        <f>IFERROR(IF($A250="","",$I250*'Assumptions'!$B$6),"")</f>
        <v/>
      </c>
      <c r="AD250" s="45">
        <f>IFERROR(IF($A250="","",$AB250+$AC250),"")</f>
        <v/>
      </c>
      <c r="AE250" s="45">
        <f>IFERROR(IF($A250="","",($M250+$N250)*'Assumptions'!$B$7),"")</f>
        <v/>
      </c>
      <c r="AF250" s="45">
        <f>IFERROR(IF($A250="","",($Q250/60)*'Assumptions'!$B$8),"")</f>
        <v/>
      </c>
      <c r="AG250" s="45">
        <f>IFERROR(IF($A250="","",$P250+$AE250+$AF250),"")</f>
        <v/>
      </c>
      <c r="AH250" s="45">
        <f>IFERROR(IF($A250="","",$M250+$O250),"")</f>
        <v/>
      </c>
      <c r="AI250" s="46">
        <f>IFERROR(IF($A250="","",IFERROR($AH250/$W250,0)),"")</f>
        <v/>
      </c>
      <c r="AJ250" s="45">
        <f>IFERROR(IF($A250="","",$W250-$AH250-$AD250+$AG250),"")</f>
        <v/>
      </c>
      <c r="AK250" s="47">
        <f>IFERROR(IF($A250="","",IF(OR($S250="Collected",$S250="Waived",$S250="Uncollectible",$S250="No Charge Due"),"",IF($T250="",$B250+'Assumptions'!$B$9,$T250+'Assumptions'!$B$9))),"")</f>
        <v/>
      </c>
      <c r="AL250" s="48">
        <f>IFERROR(IF($A250="","",IF(OR($S250="Collected",$S250="Waived",$S250="Uncollectible",$S250="No Charge Due"),"Closed",IF($AK250&lt;TODAY(),"Overdue",IF($AK250=TODAY(),"Due","Open")))),"")</f>
        <v/>
      </c>
      <c r="AM250" s="49">
        <f>IFERROR(IF($A250="","",IF(COUNTIF($A$5:$A$504,$A250)&gt;1,"Duplicate reservation ID",IF($C250&lt;=$B250,"Check stay dates",IF($G250&gt;$F250,"Resold nights exceed booked nights",IF($M250+$N250&gt;$AA250+0.01,"Collection exceeds expected amount",IF(AND($S250="Collected",$M250=0),"Collected status has no amount",IF($AJ250&gt;='Assumptions'!$B$10,"High-cost review","OK"))))))),"")</f>
        <v/>
      </c>
    </row>
    <row r="251">
      <c r="A251" s="38" t="n"/>
      <c r="B251" s="39" t="n"/>
      <c r="C251" s="39" t="n"/>
      <c r="D251" s="38" t="n"/>
      <c r="E251" s="38" t="n"/>
      <c r="F251" s="40" t="n"/>
      <c r="G251" s="40" t="n"/>
      <c r="H251" s="41" t="n"/>
      <c r="I251" s="41" t="n"/>
      <c r="J251" s="42" t="n"/>
      <c r="K251" s="42" t="n"/>
      <c r="L251" s="42" t="n"/>
      <c r="M251" s="41" t="n"/>
      <c r="N251" s="41" t="n"/>
      <c r="O251" s="41" t="n"/>
      <c r="P251" s="41" t="n"/>
      <c r="Q251" s="40" t="n"/>
      <c r="R251" s="38" t="n"/>
      <c r="S251" s="38" t="n"/>
      <c r="T251" s="39" t="n"/>
      <c r="U251" s="43" t="n"/>
      <c r="V251" s="44">
        <f>IFERROR(IF($A251="","",MAX($F251-$G251,0)),"")</f>
        <v/>
      </c>
      <c r="W251" s="45">
        <f>IFERROR(IF($A251="","",$H251+$I251),"")</f>
        <v/>
      </c>
      <c r="X251" s="45">
        <f>IFERROR(IF($A251="","",$H251*IF($J251="",'Assumptions'!$B$4,$J251)),"")</f>
        <v/>
      </c>
      <c r="Y251" s="45">
        <f>IFERROR(IF($A251="","",$X251*IF($K251="",'Assumptions'!$B$12,$K251)),"")</f>
        <v/>
      </c>
      <c r="Z251" s="45">
        <f>IFERROR(IF($A251="","",($X251+$Y251)*IF($L251="",'Assumptions'!$B$13,$L251)),"")</f>
        <v/>
      </c>
      <c r="AA251" s="45">
        <f>IFERROR(IF($A251="","",$X251+$Y251+$Z251),"")</f>
        <v/>
      </c>
      <c r="AB251" s="45">
        <f>IFERROR(IF($A251="","",$V251*'Assumptions'!$B$5),"")</f>
        <v/>
      </c>
      <c r="AC251" s="45">
        <f>IFERROR(IF($A251="","",$I251*'Assumptions'!$B$6),"")</f>
        <v/>
      </c>
      <c r="AD251" s="45">
        <f>IFERROR(IF($A251="","",$AB251+$AC251),"")</f>
        <v/>
      </c>
      <c r="AE251" s="45">
        <f>IFERROR(IF($A251="","",($M251+$N251)*'Assumptions'!$B$7),"")</f>
        <v/>
      </c>
      <c r="AF251" s="45">
        <f>IFERROR(IF($A251="","",($Q251/60)*'Assumptions'!$B$8),"")</f>
        <v/>
      </c>
      <c r="AG251" s="45">
        <f>IFERROR(IF($A251="","",$P251+$AE251+$AF251),"")</f>
        <v/>
      </c>
      <c r="AH251" s="45">
        <f>IFERROR(IF($A251="","",$M251+$O251),"")</f>
        <v/>
      </c>
      <c r="AI251" s="46">
        <f>IFERROR(IF($A251="","",IFERROR($AH251/$W251,0)),"")</f>
        <v/>
      </c>
      <c r="AJ251" s="45">
        <f>IFERROR(IF($A251="","",$W251-$AH251-$AD251+$AG251),"")</f>
        <v/>
      </c>
      <c r="AK251" s="47">
        <f>IFERROR(IF($A251="","",IF(OR($S251="Collected",$S251="Waived",$S251="Uncollectible",$S251="No Charge Due"),"",IF($T251="",$B251+'Assumptions'!$B$9,$T251+'Assumptions'!$B$9))),"")</f>
        <v/>
      </c>
      <c r="AL251" s="48">
        <f>IFERROR(IF($A251="","",IF(OR($S251="Collected",$S251="Waived",$S251="Uncollectible",$S251="No Charge Due"),"Closed",IF($AK251&lt;TODAY(),"Overdue",IF($AK251=TODAY(),"Due","Open")))),"")</f>
        <v/>
      </c>
      <c r="AM251" s="49">
        <f>IFERROR(IF($A251="","",IF(COUNTIF($A$5:$A$504,$A251)&gt;1,"Duplicate reservation ID",IF($C251&lt;=$B251,"Check stay dates",IF($G251&gt;$F251,"Resold nights exceed booked nights",IF($M251+$N251&gt;$AA251+0.01,"Collection exceeds expected amount",IF(AND($S251="Collected",$M251=0),"Collected status has no amount",IF($AJ251&gt;='Assumptions'!$B$10,"High-cost review","OK"))))))),"")</f>
        <v/>
      </c>
    </row>
    <row r="252">
      <c r="A252" s="38" t="n"/>
      <c r="B252" s="39" t="n"/>
      <c r="C252" s="39" t="n"/>
      <c r="D252" s="38" t="n"/>
      <c r="E252" s="38" t="n"/>
      <c r="F252" s="40" t="n"/>
      <c r="G252" s="40" t="n"/>
      <c r="H252" s="41" t="n"/>
      <c r="I252" s="41" t="n"/>
      <c r="J252" s="42" t="n"/>
      <c r="K252" s="42" t="n"/>
      <c r="L252" s="42" t="n"/>
      <c r="M252" s="41" t="n"/>
      <c r="N252" s="41" t="n"/>
      <c r="O252" s="41" t="n"/>
      <c r="P252" s="41" t="n"/>
      <c r="Q252" s="40" t="n"/>
      <c r="R252" s="38" t="n"/>
      <c r="S252" s="38" t="n"/>
      <c r="T252" s="39" t="n"/>
      <c r="U252" s="43" t="n"/>
      <c r="V252" s="44">
        <f>IFERROR(IF($A252="","",MAX($F252-$G252,0)),"")</f>
        <v/>
      </c>
      <c r="W252" s="45">
        <f>IFERROR(IF($A252="","",$H252+$I252),"")</f>
        <v/>
      </c>
      <c r="X252" s="45">
        <f>IFERROR(IF($A252="","",$H252*IF($J252="",'Assumptions'!$B$4,$J252)),"")</f>
        <v/>
      </c>
      <c r="Y252" s="45">
        <f>IFERROR(IF($A252="","",$X252*IF($K252="",'Assumptions'!$B$12,$K252)),"")</f>
        <v/>
      </c>
      <c r="Z252" s="45">
        <f>IFERROR(IF($A252="","",($X252+$Y252)*IF($L252="",'Assumptions'!$B$13,$L252)),"")</f>
        <v/>
      </c>
      <c r="AA252" s="45">
        <f>IFERROR(IF($A252="","",$X252+$Y252+$Z252),"")</f>
        <v/>
      </c>
      <c r="AB252" s="45">
        <f>IFERROR(IF($A252="","",$V252*'Assumptions'!$B$5),"")</f>
        <v/>
      </c>
      <c r="AC252" s="45">
        <f>IFERROR(IF($A252="","",$I252*'Assumptions'!$B$6),"")</f>
        <v/>
      </c>
      <c r="AD252" s="45">
        <f>IFERROR(IF($A252="","",$AB252+$AC252),"")</f>
        <v/>
      </c>
      <c r="AE252" s="45">
        <f>IFERROR(IF($A252="","",($M252+$N252)*'Assumptions'!$B$7),"")</f>
        <v/>
      </c>
      <c r="AF252" s="45">
        <f>IFERROR(IF($A252="","",($Q252/60)*'Assumptions'!$B$8),"")</f>
        <v/>
      </c>
      <c r="AG252" s="45">
        <f>IFERROR(IF($A252="","",$P252+$AE252+$AF252),"")</f>
        <v/>
      </c>
      <c r="AH252" s="45">
        <f>IFERROR(IF($A252="","",$M252+$O252),"")</f>
        <v/>
      </c>
      <c r="AI252" s="46">
        <f>IFERROR(IF($A252="","",IFERROR($AH252/$W252,0)),"")</f>
        <v/>
      </c>
      <c r="AJ252" s="45">
        <f>IFERROR(IF($A252="","",$W252-$AH252-$AD252+$AG252),"")</f>
        <v/>
      </c>
      <c r="AK252" s="47">
        <f>IFERROR(IF($A252="","",IF(OR($S252="Collected",$S252="Waived",$S252="Uncollectible",$S252="No Charge Due"),"",IF($T252="",$B252+'Assumptions'!$B$9,$T252+'Assumptions'!$B$9))),"")</f>
        <v/>
      </c>
      <c r="AL252" s="48">
        <f>IFERROR(IF($A252="","",IF(OR($S252="Collected",$S252="Waived",$S252="Uncollectible",$S252="No Charge Due"),"Closed",IF($AK252&lt;TODAY(),"Overdue",IF($AK252=TODAY(),"Due","Open")))),"")</f>
        <v/>
      </c>
      <c r="AM252" s="49">
        <f>IFERROR(IF($A252="","",IF(COUNTIF($A$5:$A$504,$A252)&gt;1,"Duplicate reservation ID",IF($C252&lt;=$B252,"Check stay dates",IF($G252&gt;$F252,"Resold nights exceed booked nights",IF($M252+$N252&gt;$AA252+0.01,"Collection exceeds expected amount",IF(AND($S252="Collected",$M252=0),"Collected status has no amount",IF($AJ252&gt;='Assumptions'!$B$10,"High-cost review","OK"))))))),"")</f>
        <v/>
      </c>
    </row>
    <row r="253">
      <c r="A253" s="38" t="n"/>
      <c r="B253" s="39" t="n"/>
      <c r="C253" s="39" t="n"/>
      <c r="D253" s="38" t="n"/>
      <c r="E253" s="38" t="n"/>
      <c r="F253" s="40" t="n"/>
      <c r="G253" s="40" t="n"/>
      <c r="H253" s="41" t="n"/>
      <c r="I253" s="41" t="n"/>
      <c r="J253" s="42" t="n"/>
      <c r="K253" s="42" t="n"/>
      <c r="L253" s="42" t="n"/>
      <c r="M253" s="41" t="n"/>
      <c r="N253" s="41" t="n"/>
      <c r="O253" s="41" t="n"/>
      <c r="P253" s="41" t="n"/>
      <c r="Q253" s="40" t="n"/>
      <c r="R253" s="38" t="n"/>
      <c r="S253" s="38" t="n"/>
      <c r="T253" s="39" t="n"/>
      <c r="U253" s="43" t="n"/>
      <c r="V253" s="44">
        <f>IFERROR(IF($A253="","",MAX($F253-$G253,0)),"")</f>
        <v/>
      </c>
      <c r="W253" s="45">
        <f>IFERROR(IF($A253="","",$H253+$I253),"")</f>
        <v/>
      </c>
      <c r="X253" s="45">
        <f>IFERROR(IF($A253="","",$H253*IF($J253="",'Assumptions'!$B$4,$J253)),"")</f>
        <v/>
      </c>
      <c r="Y253" s="45">
        <f>IFERROR(IF($A253="","",$X253*IF($K253="",'Assumptions'!$B$12,$K253)),"")</f>
        <v/>
      </c>
      <c r="Z253" s="45">
        <f>IFERROR(IF($A253="","",($X253+$Y253)*IF($L253="",'Assumptions'!$B$13,$L253)),"")</f>
        <v/>
      </c>
      <c r="AA253" s="45">
        <f>IFERROR(IF($A253="","",$X253+$Y253+$Z253),"")</f>
        <v/>
      </c>
      <c r="AB253" s="45">
        <f>IFERROR(IF($A253="","",$V253*'Assumptions'!$B$5),"")</f>
        <v/>
      </c>
      <c r="AC253" s="45">
        <f>IFERROR(IF($A253="","",$I253*'Assumptions'!$B$6),"")</f>
        <v/>
      </c>
      <c r="AD253" s="45">
        <f>IFERROR(IF($A253="","",$AB253+$AC253),"")</f>
        <v/>
      </c>
      <c r="AE253" s="45">
        <f>IFERROR(IF($A253="","",($M253+$N253)*'Assumptions'!$B$7),"")</f>
        <v/>
      </c>
      <c r="AF253" s="45">
        <f>IFERROR(IF($A253="","",($Q253/60)*'Assumptions'!$B$8),"")</f>
        <v/>
      </c>
      <c r="AG253" s="45">
        <f>IFERROR(IF($A253="","",$P253+$AE253+$AF253),"")</f>
        <v/>
      </c>
      <c r="AH253" s="45">
        <f>IFERROR(IF($A253="","",$M253+$O253),"")</f>
        <v/>
      </c>
      <c r="AI253" s="46">
        <f>IFERROR(IF($A253="","",IFERROR($AH253/$W253,0)),"")</f>
        <v/>
      </c>
      <c r="AJ253" s="45">
        <f>IFERROR(IF($A253="","",$W253-$AH253-$AD253+$AG253),"")</f>
        <v/>
      </c>
      <c r="AK253" s="47">
        <f>IFERROR(IF($A253="","",IF(OR($S253="Collected",$S253="Waived",$S253="Uncollectible",$S253="No Charge Due"),"",IF($T253="",$B253+'Assumptions'!$B$9,$T253+'Assumptions'!$B$9))),"")</f>
        <v/>
      </c>
      <c r="AL253" s="48">
        <f>IFERROR(IF($A253="","",IF(OR($S253="Collected",$S253="Waived",$S253="Uncollectible",$S253="No Charge Due"),"Closed",IF($AK253&lt;TODAY(),"Overdue",IF($AK253=TODAY(),"Due","Open")))),"")</f>
        <v/>
      </c>
      <c r="AM253" s="49">
        <f>IFERROR(IF($A253="","",IF(COUNTIF($A$5:$A$504,$A253)&gt;1,"Duplicate reservation ID",IF($C253&lt;=$B253,"Check stay dates",IF($G253&gt;$F253,"Resold nights exceed booked nights",IF($M253+$N253&gt;$AA253+0.01,"Collection exceeds expected amount",IF(AND($S253="Collected",$M253=0),"Collected status has no amount",IF($AJ253&gt;='Assumptions'!$B$10,"High-cost review","OK"))))))),"")</f>
        <v/>
      </c>
    </row>
    <row r="254">
      <c r="A254" s="38" t="n"/>
      <c r="B254" s="39" t="n"/>
      <c r="C254" s="39" t="n"/>
      <c r="D254" s="38" t="n"/>
      <c r="E254" s="38" t="n"/>
      <c r="F254" s="40" t="n"/>
      <c r="G254" s="40" t="n"/>
      <c r="H254" s="41" t="n"/>
      <c r="I254" s="41" t="n"/>
      <c r="J254" s="42" t="n"/>
      <c r="K254" s="42" t="n"/>
      <c r="L254" s="42" t="n"/>
      <c r="M254" s="41" t="n"/>
      <c r="N254" s="41" t="n"/>
      <c r="O254" s="41" t="n"/>
      <c r="P254" s="41" t="n"/>
      <c r="Q254" s="40" t="n"/>
      <c r="R254" s="38" t="n"/>
      <c r="S254" s="38" t="n"/>
      <c r="T254" s="39" t="n"/>
      <c r="U254" s="43" t="n"/>
      <c r="V254" s="44">
        <f>IFERROR(IF($A254="","",MAX($F254-$G254,0)),"")</f>
        <v/>
      </c>
      <c r="W254" s="45">
        <f>IFERROR(IF($A254="","",$H254+$I254),"")</f>
        <v/>
      </c>
      <c r="X254" s="45">
        <f>IFERROR(IF($A254="","",$H254*IF($J254="",'Assumptions'!$B$4,$J254)),"")</f>
        <v/>
      </c>
      <c r="Y254" s="45">
        <f>IFERROR(IF($A254="","",$X254*IF($K254="",'Assumptions'!$B$12,$K254)),"")</f>
        <v/>
      </c>
      <c r="Z254" s="45">
        <f>IFERROR(IF($A254="","",($X254+$Y254)*IF($L254="",'Assumptions'!$B$13,$L254)),"")</f>
        <v/>
      </c>
      <c r="AA254" s="45">
        <f>IFERROR(IF($A254="","",$X254+$Y254+$Z254),"")</f>
        <v/>
      </c>
      <c r="AB254" s="45">
        <f>IFERROR(IF($A254="","",$V254*'Assumptions'!$B$5),"")</f>
        <v/>
      </c>
      <c r="AC254" s="45">
        <f>IFERROR(IF($A254="","",$I254*'Assumptions'!$B$6),"")</f>
        <v/>
      </c>
      <c r="AD254" s="45">
        <f>IFERROR(IF($A254="","",$AB254+$AC254),"")</f>
        <v/>
      </c>
      <c r="AE254" s="45">
        <f>IFERROR(IF($A254="","",($M254+$N254)*'Assumptions'!$B$7),"")</f>
        <v/>
      </c>
      <c r="AF254" s="45">
        <f>IFERROR(IF($A254="","",($Q254/60)*'Assumptions'!$B$8),"")</f>
        <v/>
      </c>
      <c r="AG254" s="45">
        <f>IFERROR(IF($A254="","",$P254+$AE254+$AF254),"")</f>
        <v/>
      </c>
      <c r="AH254" s="45">
        <f>IFERROR(IF($A254="","",$M254+$O254),"")</f>
        <v/>
      </c>
      <c r="AI254" s="46">
        <f>IFERROR(IF($A254="","",IFERROR($AH254/$W254,0)),"")</f>
        <v/>
      </c>
      <c r="AJ254" s="45">
        <f>IFERROR(IF($A254="","",$W254-$AH254-$AD254+$AG254),"")</f>
        <v/>
      </c>
      <c r="AK254" s="47">
        <f>IFERROR(IF($A254="","",IF(OR($S254="Collected",$S254="Waived",$S254="Uncollectible",$S254="No Charge Due"),"",IF($T254="",$B254+'Assumptions'!$B$9,$T254+'Assumptions'!$B$9))),"")</f>
        <v/>
      </c>
      <c r="AL254" s="48">
        <f>IFERROR(IF($A254="","",IF(OR($S254="Collected",$S254="Waived",$S254="Uncollectible",$S254="No Charge Due"),"Closed",IF($AK254&lt;TODAY(),"Overdue",IF($AK254=TODAY(),"Due","Open")))),"")</f>
        <v/>
      </c>
      <c r="AM254" s="49">
        <f>IFERROR(IF($A254="","",IF(COUNTIF($A$5:$A$504,$A254)&gt;1,"Duplicate reservation ID",IF($C254&lt;=$B254,"Check stay dates",IF($G254&gt;$F254,"Resold nights exceed booked nights",IF($M254+$N254&gt;$AA254+0.01,"Collection exceeds expected amount",IF(AND($S254="Collected",$M254=0),"Collected status has no amount",IF($AJ254&gt;='Assumptions'!$B$10,"High-cost review","OK"))))))),"")</f>
        <v/>
      </c>
    </row>
    <row r="255">
      <c r="A255" s="38" t="n"/>
      <c r="B255" s="39" t="n"/>
      <c r="C255" s="39" t="n"/>
      <c r="D255" s="38" t="n"/>
      <c r="E255" s="38" t="n"/>
      <c r="F255" s="40" t="n"/>
      <c r="G255" s="40" t="n"/>
      <c r="H255" s="41" t="n"/>
      <c r="I255" s="41" t="n"/>
      <c r="J255" s="42" t="n"/>
      <c r="K255" s="42" t="n"/>
      <c r="L255" s="42" t="n"/>
      <c r="M255" s="41" t="n"/>
      <c r="N255" s="41" t="n"/>
      <c r="O255" s="41" t="n"/>
      <c r="P255" s="41" t="n"/>
      <c r="Q255" s="40" t="n"/>
      <c r="R255" s="38" t="n"/>
      <c r="S255" s="38" t="n"/>
      <c r="T255" s="39" t="n"/>
      <c r="U255" s="43" t="n"/>
      <c r="V255" s="44">
        <f>IFERROR(IF($A255="","",MAX($F255-$G255,0)),"")</f>
        <v/>
      </c>
      <c r="W255" s="45">
        <f>IFERROR(IF($A255="","",$H255+$I255),"")</f>
        <v/>
      </c>
      <c r="X255" s="45">
        <f>IFERROR(IF($A255="","",$H255*IF($J255="",'Assumptions'!$B$4,$J255)),"")</f>
        <v/>
      </c>
      <c r="Y255" s="45">
        <f>IFERROR(IF($A255="","",$X255*IF($K255="",'Assumptions'!$B$12,$K255)),"")</f>
        <v/>
      </c>
      <c r="Z255" s="45">
        <f>IFERROR(IF($A255="","",($X255+$Y255)*IF($L255="",'Assumptions'!$B$13,$L255)),"")</f>
        <v/>
      </c>
      <c r="AA255" s="45">
        <f>IFERROR(IF($A255="","",$X255+$Y255+$Z255),"")</f>
        <v/>
      </c>
      <c r="AB255" s="45">
        <f>IFERROR(IF($A255="","",$V255*'Assumptions'!$B$5),"")</f>
        <v/>
      </c>
      <c r="AC255" s="45">
        <f>IFERROR(IF($A255="","",$I255*'Assumptions'!$B$6),"")</f>
        <v/>
      </c>
      <c r="AD255" s="45">
        <f>IFERROR(IF($A255="","",$AB255+$AC255),"")</f>
        <v/>
      </c>
      <c r="AE255" s="45">
        <f>IFERROR(IF($A255="","",($M255+$N255)*'Assumptions'!$B$7),"")</f>
        <v/>
      </c>
      <c r="AF255" s="45">
        <f>IFERROR(IF($A255="","",($Q255/60)*'Assumptions'!$B$8),"")</f>
        <v/>
      </c>
      <c r="AG255" s="45">
        <f>IFERROR(IF($A255="","",$P255+$AE255+$AF255),"")</f>
        <v/>
      </c>
      <c r="AH255" s="45">
        <f>IFERROR(IF($A255="","",$M255+$O255),"")</f>
        <v/>
      </c>
      <c r="AI255" s="46">
        <f>IFERROR(IF($A255="","",IFERROR($AH255/$W255,0)),"")</f>
        <v/>
      </c>
      <c r="AJ255" s="45">
        <f>IFERROR(IF($A255="","",$W255-$AH255-$AD255+$AG255),"")</f>
        <v/>
      </c>
      <c r="AK255" s="47">
        <f>IFERROR(IF($A255="","",IF(OR($S255="Collected",$S255="Waived",$S255="Uncollectible",$S255="No Charge Due"),"",IF($T255="",$B255+'Assumptions'!$B$9,$T255+'Assumptions'!$B$9))),"")</f>
        <v/>
      </c>
      <c r="AL255" s="48">
        <f>IFERROR(IF($A255="","",IF(OR($S255="Collected",$S255="Waived",$S255="Uncollectible",$S255="No Charge Due"),"Closed",IF($AK255&lt;TODAY(),"Overdue",IF($AK255=TODAY(),"Due","Open")))),"")</f>
        <v/>
      </c>
      <c r="AM255" s="49">
        <f>IFERROR(IF($A255="","",IF(COUNTIF($A$5:$A$504,$A255)&gt;1,"Duplicate reservation ID",IF($C255&lt;=$B255,"Check stay dates",IF($G255&gt;$F255,"Resold nights exceed booked nights",IF($M255+$N255&gt;$AA255+0.01,"Collection exceeds expected amount",IF(AND($S255="Collected",$M255=0),"Collected status has no amount",IF($AJ255&gt;='Assumptions'!$B$10,"High-cost review","OK"))))))),"")</f>
        <v/>
      </c>
    </row>
    <row r="256">
      <c r="A256" s="38" t="n"/>
      <c r="B256" s="39" t="n"/>
      <c r="C256" s="39" t="n"/>
      <c r="D256" s="38" t="n"/>
      <c r="E256" s="38" t="n"/>
      <c r="F256" s="40" t="n"/>
      <c r="G256" s="40" t="n"/>
      <c r="H256" s="41" t="n"/>
      <c r="I256" s="41" t="n"/>
      <c r="J256" s="42" t="n"/>
      <c r="K256" s="42" t="n"/>
      <c r="L256" s="42" t="n"/>
      <c r="M256" s="41" t="n"/>
      <c r="N256" s="41" t="n"/>
      <c r="O256" s="41" t="n"/>
      <c r="P256" s="41" t="n"/>
      <c r="Q256" s="40" t="n"/>
      <c r="R256" s="38" t="n"/>
      <c r="S256" s="38" t="n"/>
      <c r="T256" s="39" t="n"/>
      <c r="U256" s="43" t="n"/>
      <c r="V256" s="44">
        <f>IFERROR(IF($A256="","",MAX($F256-$G256,0)),"")</f>
        <v/>
      </c>
      <c r="W256" s="45">
        <f>IFERROR(IF($A256="","",$H256+$I256),"")</f>
        <v/>
      </c>
      <c r="X256" s="45">
        <f>IFERROR(IF($A256="","",$H256*IF($J256="",'Assumptions'!$B$4,$J256)),"")</f>
        <v/>
      </c>
      <c r="Y256" s="45">
        <f>IFERROR(IF($A256="","",$X256*IF($K256="",'Assumptions'!$B$12,$K256)),"")</f>
        <v/>
      </c>
      <c r="Z256" s="45">
        <f>IFERROR(IF($A256="","",($X256+$Y256)*IF($L256="",'Assumptions'!$B$13,$L256)),"")</f>
        <v/>
      </c>
      <c r="AA256" s="45">
        <f>IFERROR(IF($A256="","",$X256+$Y256+$Z256),"")</f>
        <v/>
      </c>
      <c r="AB256" s="45">
        <f>IFERROR(IF($A256="","",$V256*'Assumptions'!$B$5),"")</f>
        <v/>
      </c>
      <c r="AC256" s="45">
        <f>IFERROR(IF($A256="","",$I256*'Assumptions'!$B$6),"")</f>
        <v/>
      </c>
      <c r="AD256" s="45">
        <f>IFERROR(IF($A256="","",$AB256+$AC256),"")</f>
        <v/>
      </c>
      <c r="AE256" s="45">
        <f>IFERROR(IF($A256="","",($M256+$N256)*'Assumptions'!$B$7),"")</f>
        <v/>
      </c>
      <c r="AF256" s="45">
        <f>IFERROR(IF($A256="","",($Q256/60)*'Assumptions'!$B$8),"")</f>
        <v/>
      </c>
      <c r="AG256" s="45">
        <f>IFERROR(IF($A256="","",$P256+$AE256+$AF256),"")</f>
        <v/>
      </c>
      <c r="AH256" s="45">
        <f>IFERROR(IF($A256="","",$M256+$O256),"")</f>
        <v/>
      </c>
      <c r="AI256" s="46">
        <f>IFERROR(IF($A256="","",IFERROR($AH256/$W256,0)),"")</f>
        <v/>
      </c>
      <c r="AJ256" s="45">
        <f>IFERROR(IF($A256="","",$W256-$AH256-$AD256+$AG256),"")</f>
        <v/>
      </c>
      <c r="AK256" s="47">
        <f>IFERROR(IF($A256="","",IF(OR($S256="Collected",$S256="Waived",$S256="Uncollectible",$S256="No Charge Due"),"",IF($T256="",$B256+'Assumptions'!$B$9,$T256+'Assumptions'!$B$9))),"")</f>
        <v/>
      </c>
      <c r="AL256" s="48">
        <f>IFERROR(IF($A256="","",IF(OR($S256="Collected",$S256="Waived",$S256="Uncollectible",$S256="No Charge Due"),"Closed",IF($AK256&lt;TODAY(),"Overdue",IF($AK256=TODAY(),"Due","Open")))),"")</f>
        <v/>
      </c>
      <c r="AM256" s="49">
        <f>IFERROR(IF($A256="","",IF(COUNTIF($A$5:$A$504,$A256)&gt;1,"Duplicate reservation ID",IF($C256&lt;=$B256,"Check stay dates",IF($G256&gt;$F256,"Resold nights exceed booked nights",IF($M256+$N256&gt;$AA256+0.01,"Collection exceeds expected amount",IF(AND($S256="Collected",$M256=0),"Collected status has no amount",IF($AJ256&gt;='Assumptions'!$B$10,"High-cost review","OK"))))))),"")</f>
        <v/>
      </c>
    </row>
    <row r="257">
      <c r="A257" s="38" t="n"/>
      <c r="B257" s="39" t="n"/>
      <c r="C257" s="39" t="n"/>
      <c r="D257" s="38" t="n"/>
      <c r="E257" s="38" t="n"/>
      <c r="F257" s="40" t="n"/>
      <c r="G257" s="40" t="n"/>
      <c r="H257" s="41" t="n"/>
      <c r="I257" s="41" t="n"/>
      <c r="J257" s="42" t="n"/>
      <c r="K257" s="42" t="n"/>
      <c r="L257" s="42" t="n"/>
      <c r="M257" s="41" t="n"/>
      <c r="N257" s="41" t="n"/>
      <c r="O257" s="41" t="n"/>
      <c r="P257" s="41" t="n"/>
      <c r="Q257" s="40" t="n"/>
      <c r="R257" s="38" t="n"/>
      <c r="S257" s="38" t="n"/>
      <c r="T257" s="39" t="n"/>
      <c r="U257" s="43" t="n"/>
      <c r="V257" s="44">
        <f>IFERROR(IF($A257="","",MAX($F257-$G257,0)),"")</f>
        <v/>
      </c>
      <c r="W257" s="45">
        <f>IFERROR(IF($A257="","",$H257+$I257),"")</f>
        <v/>
      </c>
      <c r="X257" s="45">
        <f>IFERROR(IF($A257="","",$H257*IF($J257="",'Assumptions'!$B$4,$J257)),"")</f>
        <v/>
      </c>
      <c r="Y257" s="45">
        <f>IFERROR(IF($A257="","",$X257*IF($K257="",'Assumptions'!$B$12,$K257)),"")</f>
        <v/>
      </c>
      <c r="Z257" s="45">
        <f>IFERROR(IF($A257="","",($X257+$Y257)*IF($L257="",'Assumptions'!$B$13,$L257)),"")</f>
        <v/>
      </c>
      <c r="AA257" s="45">
        <f>IFERROR(IF($A257="","",$X257+$Y257+$Z257),"")</f>
        <v/>
      </c>
      <c r="AB257" s="45">
        <f>IFERROR(IF($A257="","",$V257*'Assumptions'!$B$5),"")</f>
        <v/>
      </c>
      <c r="AC257" s="45">
        <f>IFERROR(IF($A257="","",$I257*'Assumptions'!$B$6),"")</f>
        <v/>
      </c>
      <c r="AD257" s="45">
        <f>IFERROR(IF($A257="","",$AB257+$AC257),"")</f>
        <v/>
      </c>
      <c r="AE257" s="45">
        <f>IFERROR(IF($A257="","",($M257+$N257)*'Assumptions'!$B$7),"")</f>
        <v/>
      </c>
      <c r="AF257" s="45">
        <f>IFERROR(IF($A257="","",($Q257/60)*'Assumptions'!$B$8),"")</f>
        <v/>
      </c>
      <c r="AG257" s="45">
        <f>IFERROR(IF($A257="","",$P257+$AE257+$AF257),"")</f>
        <v/>
      </c>
      <c r="AH257" s="45">
        <f>IFERROR(IF($A257="","",$M257+$O257),"")</f>
        <v/>
      </c>
      <c r="AI257" s="46">
        <f>IFERROR(IF($A257="","",IFERROR($AH257/$W257,0)),"")</f>
        <v/>
      </c>
      <c r="AJ257" s="45">
        <f>IFERROR(IF($A257="","",$W257-$AH257-$AD257+$AG257),"")</f>
        <v/>
      </c>
      <c r="AK257" s="47">
        <f>IFERROR(IF($A257="","",IF(OR($S257="Collected",$S257="Waived",$S257="Uncollectible",$S257="No Charge Due"),"",IF($T257="",$B257+'Assumptions'!$B$9,$T257+'Assumptions'!$B$9))),"")</f>
        <v/>
      </c>
      <c r="AL257" s="48">
        <f>IFERROR(IF($A257="","",IF(OR($S257="Collected",$S257="Waived",$S257="Uncollectible",$S257="No Charge Due"),"Closed",IF($AK257&lt;TODAY(),"Overdue",IF($AK257=TODAY(),"Due","Open")))),"")</f>
        <v/>
      </c>
      <c r="AM257" s="49">
        <f>IFERROR(IF($A257="","",IF(COUNTIF($A$5:$A$504,$A257)&gt;1,"Duplicate reservation ID",IF($C257&lt;=$B257,"Check stay dates",IF($G257&gt;$F257,"Resold nights exceed booked nights",IF($M257+$N257&gt;$AA257+0.01,"Collection exceeds expected amount",IF(AND($S257="Collected",$M257=0),"Collected status has no amount",IF($AJ257&gt;='Assumptions'!$B$10,"High-cost review","OK"))))))),"")</f>
        <v/>
      </c>
    </row>
    <row r="258">
      <c r="A258" s="38" t="n"/>
      <c r="B258" s="39" t="n"/>
      <c r="C258" s="39" t="n"/>
      <c r="D258" s="38" t="n"/>
      <c r="E258" s="38" t="n"/>
      <c r="F258" s="40" t="n"/>
      <c r="G258" s="40" t="n"/>
      <c r="H258" s="41" t="n"/>
      <c r="I258" s="41" t="n"/>
      <c r="J258" s="42" t="n"/>
      <c r="K258" s="42" t="n"/>
      <c r="L258" s="42" t="n"/>
      <c r="M258" s="41" t="n"/>
      <c r="N258" s="41" t="n"/>
      <c r="O258" s="41" t="n"/>
      <c r="P258" s="41" t="n"/>
      <c r="Q258" s="40" t="n"/>
      <c r="R258" s="38" t="n"/>
      <c r="S258" s="38" t="n"/>
      <c r="T258" s="39" t="n"/>
      <c r="U258" s="43" t="n"/>
      <c r="V258" s="44">
        <f>IFERROR(IF($A258="","",MAX($F258-$G258,0)),"")</f>
        <v/>
      </c>
      <c r="W258" s="45">
        <f>IFERROR(IF($A258="","",$H258+$I258),"")</f>
        <v/>
      </c>
      <c r="X258" s="45">
        <f>IFERROR(IF($A258="","",$H258*IF($J258="",'Assumptions'!$B$4,$J258)),"")</f>
        <v/>
      </c>
      <c r="Y258" s="45">
        <f>IFERROR(IF($A258="","",$X258*IF($K258="",'Assumptions'!$B$12,$K258)),"")</f>
        <v/>
      </c>
      <c r="Z258" s="45">
        <f>IFERROR(IF($A258="","",($X258+$Y258)*IF($L258="",'Assumptions'!$B$13,$L258)),"")</f>
        <v/>
      </c>
      <c r="AA258" s="45">
        <f>IFERROR(IF($A258="","",$X258+$Y258+$Z258),"")</f>
        <v/>
      </c>
      <c r="AB258" s="45">
        <f>IFERROR(IF($A258="","",$V258*'Assumptions'!$B$5),"")</f>
        <v/>
      </c>
      <c r="AC258" s="45">
        <f>IFERROR(IF($A258="","",$I258*'Assumptions'!$B$6),"")</f>
        <v/>
      </c>
      <c r="AD258" s="45">
        <f>IFERROR(IF($A258="","",$AB258+$AC258),"")</f>
        <v/>
      </c>
      <c r="AE258" s="45">
        <f>IFERROR(IF($A258="","",($M258+$N258)*'Assumptions'!$B$7),"")</f>
        <v/>
      </c>
      <c r="AF258" s="45">
        <f>IFERROR(IF($A258="","",($Q258/60)*'Assumptions'!$B$8),"")</f>
        <v/>
      </c>
      <c r="AG258" s="45">
        <f>IFERROR(IF($A258="","",$P258+$AE258+$AF258),"")</f>
        <v/>
      </c>
      <c r="AH258" s="45">
        <f>IFERROR(IF($A258="","",$M258+$O258),"")</f>
        <v/>
      </c>
      <c r="AI258" s="46">
        <f>IFERROR(IF($A258="","",IFERROR($AH258/$W258,0)),"")</f>
        <v/>
      </c>
      <c r="AJ258" s="45">
        <f>IFERROR(IF($A258="","",$W258-$AH258-$AD258+$AG258),"")</f>
        <v/>
      </c>
      <c r="AK258" s="47">
        <f>IFERROR(IF($A258="","",IF(OR($S258="Collected",$S258="Waived",$S258="Uncollectible",$S258="No Charge Due"),"",IF($T258="",$B258+'Assumptions'!$B$9,$T258+'Assumptions'!$B$9))),"")</f>
        <v/>
      </c>
      <c r="AL258" s="48">
        <f>IFERROR(IF($A258="","",IF(OR($S258="Collected",$S258="Waived",$S258="Uncollectible",$S258="No Charge Due"),"Closed",IF($AK258&lt;TODAY(),"Overdue",IF($AK258=TODAY(),"Due","Open")))),"")</f>
        <v/>
      </c>
      <c r="AM258" s="49">
        <f>IFERROR(IF($A258="","",IF(COUNTIF($A$5:$A$504,$A258)&gt;1,"Duplicate reservation ID",IF($C258&lt;=$B258,"Check stay dates",IF($G258&gt;$F258,"Resold nights exceed booked nights",IF($M258+$N258&gt;$AA258+0.01,"Collection exceeds expected amount",IF(AND($S258="Collected",$M258=0),"Collected status has no amount",IF($AJ258&gt;='Assumptions'!$B$10,"High-cost review","OK"))))))),"")</f>
        <v/>
      </c>
    </row>
    <row r="259">
      <c r="A259" s="38" t="n"/>
      <c r="B259" s="39" t="n"/>
      <c r="C259" s="39" t="n"/>
      <c r="D259" s="38" t="n"/>
      <c r="E259" s="38" t="n"/>
      <c r="F259" s="40" t="n"/>
      <c r="G259" s="40" t="n"/>
      <c r="H259" s="41" t="n"/>
      <c r="I259" s="41" t="n"/>
      <c r="J259" s="42" t="n"/>
      <c r="K259" s="42" t="n"/>
      <c r="L259" s="42" t="n"/>
      <c r="M259" s="41" t="n"/>
      <c r="N259" s="41" t="n"/>
      <c r="O259" s="41" t="n"/>
      <c r="P259" s="41" t="n"/>
      <c r="Q259" s="40" t="n"/>
      <c r="R259" s="38" t="n"/>
      <c r="S259" s="38" t="n"/>
      <c r="T259" s="39" t="n"/>
      <c r="U259" s="43" t="n"/>
      <c r="V259" s="44">
        <f>IFERROR(IF($A259="","",MAX($F259-$G259,0)),"")</f>
        <v/>
      </c>
      <c r="W259" s="45">
        <f>IFERROR(IF($A259="","",$H259+$I259),"")</f>
        <v/>
      </c>
      <c r="X259" s="45">
        <f>IFERROR(IF($A259="","",$H259*IF($J259="",'Assumptions'!$B$4,$J259)),"")</f>
        <v/>
      </c>
      <c r="Y259" s="45">
        <f>IFERROR(IF($A259="","",$X259*IF($K259="",'Assumptions'!$B$12,$K259)),"")</f>
        <v/>
      </c>
      <c r="Z259" s="45">
        <f>IFERROR(IF($A259="","",($X259+$Y259)*IF($L259="",'Assumptions'!$B$13,$L259)),"")</f>
        <v/>
      </c>
      <c r="AA259" s="45">
        <f>IFERROR(IF($A259="","",$X259+$Y259+$Z259),"")</f>
        <v/>
      </c>
      <c r="AB259" s="45">
        <f>IFERROR(IF($A259="","",$V259*'Assumptions'!$B$5),"")</f>
        <v/>
      </c>
      <c r="AC259" s="45">
        <f>IFERROR(IF($A259="","",$I259*'Assumptions'!$B$6),"")</f>
        <v/>
      </c>
      <c r="AD259" s="45">
        <f>IFERROR(IF($A259="","",$AB259+$AC259),"")</f>
        <v/>
      </c>
      <c r="AE259" s="45">
        <f>IFERROR(IF($A259="","",($M259+$N259)*'Assumptions'!$B$7),"")</f>
        <v/>
      </c>
      <c r="AF259" s="45">
        <f>IFERROR(IF($A259="","",($Q259/60)*'Assumptions'!$B$8),"")</f>
        <v/>
      </c>
      <c r="AG259" s="45">
        <f>IFERROR(IF($A259="","",$P259+$AE259+$AF259),"")</f>
        <v/>
      </c>
      <c r="AH259" s="45">
        <f>IFERROR(IF($A259="","",$M259+$O259),"")</f>
        <v/>
      </c>
      <c r="AI259" s="46">
        <f>IFERROR(IF($A259="","",IFERROR($AH259/$W259,0)),"")</f>
        <v/>
      </c>
      <c r="AJ259" s="45">
        <f>IFERROR(IF($A259="","",$W259-$AH259-$AD259+$AG259),"")</f>
        <v/>
      </c>
      <c r="AK259" s="47">
        <f>IFERROR(IF($A259="","",IF(OR($S259="Collected",$S259="Waived",$S259="Uncollectible",$S259="No Charge Due"),"",IF($T259="",$B259+'Assumptions'!$B$9,$T259+'Assumptions'!$B$9))),"")</f>
        <v/>
      </c>
      <c r="AL259" s="48">
        <f>IFERROR(IF($A259="","",IF(OR($S259="Collected",$S259="Waived",$S259="Uncollectible",$S259="No Charge Due"),"Closed",IF($AK259&lt;TODAY(),"Overdue",IF($AK259=TODAY(),"Due","Open")))),"")</f>
        <v/>
      </c>
      <c r="AM259" s="49">
        <f>IFERROR(IF($A259="","",IF(COUNTIF($A$5:$A$504,$A259)&gt;1,"Duplicate reservation ID",IF($C259&lt;=$B259,"Check stay dates",IF($G259&gt;$F259,"Resold nights exceed booked nights",IF($M259+$N259&gt;$AA259+0.01,"Collection exceeds expected amount",IF(AND($S259="Collected",$M259=0),"Collected status has no amount",IF($AJ259&gt;='Assumptions'!$B$10,"High-cost review","OK"))))))),"")</f>
        <v/>
      </c>
    </row>
    <row r="260">
      <c r="A260" s="38" t="n"/>
      <c r="B260" s="39" t="n"/>
      <c r="C260" s="39" t="n"/>
      <c r="D260" s="38" t="n"/>
      <c r="E260" s="38" t="n"/>
      <c r="F260" s="40" t="n"/>
      <c r="G260" s="40" t="n"/>
      <c r="H260" s="41" t="n"/>
      <c r="I260" s="41" t="n"/>
      <c r="J260" s="42" t="n"/>
      <c r="K260" s="42" t="n"/>
      <c r="L260" s="42" t="n"/>
      <c r="M260" s="41" t="n"/>
      <c r="N260" s="41" t="n"/>
      <c r="O260" s="41" t="n"/>
      <c r="P260" s="41" t="n"/>
      <c r="Q260" s="40" t="n"/>
      <c r="R260" s="38" t="n"/>
      <c r="S260" s="38" t="n"/>
      <c r="T260" s="39" t="n"/>
      <c r="U260" s="43" t="n"/>
      <c r="V260" s="44">
        <f>IFERROR(IF($A260="","",MAX($F260-$G260,0)),"")</f>
        <v/>
      </c>
      <c r="W260" s="45">
        <f>IFERROR(IF($A260="","",$H260+$I260),"")</f>
        <v/>
      </c>
      <c r="X260" s="45">
        <f>IFERROR(IF($A260="","",$H260*IF($J260="",'Assumptions'!$B$4,$J260)),"")</f>
        <v/>
      </c>
      <c r="Y260" s="45">
        <f>IFERROR(IF($A260="","",$X260*IF($K260="",'Assumptions'!$B$12,$K260)),"")</f>
        <v/>
      </c>
      <c r="Z260" s="45">
        <f>IFERROR(IF($A260="","",($X260+$Y260)*IF($L260="",'Assumptions'!$B$13,$L260)),"")</f>
        <v/>
      </c>
      <c r="AA260" s="45">
        <f>IFERROR(IF($A260="","",$X260+$Y260+$Z260),"")</f>
        <v/>
      </c>
      <c r="AB260" s="45">
        <f>IFERROR(IF($A260="","",$V260*'Assumptions'!$B$5),"")</f>
        <v/>
      </c>
      <c r="AC260" s="45">
        <f>IFERROR(IF($A260="","",$I260*'Assumptions'!$B$6),"")</f>
        <v/>
      </c>
      <c r="AD260" s="45">
        <f>IFERROR(IF($A260="","",$AB260+$AC260),"")</f>
        <v/>
      </c>
      <c r="AE260" s="45">
        <f>IFERROR(IF($A260="","",($M260+$N260)*'Assumptions'!$B$7),"")</f>
        <v/>
      </c>
      <c r="AF260" s="45">
        <f>IFERROR(IF($A260="","",($Q260/60)*'Assumptions'!$B$8),"")</f>
        <v/>
      </c>
      <c r="AG260" s="45">
        <f>IFERROR(IF($A260="","",$P260+$AE260+$AF260),"")</f>
        <v/>
      </c>
      <c r="AH260" s="45">
        <f>IFERROR(IF($A260="","",$M260+$O260),"")</f>
        <v/>
      </c>
      <c r="AI260" s="46">
        <f>IFERROR(IF($A260="","",IFERROR($AH260/$W260,0)),"")</f>
        <v/>
      </c>
      <c r="AJ260" s="45">
        <f>IFERROR(IF($A260="","",$W260-$AH260-$AD260+$AG260),"")</f>
        <v/>
      </c>
      <c r="AK260" s="47">
        <f>IFERROR(IF($A260="","",IF(OR($S260="Collected",$S260="Waived",$S260="Uncollectible",$S260="No Charge Due"),"",IF($T260="",$B260+'Assumptions'!$B$9,$T260+'Assumptions'!$B$9))),"")</f>
        <v/>
      </c>
      <c r="AL260" s="48">
        <f>IFERROR(IF($A260="","",IF(OR($S260="Collected",$S260="Waived",$S260="Uncollectible",$S260="No Charge Due"),"Closed",IF($AK260&lt;TODAY(),"Overdue",IF($AK260=TODAY(),"Due","Open")))),"")</f>
        <v/>
      </c>
      <c r="AM260" s="49">
        <f>IFERROR(IF($A260="","",IF(COUNTIF($A$5:$A$504,$A260)&gt;1,"Duplicate reservation ID",IF($C260&lt;=$B260,"Check stay dates",IF($G260&gt;$F260,"Resold nights exceed booked nights",IF($M260+$N260&gt;$AA260+0.01,"Collection exceeds expected amount",IF(AND($S260="Collected",$M260=0),"Collected status has no amount",IF($AJ260&gt;='Assumptions'!$B$10,"High-cost review","OK"))))))),"")</f>
        <v/>
      </c>
    </row>
    <row r="261">
      <c r="A261" s="38" t="n"/>
      <c r="B261" s="39" t="n"/>
      <c r="C261" s="39" t="n"/>
      <c r="D261" s="38" t="n"/>
      <c r="E261" s="38" t="n"/>
      <c r="F261" s="40" t="n"/>
      <c r="G261" s="40" t="n"/>
      <c r="H261" s="41" t="n"/>
      <c r="I261" s="41" t="n"/>
      <c r="J261" s="42" t="n"/>
      <c r="K261" s="42" t="n"/>
      <c r="L261" s="42" t="n"/>
      <c r="M261" s="41" t="n"/>
      <c r="N261" s="41" t="n"/>
      <c r="O261" s="41" t="n"/>
      <c r="P261" s="41" t="n"/>
      <c r="Q261" s="40" t="n"/>
      <c r="R261" s="38" t="n"/>
      <c r="S261" s="38" t="n"/>
      <c r="T261" s="39" t="n"/>
      <c r="U261" s="43" t="n"/>
      <c r="V261" s="44">
        <f>IFERROR(IF($A261="","",MAX($F261-$G261,0)),"")</f>
        <v/>
      </c>
      <c r="W261" s="45">
        <f>IFERROR(IF($A261="","",$H261+$I261),"")</f>
        <v/>
      </c>
      <c r="X261" s="45">
        <f>IFERROR(IF($A261="","",$H261*IF($J261="",'Assumptions'!$B$4,$J261)),"")</f>
        <v/>
      </c>
      <c r="Y261" s="45">
        <f>IFERROR(IF($A261="","",$X261*IF($K261="",'Assumptions'!$B$12,$K261)),"")</f>
        <v/>
      </c>
      <c r="Z261" s="45">
        <f>IFERROR(IF($A261="","",($X261+$Y261)*IF($L261="",'Assumptions'!$B$13,$L261)),"")</f>
        <v/>
      </c>
      <c r="AA261" s="45">
        <f>IFERROR(IF($A261="","",$X261+$Y261+$Z261),"")</f>
        <v/>
      </c>
      <c r="AB261" s="45">
        <f>IFERROR(IF($A261="","",$V261*'Assumptions'!$B$5),"")</f>
        <v/>
      </c>
      <c r="AC261" s="45">
        <f>IFERROR(IF($A261="","",$I261*'Assumptions'!$B$6),"")</f>
        <v/>
      </c>
      <c r="AD261" s="45">
        <f>IFERROR(IF($A261="","",$AB261+$AC261),"")</f>
        <v/>
      </c>
      <c r="AE261" s="45">
        <f>IFERROR(IF($A261="","",($M261+$N261)*'Assumptions'!$B$7),"")</f>
        <v/>
      </c>
      <c r="AF261" s="45">
        <f>IFERROR(IF($A261="","",($Q261/60)*'Assumptions'!$B$8),"")</f>
        <v/>
      </c>
      <c r="AG261" s="45">
        <f>IFERROR(IF($A261="","",$P261+$AE261+$AF261),"")</f>
        <v/>
      </c>
      <c r="AH261" s="45">
        <f>IFERROR(IF($A261="","",$M261+$O261),"")</f>
        <v/>
      </c>
      <c r="AI261" s="46">
        <f>IFERROR(IF($A261="","",IFERROR($AH261/$W261,0)),"")</f>
        <v/>
      </c>
      <c r="AJ261" s="45">
        <f>IFERROR(IF($A261="","",$W261-$AH261-$AD261+$AG261),"")</f>
        <v/>
      </c>
      <c r="AK261" s="47">
        <f>IFERROR(IF($A261="","",IF(OR($S261="Collected",$S261="Waived",$S261="Uncollectible",$S261="No Charge Due"),"",IF($T261="",$B261+'Assumptions'!$B$9,$T261+'Assumptions'!$B$9))),"")</f>
        <v/>
      </c>
      <c r="AL261" s="48">
        <f>IFERROR(IF($A261="","",IF(OR($S261="Collected",$S261="Waived",$S261="Uncollectible",$S261="No Charge Due"),"Closed",IF($AK261&lt;TODAY(),"Overdue",IF($AK261=TODAY(),"Due","Open")))),"")</f>
        <v/>
      </c>
      <c r="AM261" s="49">
        <f>IFERROR(IF($A261="","",IF(COUNTIF($A$5:$A$504,$A261)&gt;1,"Duplicate reservation ID",IF($C261&lt;=$B261,"Check stay dates",IF($G261&gt;$F261,"Resold nights exceed booked nights",IF($M261+$N261&gt;$AA261+0.01,"Collection exceeds expected amount",IF(AND($S261="Collected",$M261=0),"Collected status has no amount",IF($AJ261&gt;='Assumptions'!$B$10,"High-cost review","OK"))))))),"")</f>
        <v/>
      </c>
    </row>
    <row r="262">
      <c r="A262" s="38" t="n"/>
      <c r="B262" s="39" t="n"/>
      <c r="C262" s="39" t="n"/>
      <c r="D262" s="38" t="n"/>
      <c r="E262" s="38" t="n"/>
      <c r="F262" s="40" t="n"/>
      <c r="G262" s="40" t="n"/>
      <c r="H262" s="41" t="n"/>
      <c r="I262" s="41" t="n"/>
      <c r="J262" s="42" t="n"/>
      <c r="K262" s="42" t="n"/>
      <c r="L262" s="42" t="n"/>
      <c r="M262" s="41" t="n"/>
      <c r="N262" s="41" t="n"/>
      <c r="O262" s="41" t="n"/>
      <c r="P262" s="41" t="n"/>
      <c r="Q262" s="40" t="n"/>
      <c r="R262" s="38" t="n"/>
      <c r="S262" s="38" t="n"/>
      <c r="T262" s="39" t="n"/>
      <c r="U262" s="43" t="n"/>
      <c r="V262" s="44">
        <f>IFERROR(IF($A262="","",MAX($F262-$G262,0)),"")</f>
        <v/>
      </c>
      <c r="W262" s="45">
        <f>IFERROR(IF($A262="","",$H262+$I262),"")</f>
        <v/>
      </c>
      <c r="X262" s="45">
        <f>IFERROR(IF($A262="","",$H262*IF($J262="",'Assumptions'!$B$4,$J262)),"")</f>
        <v/>
      </c>
      <c r="Y262" s="45">
        <f>IFERROR(IF($A262="","",$X262*IF($K262="",'Assumptions'!$B$12,$K262)),"")</f>
        <v/>
      </c>
      <c r="Z262" s="45">
        <f>IFERROR(IF($A262="","",($X262+$Y262)*IF($L262="",'Assumptions'!$B$13,$L262)),"")</f>
        <v/>
      </c>
      <c r="AA262" s="45">
        <f>IFERROR(IF($A262="","",$X262+$Y262+$Z262),"")</f>
        <v/>
      </c>
      <c r="AB262" s="45">
        <f>IFERROR(IF($A262="","",$V262*'Assumptions'!$B$5),"")</f>
        <v/>
      </c>
      <c r="AC262" s="45">
        <f>IFERROR(IF($A262="","",$I262*'Assumptions'!$B$6),"")</f>
        <v/>
      </c>
      <c r="AD262" s="45">
        <f>IFERROR(IF($A262="","",$AB262+$AC262),"")</f>
        <v/>
      </c>
      <c r="AE262" s="45">
        <f>IFERROR(IF($A262="","",($M262+$N262)*'Assumptions'!$B$7),"")</f>
        <v/>
      </c>
      <c r="AF262" s="45">
        <f>IFERROR(IF($A262="","",($Q262/60)*'Assumptions'!$B$8),"")</f>
        <v/>
      </c>
      <c r="AG262" s="45">
        <f>IFERROR(IF($A262="","",$P262+$AE262+$AF262),"")</f>
        <v/>
      </c>
      <c r="AH262" s="45">
        <f>IFERROR(IF($A262="","",$M262+$O262),"")</f>
        <v/>
      </c>
      <c r="AI262" s="46">
        <f>IFERROR(IF($A262="","",IFERROR($AH262/$W262,0)),"")</f>
        <v/>
      </c>
      <c r="AJ262" s="45">
        <f>IFERROR(IF($A262="","",$W262-$AH262-$AD262+$AG262),"")</f>
        <v/>
      </c>
      <c r="AK262" s="47">
        <f>IFERROR(IF($A262="","",IF(OR($S262="Collected",$S262="Waived",$S262="Uncollectible",$S262="No Charge Due"),"",IF($T262="",$B262+'Assumptions'!$B$9,$T262+'Assumptions'!$B$9))),"")</f>
        <v/>
      </c>
      <c r="AL262" s="48">
        <f>IFERROR(IF($A262="","",IF(OR($S262="Collected",$S262="Waived",$S262="Uncollectible",$S262="No Charge Due"),"Closed",IF($AK262&lt;TODAY(),"Overdue",IF($AK262=TODAY(),"Due","Open")))),"")</f>
        <v/>
      </c>
      <c r="AM262" s="49">
        <f>IFERROR(IF($A262="","",IF(COUNTIF($A$5:$A$504,$A262)&gt;1,"Duplicate reservation ID",IF($C262&lt;=$B262,"Check stay dates",IF($G262&gt;$F262,"Resold nights exceed booked nights",IF($M262+$N262&gt;$AA262+0.01,"Collection exceeds expected amount",IF(AND($S262="Collected",$M262=0),"Collected status has no amount",IF($AJ262&gt;='Assumptions'!$B$10,"High-cost review","OK"))))))),"")</f>
        <v/>
      </c>
    </row>
    <row r="263">
      <c r="A263" s="38" t="n"/>
      <c r="B263" s="39" t="n"/>
      <c r="C263" s="39" t="n"/>
      <c r="D263" s="38" t="n"/>
      <c r="E263" s="38" t="n"/>
      <c r="F263" s="40" t="n"/>
      <c r="G263" s="40" t="n"/>
      <c r="H263" s="41" t="n"/>
      <c r="I263" s="41" t="n"/>
      <c r="J263" s="42" t="n"/>
      <c r="K263" s="42" t="n"/>
      <c r="L263" s="42" t="n"/>
      <c r="M263" s="41" t="n"/>
      <c r="N263" s="41" t="n"/>
      <c r="O263" s="41" t="n"/>
      <c r="P263" s="41" t="n"/>
      <c r="Q263" s="40" t="n"/>
      <c r="R263" s="38" t="n"/>
      <c r="S263" s="38" t="n"/>
      <c r="T263" s="39" t="n"/>
      <c r="U263" s="43" t="n"/>
      <c r="V263" s="44">
        <f>IFERROR(IF($A263="","",MAX($F263-$G263,0)),"")</f>
        <v/>
      </c>
      <c r="W263" s="45">
        <f>IFERROR(IF($A263="","",$H263+$I263),"")</f>
        <v/>
      </c>
      <c r="X263" s="45">
        <f>IFERROR(IF($A263="","",$H263*IF($J263="",'Assumptions'!$B$4,$J263)),"")</f>
        <v/>
      </c>
      <c r="Y263" s="45">
        <f>IFERROR(IF($A263="","",$X263*IF($K263="",'Assumptions'!$B$12,$K263)),"")</f>
        <v/>
      </c>
      <c r="Z263" s="45">
        <f>IFERROR(IF($A263="","",($X263+$Y263)*IF($L263="",'Assumptions'!$B$13,$L263)),"")</f>
        <v/>
      </c>
      <c r="AA263" s="45">
        <f>IFERROR(IF($A263="","",$X263+$Y263+$Z263),"")</f>
        <v/>
      </c>
      <c r="AB263" s="45">
        <f>IFERROR(IF($A263="","",$V263*'Assumptions'!$B$5),"")</f>
        <v/>
      </c>
      <c r="AC263" s="45">
        <f>IFERROR(IF($A263="","",$I263*'Assumptions'!$B$6),"")</f>
        <v/>
      </c>
      <c r="AD263" s="45">
        <f>IFERROR(IF($A263="","",$AB263+$AC263),"")</f>
        <v/>
      </c>
      <c r="AE263" s="45">
        <f>IFERROR(IF($A263="","",($M263+$N263)*'Assumptions'!$B$7),"")</f>
        <v/>
      </c>
      <c r="AF263" s="45">
        <f>IFERROR(IF($A263="","",($Q263/60)*'Assumptions'!$B$8),"")</f>
        <v/>
      </c>
      <c r="AG263" s="45">
        <f>IFERROR(IF($A263="","",$P263+$AE263+$AF263),"")</f>
        <v/>
      </c>
      <c r="AH263" s="45">
        <f>IFERROR(IF($A263="","",$M263+$O263),"")</f>
        <v/>
      </c>
      <c r="AI263" s="46">
        <f>IFERROR(IF($A263="","",IFERROR($AH263/$W263,0)),"")</f>
        <v/>
      </c>
      <c r="AJ263" s="45">
        <f>IFERROR(IF($A263="","",$W263-$AH263-$AD263+$AG263),"")</f>
        <v/>
      </c>
      <c r="AK263" s="47">
        <f>IFERROR(IF($A263="","",IF(OR($S263="Collected",$S263="Waived",$S263="Uncollectible",$S263="No Charge Due"),"",IF($T263="",$B263+'Assumptions'!$B$9,$T263+'Assumptions'!$B$9))),"")</f>
        <v/>
      </c>
      <c r="AL263" s="48">
        <f>IFERROR(IF($A263="","",IF(OR($S263="Collected",$S263="Waived",$S263="Uncollectible",$S263="No Charge Due"),"Closed",IF($AK263&lt;TODAY(),"Overdue",IF($AK263=TODAY(),"Due","Open")))),"")</f>
        <v/>
      </c>
      <c r="AM263" s="49">
        <f>IFERROR(IF($A263="","",IF(COUNTIF($A$5:$A$504,$A263)&gt;1,"Duplicate reservation ID",IF($C263&lt;=$B263,"Check stay dates",IF($G263&gt;$F263,"Resold nights exceed booked nights",IF($M263+$N263&gt;$AA263+0.01,"Collection exceeds expected amount",IF(AND($S263="Collected",$M263=0),"Collected status has no amount",IF($AJ263&gt;='Assumptions'!$B$10,"High-cost review","OK"))))))),"")</f>
        <v/>
      </c>
    </row>
    <row r="264">
      <c r="A264" s="38" t="n"/>
      <c r="B264" s="39" t="n"/>
      <c r="C264" s="39" t="n"/>
      <c r="D264" s="38" t="n"/>
      <c r="E264" s="38" t="n"/>
      <c r="F264" s="40" t="n"/>
      <c r="G264" s="40" t="n"/>
      <c r="H264" s="41" t="n"/>
      <c r="I264" s="41" t="n"/>
      <c r="J264" s="42" t="n"/>
      <c r="K264" s="42" t="n"/>
      <c r="L264" s="42" t="n"/>
      <c r="M264" s="41" t="n"/>
      <c r="N264" s="41" t="n"/>
      <c r="O264" s="41" t="n"/>
      <c r="P264" s="41" t="n"/>
      <c r="Q264" s="40" t="n"/>
      <c r="R264" s="38" t="n"/>
      <c r="S264" s="38" t="n"/>
      <c r="T264" s="39" t="n"/>
      <c r="U264" s="43" t="n"/>
      <c r="V264" s="44">
        <f>IFERROR(IF($A264="","",MAX($F264-$G264,0)),"")</f>
        <v/>
      </c>
      <c r="W264" s="45">
        <f>IFERROR(IF($A264="","",$H264+$I264),"")</f>
        <v/>
      </c>
      <c r="X264" s="45">
        <f>IFERROR(IF($A264="","",$H264*IF($J264="",'Assumptions'!$B$4,$J264)),"")</f>
        <v/>
      </c>
      <c r="Y264" s="45">
        <f>IFERROR(IF($A264="","",$X264*IF($K264="",'Assumptions'!$B$12,$K264)),"")</f>
        <v/>
      </c>
      <c r="Z264" s="45">
        <f>IFERROR(IF($A264="","",($X264+$Y264)*IF($L264="",'Assumptions'!$B$13,$L264)),"")</f>
        <v/>
      </c>
      <c r="AA264" s="45">
        <f>IFERROR(IF($A264="","",$X264+$Y264+$Z264),"")</f>
        <v/>
      </c>
      <c r="AB264" s="45">
        <f>IFERROR(IF($A264="","",$V264*'Assumptions'!$B$5),"")</f>
        <v/>
      </c>
      <c r="AC264" s="45">
        <f>IFERROR(IF($A264="","",$I264*'Assumptions'!$B$6),"")</f>
        <v/>
      </c>
      <c r="AD264" s="45">
        <f>IFERROR(IF($A264="","",$AB264+$AC264),"")</f>
        <v/>
      </c>
      <c r="AE264" s="45">
        <f>IFERROR(IF($A264="","",($M264+$N264)*'Assumptions'!$B$7),"")</f>
        <v/>
      </c>
      <c r="AF264" s="45">
        <f>IFERROR(IF($A264="","",($Q264/60)*'Assumptions'!$B$8),"")</f>
        <v/>
      </c>
      <c r="AG264" s="45">
        <f>IFERROR(IF($A264="","",$P264+$AE264+$AF264),"")</f>
        <v/>
      </c>
      <c r="AH264" s="45">
        <f>IFERROR(IF($A264="","",$M264+$O264),"")</f>
        <v/>
      </c>
      <c r="AI264" s="46">
        <f>IFERROR(IF($A264="","",IFERROR($AH264/$W264,0)),"")</f>
        <v/>
      </c>
      <c r="AJ264" s="45">
        <f>IFERROR(IF($A264="","",$W264-$AH264-$AD264+$AG264),"")</f>
        <v/>
      </c>
      <c r="AK264" s="47">
        <f>IFERROR(IF($A264="","",IF(OR($S264="Collected",$S264="Waived",$S264="Uncollectible",$S264="No Charge Due"),"",IF($T264="",$B264+'Assumptions'!$B$9,$T264+'Assumptions'!$B$9))),"")</f>
        <v/>
      </c>
      <c r="AL264" s="48">
        <f>IFERROR(IF($A264="","",IF(OR($S264="Collected",$S264="Waived",$S264="Uncollectible",$S264="No Charge Due"),"Closed",IF($AK264&lt;TODAY(),"Overdue",IF($AK264=TODAY(),"Due","Open")))),"")</f>
        <v/>
      </c>
      <c r="AM264" s="49">
        <f>IFERROR(IF($A264="","",IF(COUNTIF($A$5:$A$504,$A264)&gt;1,"Duplicate reservation ID",IF($C264&lt;=$B264,"Check stay dates",IF($G264&gt;$F264,"Resold nights exceed booked nights",IF($M264+$N264&gt;$AA264+0.01,"Collection exceeds expected amount",IF(AND($S264="Collected",$M264=0),"Collected status has no amount",IF($AJ264&gt;='Assumptions'!$B$10,"High-cost review","OK"))))))),"")</f>
        <v/>
      </c>
    </row>
    <row r="265">
      <c r="A265" s="38" t="n"/>
      <c r="B265" s="39" t="n"/>
      <c r="C265" s="39" t="n"/>
      <c r="D265" s="38" t="n"/>
      <c r="E265" s="38" t="n"/>
      <c r="F265" s="40" t="n"/>
      <c r="G265" s="40" t="n"/>
      <c r="H265" s="41" t="n"/>
      <c r="I265" s="41" t="n"/>
      <c r="J265" s="42" t="n"/>
      <c r="K265" s="42" t="n"/>
      <c r="L265" s="42" t="n"/>
      <c r="M265" s="41" t="n"/>
      <c r="N265" s="41" t="n"/>
      <c r="O265" s="41" t="n"/>
      <c r="P265" s="41" t="n"/>
      <c r="Q265" s="40" t="n"/>
      <c r="R265" s="38" t="n"/>
      <c r="S265" s="38" t="n"/>
      <c r="T265" s="39" t="n"/>
      <c r="U265" s="43" t="n"/>
      <c r="V265" s="44">
        <f>IFERROR(IF($A265="","",MAX($F265-$G265,0)),"")</f>
        <v/>
      </c>
      <c r="W265" s="45">
        <f>IFERROR(IF($A265="","",$H265+$I265),"")</f>
        <v/>
      </c>
      <c r="X265" s="45">
        <f>IFERROR(IF($A265="","",$H265*IF($J265="",'Assumptions'!$B$4,$J265)),"")</f>
        <v/>
      </c>
      <c r="Y265" s="45">
        <f>IFERROR(IF($A265="","",$X265*IF($K265="",'Assumptions'!$B$12,$K265)),"")</f>
        <v/>
      </c>
      <c r="Z265" s="45">
        <f>IFERROR(IF($A265="","",($X265+$Y265)*IF($L265="",'Assumptions'!$B$13,$L265)),"")</f>
        <v/>
      </c>
      <c r="AA265" s="45">
        <f>IFERROR(IF($A265="","",$X265+$Y265+$Z265),"")</f>
        <v/>
      </c>
      <c r="AB265" s="45">
        <f>IFERROR(IF($A265="","",$V265*'Assumptions'!$B$5),"")</f>
        <v/>
      </c>
      <c r="AC265" s="45">
        <f>IFERROR(IF($A265="","",$I265*'Assumptions'!$B$6),"")</f>
        <v/>
      </c>
      <c r="AD265" s="45">
        <f>IFERROR(IF($A265="","",$AB265+$AC265),"")</f>
        <v/>
      </c>
      <c r="AE265" s="45">
        <f>IFERROR(IF($A265="","",($M265+$N265)*'Assumptions'!$B$7),"")</f>
        <v/>
      </c>
      <c r="AF265" s="45">
        <f>IFERROR(IF($A265="","",($Q265/60)*'Assumptions'!$B$8),"")</f>
        <v/>
      </c>
      <c r="AG265" s="45">
        <f>IFERROR(IF($A265="","",$P265+$AE265+$AF265),"")</f>
        <v/>
      </c>
      <c r="AH265" s="45">
        <f>IFERROR(IF($A265="","",$M265+$O265),"")</f>
        <v/>
      </c>
      <c r="AI265" s="46">
        <f>IFERROR(IF($A265="","",IFERROR($AH265/$W265,0)),"")</f>
        <v/>
      </c>
      <c r="AJ265" s="45">
        <f>IFERROR(IF($A265="","",$W265-$AH265-$AD265+$AG265),"")</f>
        <v/>
      </c>
      <c r="AK265" s="47">
        <f>IFERROR(IF($A265="","",IF(OR($S265="Collected",$S265="Waived",$S265="Uncollectible",$S265="No Charge Due"),"",IF($T265="",$B265+'Assumptions'!$B$9,$T265+'Assumptions'!$B$9))),"")</f>
        <v/>
      </c>
      <c r="AL265" s="48">
        <f>IFERROR(IF($A265="","",IF(OR($S265="Collected",$S265="Waived",$S265="Uncollectible",$S265="No Charge Due"),"Closed",IF($AK265&lt;TODAY(),"Overdue",IF($AK265=TODAY(),"Due","Open")))),"")</f>
        <v/>
      </c>
      <c r="AM265" s="49">
        <f>IFERROR(IF($A265="","",IF(COUNTIF($A$5:$A$504,$A265)&gt;1,"Duplicate reservation ID",IF($C265&lt;=$B265,"Check stay dates",IF($G265&gt;$F265,"Resold nights exceed booked nights",IF($M265+$N265&gt;$AA265+0.01,"Collection exceeds expected amount",IF(AND($S265="Collected",$M265=0),"Collected status has no amount",IF($AJ265&gt;='Assumptions'!$B$10,"High-cost review","OK"))))))),"")</f>
        <v/>
      </c>
    </row>
    <row r="266">
      <c r="A266" s="38" t="n"/>
      <c r="B266" s="39" t="n"/>
      <c r="C266" s="39" t="n"/>
      <c r="D266" s="38" t="n"/>
      <c r="E266" s="38" t="n"/>
      <c r="F266" s="40" t="n"/>
      <c r="G266" s="40" t="n"/>
      <c r="H266" s="41" t="n"/>
      <c r="I266" s="41" t="n"/>
      <c r="J266" s="42" t="n"/>
      <c r="K266" s="42" t="n"/>
      <c r="L266" s="42" t="n"/>
      <c r="M266" s="41" t="n"/>
      <c r="N266" s="41" t="n"/>
      <c r="O266" s="41" t="n"/>
      <c r="P266" s="41" t="n"/>
      <c r="Q266" s="40" t="n"/>
      <c r="R266" s="38" t="n"/>
      <c r="S266" s="38" t="n"/>
      <c r="T266" s="39" t="n"/>
      <c r="U266" s="43" t="n"/>
      <c r="V266" s="44">
        <f>IFERROR(IF($A266="","",MAX($F266-$G266,0)),"")</f>
        <v/>
      </c>
      <c r="W266" s="45">
        <f>IFERROR(IF($A266="","",$H266+$I266),"")</f>
        <v/>
      </c>
      <c r="X266" s="45">
        <f>IFERROR(IF($A266="","",$H266*IF($J266="",'Assumptions'!$B$4,$J266)),"")</f>
        <v/>
      </c>
      <c r="Y266" s="45">
        <f>IFERROR(IF($A266="","",$X266*IF($K266="",'Assumptions'!$B$12,$K266)),"")</f>
        <v/>
      </c>
      <c r="Z266" s="45">
        <f>IFERROR(IF($A266="","",($X266+$Y266)*IF($L266="",'Assumptions'!$B$13,$L266)),"")</f>
        <v/>
      </c>
      <c r="AA266" s="45">
        <f>IFERROR(IF($A266="","",$X266+$Y266+$Z266),"")</f>
        <v/>
      </c>
      <c r="AB266" s="45">
        <f>IFERROR(IF($A266="","",$V266*'Assumptions'!$B$5),"")</f>
        <v/>
      </c>
      <c r="AC266" s="45">
        <f>IFERROR(IF($A266="","",$I266*'Assumptions'!$B$6),"")</f>
        <v/>
      </c>
      <c r="AD266" s="45">
        <f>IFERROR(IF($A266="","",$AB266+$AC266),"")</f>
        <v/>
      </c>
      <c r="AE266" s="45">
        <f>IFERROR(IF($A266="","",($M266+$N266)*'Assumptions'!$B$7),"")</f>
        <v/>
      </c>
      <c r="AF266" s="45">
        <f>IFERROR(IF($A266="","",($Q266/60)*'Assumptions'!$B$8),"")</f>
        <v/>
      </c>
      <c r="AG266" s="45">
        <f>IFERROR(IF($A266="","",$P266+$AE266+$AF266),"")</f>
        <v/>
      </c>
      <c r="AH266" s="45">
        <f>IFERROR(IF($A266="","",$M266+$O266),"")</f>
        <v/>
      </c>
      <c r="AI266" s="46">
        <f>IFERROR(IF($A266="","",IFERROR($AH266/$W266,0)),"")</f>
        <v/>
      </c>
      <c r="AJ266" s="45">
        <f>IFERROR(IF($A266="","",$W266-$AH266-$AD266+$AG266),"")</f>
        <v/>
      </c>
      <c r="AK266" s="47">
        <f>IFERROR(IF($A266="","",IF(OR($S266="Collected",$S266="Waived",$S266="Uncollectible",$S266="No Charge Due"),"",IF($T266="",$B266+'Assumptions'!$B$9,$T266+'Assumptions'!$B$9))),"")</f>
        <v/>
      </c>
      <c r="AL266" s="48">
        <f>IFERROR(IF($A266="","",IF(OR($S266="Collected",$S266="Waived",$S266="Uncollectible",$S266="No Charge Due"),"Closed",IF($AK266&lt;TODAY(),"Overdue",IF($AK266=TODAY(),"Due","Open")))),"")</f>
        <v/>
      </c>
      <c r="AM266" s="49">
        <f>IFERROR(IF($A266="","",IF(COUNTIF($A$5:$A$504,$A266)&gt;1,"Duplicate reservation ID",IF($C266&lt;=$B266,"Check stay dates",IF($G266&gt;$F266,"Resold nights exceed booked nights",IF($M266+$N266&gt;$AA266+0.01,"Collection exceeds expected amount",IF(AND($S266="Collected",$M266=0),"Collected status has no amount",IF($AJ266&gt;='Assumptions'!$B$10,"High-cost review","OK"))))))),"")</f>
        <v/>
      </c>
    </row>
    <row r="267">
      <c r="A267" s="38" t="n"/>
      <c r="B267" s="39" t="n"/>
      <c r="C267" s="39" t="n"/>
      <c r="D267" s="38" t="n"/>
      <c r="E267" s="38" t="n"/>
      <c r="F267" s="40" t="n"/>
      <c r="G267" s="40" t="n"/>
      <c r="H267" s="41" t="n"/>
      <c r="I267" s="41" t="n"/>
      <c r="J267" s="42" t="n"/>
      <c r="K267" s="42" t="n"/>
      <c r="L267" s="42" t="n"/>
      <c r="M267" s="41" t="n"/>
      <c r="N267" s="41" t="n"/>
      <c r="O267" s="41" t="n"/>
      <c r="P267" s="41" t="n"/>
      <c r="Q267" s="40" t="n"/>
      <c r="R267" s="38" t="n"/>
      <c r="S267" s="38" t="n"/>
      <c r="T267" s="39" t="n"/>
      <c r="U267" s="43" t="n"/>
      <c r="V267" s="44">
        <f>IFERROR(IF($A267="","",MAX($F267-$G267,0)),"")</f>
        <v/>
      </c>
      <c r="W267" s="45">
        <f>IFERROR(IF($A267="","",$H267+$I267),"")</f>
        <v/>
      </c>
      <c r="X267" s="45">
        <f>IFERROR(IF($A267="","",$H267*IF($J267="",'Assumptions'!$B$4,$J267)),"")</f>
        <v/>
      </c>
      <c r="Y267" s="45">
        <f>IFERROR(IF($A267="","",$X267*IF($K267="",'Assumptions'!$B$12,$K267)),"")</f>
        <v/>
      </c>
      <c r="Z267" s="45">
        <f>IFERROR(IF($A267="","",($X267+$Y267)*IF($L267="",'Assumptions'!$B$13,$L267)),"")</f>
        <v/>
      </c>
      <c r="AA267" s="45">
        <f>IFERROR(IF($A267="","",$X267+$Y267+$Z267),"")</f>
        <v/>
      </c>
      <c r="AB267" s="45">
        <f>IFERROR(IF($A267="","",$V267*'Assumptions'!$B$5),"")</f>
        <v/>
      </c>
      <c r="AC267" s="45">
        <f>IFERROR(IF($A267="","",$I267*'Assumptions'!$B$6),"")</f>
        <v/>
      </c>
      <c r="AD267" s="45">
        <f>IFERROR(IF($A267="","",$AB267+$AC267),"")</f>
        <v/>
      </c>
      <c r="AE267" s="45">
        <f>IFERROR(IF($A267="","",($M267+$N267)*'Assumptions'!$B$7),"")</f>
        <v/>
      </c>
      <c r="AF267" s="45">
        <f>IFERROR(IF($A267="","",($Q267/60)*'Assumptions'!$B$8),"")</f>
        <v/>
      </c>
      <c r="AG267" s="45">
        <f>IFERROR(IF($A267="","",$P267+$AE267+$AF267),"")</f>
        <v/>
      </c>
      <c r="AH267" s="45">
        <f>IFERROR(IF($A267="","",$M267+$O267),"")</f>
        <v/>
      </c>
      <c r="AI267" s="46">
        <f>IFERROR(IF($A267="","",IFERROR($AH267/$W267,0)),"")</f>
        <v/>
      </c>
      <c r="AJ267" s="45">
        <f>IFERROR(IF($A267="","",$W267-$AH267-$AD267+$AG267),"")</f>
        <v/>
      </c>
      <c r="AK267" s="47">
        <f>IFERROR(IF($A267="","",IF(OR($S267="Collected",$S267="Waived",$S267="Uncollectible",$S267="No Charge Due"),"",IF($T267="",$B267+'Assumptions'!$B$9,$T267+'Assumptions'!$B$9))),"")</f>
        <v/>
      </c>
      <c r="AL267" s="48">
        <f>IFERROR(IF($A267="","",IF(OR($S267="Collected",$S267="Waived",$S267="Uncollectible",$S267="No Charge Due"),"Closed",IF($AK267&lt;TODAY(),"Overdue",IF($AK267=TODAY(),"Due","Open")))),"")</f>
        <v/>
      </c>
      <c r="AM267" s="49">
        <f>IFERROR(IF($A267="","",IF(COUNTIF($A$5:$A$504,$A267)&gt;1,"Duplicate reservation ID",IF($C267&lt;=$B267,"Check stay dates",IF($G267&gt;$F267,"Resold nights exceed booked nights",IF($M267+$N267&gt;$AA267+0.01,"Collection exceeds expected amount",IF(AND($S267="Collected",$M267=0),"Collected status has no amount",IF($AJ267&gt;='Assumptions'!$B$10,"High-cost review","OK"))))))),"")</f>
        <v/>
      </c>
    </row>
    <row r="268">
      <c r="A268" s="38" t="n"/>
      <c r="B268" s="39" t="n"/>
      <c r="C268" s="39" t="n"/>
      <c r="D268" s="38" t="n"/>
      <c r="E268" s="38" t="n"/>
      <c r="F268" s="40" t="n"/>
      <c r="G268" s="40" t="n"/>
      <c r="H268" s="41" t="n"/>
      <c r="I268" s="41" t="n"/>
      <c r="J268" s="42" t="n"/>
      <c r="K268" s="42" t="n"/>
      <c r="L268" s="42" t="n"/>
      <c r="M268" s="41" t="n"/>
      <c r="N268" s="41" t="n"/>
      <c r="O268" s="41" t="n"/>
      <c r="P268" s="41" t="n"/>
      <c r="Q268" s="40" t="n"/>
      <c r="R268" s="38" t="n"/>
      <c r="S268" s="38" t="n"/>
      <c r="T268" s="39" t="n"/>
      <c r="U268" s="43" t="n"/>
      <c r="V268" s="44">
        <f>IFERROR(IF($A268="","",MAX($F268-$G268,0)),"")</f>
        <v/>
      </c>
      <c r="W268" s="45">
        <f>IFERROR(IF($A268="","",$H268+$I268),"")</f>
        <v/>
      </c>
      <c r="X268" s="45">
        <f>IFERROR(IF($A268="","",$H268*IF($J268="",'Assumptions'!$B$4,$J268)),"")</f>
        <v/>
      </c>
      <c r="Y268" s="45">
        <f>IFERROR(IF($A268="","",$X268*IF($K268="",'Assumptions'!$B$12,$K268)),"")</f>
        <v/>
      </c>
      <c r="Z268" s="45">
        <f>IFERROR(IF($A268="","",($X268+$Y268)*IF($L268="",'Assumptions'!$B$13,$L268)),"")</f>
        <v/>
      </c>
      <c r="AA268" s="45">
        <f>IFERROR(IF($A268="","",$X268+$Y268+$Z268),"")</f>
        <v/>
      </c>
      <c r="AB268" s="45">
        <f>IFERROR(IF($A268="","",$V268*'Assumptions'!$B$5),"")</f>
        <v/>
      </c>
      <c r="AC268" s="45">
        <f>IFERROR(IF($A268="","",$I268*'Assumptions'!$B$6),"")</f>
        <v/>
      </c>
      <c r="AD268" s="45">
        <f>IFERROR(IF($A268="","",$AB268+$AC268),"")</f>
        <v/>
      </c>
      <c r="AE268" s="45">
        <f>IFERROR(IF($A268="","",($M268+$N268)*'Assumptions'!$B$7),"")</f>
        <v/>
      </c>
      <c r="AF268" s="45">
        <f>IFERROR(IF($A268="","",($Q268/60)*'Assumptions'!$B$8),"")</f>
        <v/>
      </c>
      <c r="AG268" s="45">
        <f>IFERROR(IF($A268="","",$P268+$AE268+$AF268),"")</f>
        <v/>
      </c>
      <c r="AH268" s="45">
        <f>IFERROR(IF($A268="","",$M268+$O268),"")</f>
        <v/>
      </c>
      <c r="AI268" s="46">
        <f>IFERROR(IF($A268="","",IFERROR($AH268/$W268,0)),"")</f>
        <v/>
      </c>
      <c r="AJ268" s="45">
        <f>IFERROR(IF($A268="","",$W268-$AH268-$AD268+$AG268),"")</f>
        <v/>
      </c>
      <c r="AK268" s="47">
        <f>IFERROR(IF($A268="","",IF(OR($S268="Collected",$S268="Waived",$S268="Uncollectible",$S268="No Charge Due"),"",IF($T268="",$B268+'Assumptions'!$B$9,$T268+'Assumptions'!$B$9))),"")</f>
        <v/>
      </c>
      <c r="AL268" s="48">
        <f>IFERROR(IF($A268="","",IF(OR($S268="Collected",$S268="Waived",$S268="Uncollectible",$S268="No Charge Due"),"Closed",IF($AK268&lt;TODAY(),"Overdue",IF($AK268=TODAY(),"Due","Open")))),"")</f>
        <v/>
      </c>
      <c r="AM268" s="49">
        <f>IFERROR(IF($A268="","",IF(COUNTIF($A$5:$A$504,$A268)&gt;1,"Duplicate reservation ID",IF($C268&lt;=$B268,"Check stay dates",IF($G268&gt;$F268,"Resold nights exceed booked nights",IF($M268+$N268&gt;$AA268+0.01,"Collection exceeds expected amount",IF(AND($S268="Collected",$M268=0),"Collected status has no amount",IF($AJ268&gt;='Assumptions'!$B$10,"High-cost review","OK"))))))),"")</f>
        <v/>
      </c>
    </row>
    <row r="269">
      <c r="A269" s="38" t="n"/>
      <c r="B269" s="39" t="n"/>
      <c r="C269" s="39" t="n"/>
      <c r="D269" s="38" t="n"/>
      <c r="E269" s="38" t="n"/>
      <c r="F269" s="40" t="n"/>
      <c r="G269" s="40" t="n"/>
      <c r="H269" s="41" t="n"/>
      <c r="I269" s="41" t="n"/>
      <c r="J269" s="42" t="n"/>
      <c r="K269" s="42" t="n"/>
      <c r="L269" s="42" t="n"/>
      <c r="M269" s="41" t="n"/>
      <c r="N269" s="41" t="n"/>
      <c r="O269" s="41" t="n"/>
      <c r="P269" s="41" t="n"/>
      <c r="Q269" s="40" t="n"/>
      <c r="R269" s="38" t="n"/>
      <c r="S269" s="38" t="n"/>
      <c r="T269" s="39" t="n"/>
      <c r="U269" s="43" t="n"/>
      <c r="V269" s="44">
        <f>IFERROR(IF($A269="","",MAX($F269-$G269,0)),"")</f>
        <v/>
      </c>
      <c r="W269" s="45">
        <f>IFERROR(IF($A269="","",$H269+$I269),"")</f>
        <v/>
      </c>
      <c r="X269" s="45">
        <f>IFERROR(IF($A269="","",$H269*IF($J269="",'Assumptions'!$B$4,$J269)),"")</f>
        <v/>
      </c>
      <c r="Y269" s="45">
        <f>IFERROR(IF($A269="","",$X269*IF($K269="",'Assumptions'!$B$12,$K269)),"")</f>
        <v/>
      </c>
      <c r="Z269" s="45">
        <f>IFERROR(IF($A269="","",($X269+$Y269)*IF($L269="",'Assumptions'!$B$13,$L269)),"")</f>
        <v/>
      </c>
      <c r="AA269" s="45">
        <f>IFERROR(IF($A269="","",$X269+$Y269+$Z269),"")</f>
        <v/>
      </c>
      <c r="AB269" s="45">
        <f>IFERROR(IF($A269="","",$V269*'Assumptions'!$B$5),"")</f>
        <v/>
      </c>
      <c r="AC269" s="45">
        <f>IFERROR(IF($A269="","",$I269*'Assumptions'!$B$6),"")</f>
        <v/>
      </c>
      <c r="AD269" s="45">
        <f>IFERROR(IF($A269="","",$AB269+$AC269),"")</f>
        <v/>
      </c>
      <c r="AE269" s="45">
        <f>IFERROR(IF($A269="","",($M269+$N269)*'Assumptions'!$B$7),"")</f>
        <v/>
      </c>
      <c r="AF269" s="45">
        <f>IFERROR(IF($A269="","",($Q269/60)*'Assumptions'!$B$8),"")</f>
        <v/>
      </c>
      <c r="AG269" s="45">
        <f>IFERROR(IF($A269="","",$P269+$AE269+$AF269),"")</f>
        <v/>
      </c>
      <c r="AH269" s="45">
        <f>IFERROR(IF($A269="","",$M269+$O269),"")</f>
        <v/>
      </c>
      <c r="AI269" s="46">
        <f>IFERROR(IF($A269="","",IFERROR($AH269/$W269,0)),"")</f>
        <v/>
      </c>
      <c r="AJ269" s="45">
        <f>IFERROR(IF($A269="","",$W269-$AH269-$AD269+$AG269),"")</f>
        <v/>
      </c>
      <c r="AK269" s="47">
        <f>IFERROR(IF($A269="","",IF(OR($S269="Collected",$S269="Waived",$S269="Uncollectible",$S269="No Charge Due"),"",IF($T269="",$B269+'Assumptions'!$B$9,$T269+'Assumptions'!$B$9))),"")</f>
        <v/>
      </c>
      <c r="AL269" s="48">
        <f>IFERROR(IF($A269="","",IF(OR($S269="Collected",$S269="Waived",$S269="Uncollectible",$S269="No Charge Due"),"Closed",IF($AK269&lt;TODAY(),"Overdue",IF($AK269=TODAY(),"Due","Open")))),"")</f>
        <v/>
      </c>
      <c r="AM269" s="49">
        <f>IFERROR(IF($A269="","",IF(COUNTIF($A$5:$A$504,$A269)&gt;1,"Duplicate reservation ID",IF($C269&lt;=$B269,"Check stay dates",IF($G269&gt;$F269,"Resold nights exceed booked nights",IF($M269+$N269&gt;$AA269+0.01,"Collection exceeds expected amount",IF(AND($S269="Collected",$M269=0),"Collected status has no amount",IF($AJ269&gt;='Assumptions'!$B$10,"High-cost review","OK"))))))),"")</f>
        <v/>
      </c>
    </row>
    <row r="270">
      <c r="A270" s="38" t="n"/>
      <c r="B270" s="39" t="n"/>
      <c r="C270" s="39" t="n"/>
      <c r="D270" s="38" t="n"/>
      <c r="E270" s="38" t="n"/>
      <c r="F270" s="40" t="n"/>
      <c r="G270" s="40" t="n"/>
      <c r="H270" s="41" t="n"/>
      <c r="I270" s="41" t="n"/>
      <c r="J270" s="42" t="n"/>
      <c r="K270" s="42" t="n"/>
      <c r="L270" s="42" t="n"/>
      <c r="M270" s="41" t="n"/>
      <c r="N270" s="41" t="n"/>
      <c r="O270" s="41" t="n"/>
      <c r="P270" s="41" t="n"/>
      <c r="Q270" s="40" t="n"/>
      <c r="R270" s="38" t="n"/>
      <c r="S270" s="38" t="n"/>
      <c r="T270" s="39" t="n"/>
      <c r="U270" s="43" t="n"/>
      <c r="V270" s="44">
        <f>IFERROR(IF($A270="","",MAX($F270-$G270,0)),"")</f>
        <v/>
      </c>
      <c r="W270" s="45">
        <f>IFERROR(IF($A270="","",$H270+$I270),"")</f>
        <v/>
      </c>
      <c r="X270" s="45">
        <f>IFERROR(IF($A270="","",$H270*IF($J270="",'Assumptions'!$B$4,$J270)),"")</f>
        <v/>
      </c>
      <c r="Y270" s="45">
        <f>IFERROR(IF($A270="","",$X270*IF($K270="",'Assumptions'!$B$12,$K270)),"")</f>
        <v/>
      </c>
      <c r="Z270" s="45">
        <f>IFERROR(IF($A270="","",($X270+$Y270)*IF($L270="",'Assumptions'!$B$13,$L270)),"")</f>
        <v/>
      </c>
      <c r="AA270" s="45">
        <f>IFERROR(IF($A270="","",$X270+$Y270+$Z270),"")</f>
        <v/>
      </c>
      <c r="AB270" s="45">
        <f>IFERROR(IF($A270="","",$V270*'Assumptions'!$B$5),"")</f>
        <v/>
      </c>
      <c r="AC270" s="45">
        <f>IFERROR(IF($A270="","",$I270*'Assumptions'!$B$6),"")</f>
        <v/>
      </c>
      <c r="AD270" s="45">
        <f>IFERROR(IF($A270="","",$AB270+$AC270),"")</f>
        <v/>
      </c>
      <c r="AE270" s="45">
        <f>IFERROR(IF($A270="","",($M270+$N270)*'Assumptions'!$B$7),"")</f>
        <v/>
      </c>
      <c r="AF270" s="45">
        <f>IFERROR(IF($A270="","",($Q270/60)*'Assumptions'!$B$8),"")</f>
        <v/>
      </c>
      <c r="AG270" s="45">
        <f>IFERROR(IF($A270="","",$P270+$AE270+$AF270),"")</f>
        <v/>
      </c>
      <c r="AH270" s="45">
        <f>IFERROR(IF($A270="","",$M270+$O270),"")</f>
        <v/>
      </c>
      <c r="AI270" s="46">
        <f>IFERROR(IF($A270="","",IFERROR($AH270/$W270,0)),"")</f>
        <v/>
      </c>
      <c r="AJ270" s="45">
        <f>IFERROR(IF($A270="","",$W270-$AH270-$AD270+$AG270),"")</f>
        <v/>
      </c>
      <c r="AK270" s="47">
        <f>IFERROR(IF($A270="","",IF(OR($S270="Collected",$S270="Waived",$S270="Uncollectible",$S270="No Charge Due"),"",IF($T270="",$B270+'Assumptions'!$B$9,$T270+'Assumptions'!$B$9))),"")</f>
        <v/>
      </c>
      <c r="AL270" s="48">
        <f>IFERROR(IF($A270="","",IF(OR($S270="Collected",$S270="Waived",$S270="Uncollectible",$S270="No Charge Due"),"Closed",IF($AK270&lt;TODAY(),"Overdue",IF($AK270=TODAY(),"Due","Open")))),"")</f>
        <v/>
      </c>
      <c r="AM270" s="49">
        <f>IFERROR(IF($A270="","",IF(COUNTIF($A$5:$A$504,$A270)&gt;1,"Duplicate reservation ID",IF($C270&lt;=$B270,"Check stay dates",IF($G270&gt;$F270,"Resold nights exceed booked nights",IF($M270+$N270&gt;$AA270+0.01,"Collection exceeds expected amount",IF(AND($S270="Collected",$M270=0),"Collected status has no amount",IF($AJ270&gt;='Assumptions'!$B$10,"High-cost review","OK"))))))),"")</f>
        <v/>
      </c>
    </row>
    <row r="271">
      <c r="A271" s="38" t="n"/>
      <c r="B271" s="39" t="n"/>
      <c r="C271" s="39" t="n"/>
      <c r="D271" s="38" t="n"/>
      <c r="E271" s="38" t="n"/>
      <c r="F271" s="40" t="n"/>
      <c r="G271" s="40" t="n"/>
      <c r="H271" s="41" t="n"/>
      <c r="I271" s="41" t="n"/>
      <c r="J271" s="42" t="n"/>
      <c r="K271" s="42" t="n"/>
      <c r="L271" s="42" t="n"/>
      <c r="M271" s="41" t="n"/>
      <c r="N271" s="41" t="n"/>
      <c r="O271" s="41" t="n"/>
      <c r="P271" s="41" t="n"/>
      <c r="Q271" s="40" t="n"/>
      <c r="R271" s="38" t="n"/>
      <c r="S271" s="38" t="n"/>
      <c r="T271" s="39" t="n"/>
      <c r="U271" s="43" t="n"/>
      <c r="V271" s="44">
        <f>IFERROR(IF($A271="","",MAX($F271-$G271,0)),"")</f>
        <v/>
      </c>
      <c r="W271" s="45">
        <f>IFERROR(IF($A271="","",$H271+$I271),"")</f>
        <v/>
      </c>
      <c r="X271" s="45">
        <f>IFERROR(IF($A271="","",$H271*IF($J271="",'Assumptions'!$B$4,$J271)),"")</f>
        <v/>
      </c>
      <c r="Y271" s="45">
        <f>IFERROR(IF($A271="","",$X271*IF($K271="",'Assumptions'!$B$12,$K271)),"")</f>
        <v/>
      </c>
      <c r="Z271" s="45">
        <f>IFERROR(IF($A271="","",($X271+$Y271)*IF($L271="",'Assumptions'!$B$13,$L271)),"")</f>
        <v/>
      </c>
      <c r="AA271" s="45">
        <f>IFERROR(IF($A271="","",$X271+$Y271+$Z271),"")</f>
        <v/>
      </c>
      <c r="AB271" s="45">
        <f>IFERROR(IF($A271="","",$V271*'Assumptions'!$B$5),"")</f>
        <v/>
      </c>
      <c r="AC271" s="45">
        <f>IFERROR(IF($A271="","",$I271*'Assumptions'!$B$6),"")</f>
        <v/>
      </c>
      <c r="AD271" s="45">
        <f>IFERROR(IF($A271="","",$AB271+$AC271),"")</f>
        <v/>
      </c>
      <c r="AE271" s="45">
        <f>IFERROR(IF($A271="","",($M271+$N271)*'Assumptions'!$B$7),"")</f>
        <v/>
      </c>
      <c r="AF271" s="45">
        <f>IFERROR(IF($A271="","",($Q271/60)*'Assumptions'!$B$8),"")</f>
        <v/>
      </c>
      <c r="AG271" s="45">
        <f>IFERROR(IF($A271="","",$P271+$AE271+$AF271),"")</f>
        <v/>
      </c>
      <c r="AH271" s="45">
        <f>IFERROR(IF($A271="","",$M271+$O271),"")</f>
        <v/>
      </c>
      <c r="AI271" s="46">
        <f>IFERROR(IF($A271="","",IFERROR($AH271/$W271,0)),"")</f>
        <v/>
      </c>
      <c r="AJ271" s="45">
        <f>IFERROR(IF($A271="","",$W271-$AH271-$AD271+$AG271),"")</f>
        <v/>
      </c>
      <c r="AK271" s="47">
        <f>IFERROR(IF($A271="","",IF(OR($S271="Collected",$S271="Waived",$S271="Uncollectible",$S271="No Charge Due"),"",IF($T271="",$B271+'Assumptions'!$B$9,$T271+'Assumptions'!$B$9))),"")</f>
        <v/>
      </c>
      <c r="AL271" s="48">
        <f>IFERROR(IF($A271="","",IF(OR($S271="Collected",$S271="Waived",$S271="Uncollectible",$S271="No Charge Due"),"Closed",IF($AK271&lt;TODAY(),"Overdue",IF($AK271=TODAY(),"Due","Open")))),"")</f>
        <v/>
      </c>
      <c r="AM271" s="49">
        <f>IFERROR(IF($A271="","",IF(COUNTIF($A$5:$A$504,$A271)&gt;1,"Duplicate reservation ID",IF($C271&lt;=$B271,"Check stay dates",IF($G271&gt;$F271,"Resold nights exceed booked nights",IF($M271+$N271&gt;$AA271+0.01,"Collection exceeds expected amount",IF(AND($S271="Collected",$M271=0),"Collected status has no amount",IF($AJ271&gt;='Assumptions'!$B$10,"High-cost review","OK"))))))),"")</f>
        <v/>
      </c>
    </row>
    <row r="272">
      <c r="A272" s="38" t="n"/>
      <c r="B272" s="39" t="n"/>
      <c r="C272" s="39" t="n"/>
      <c r="D272" s="38" t="n"/>
      <c r="E272" s="38" t="n"/>
      <c r="F272" s="40" t="n"/>
      <c r="G272" s="40" t="n"/>
      <c r="H272" s="41" t="n"/>
      <c r="I272" s="41" t="n"/>
      <c r="J272" s="42" t="n"/>
      <c r="K272" s="42" t="n"/>
      <c r="L272" s="42" t="n"/>
      <c r="M272" s="41" t="n"/>
      <c r="N272" s="41" t="n"/>
      <c r="O272" s="41" t="n"/>
      <c r="P272" s="41" t="n"/>
      <c r="Q272" s="40" t="n"/>
      <c r="R272" s="38" t="n"/>
      <c r="S272" s="38" t="n"/>
      <c r="T272" s="39" t="n"/>
      <c r="U272" s="43" t="n"/>
      <c r="V272" s="44">
        <f>IFERROR(IF($A272="","",MAX($F272-$G272,0)),"")</f>
        <v/>
      </c>
      <c r="W272" s="45">
        <f>IFERROR(IF($A272="","",$H272+$I272),"")</f>
        <v/>
      </c>
      <c r="X272" s="45">
        <f>IFERROR(IF($A272="","",$H272*IF($J272="",'Assumptions'!$B$4,$J272)),"")</f>
        <v/>
      </c>
      <c r="Y272" s="45">
        <f>IFERROR(IF($A272="","",$X272*IF($K272="",'Assumptions'!$B$12,$K272)),"")</f>
        <v/>
      </c>
      <c r="Z272" s="45">
        <f>IFERROR(IF($A272="","",($X272+$Y272)*IF($L272="",'Assumptions'!$B$13,$L272)),"")</f>
        <v/>
      </c>
      <c r="AA272" s="45">
        <f>IFERROR(IF($A272="","",$X272+$Y272+$Z272),"")</f>
        <v/>
      </c>
      <c r="AB272" s="45">
        <f>IFERROR(IF($A272="","",$V272*'Assumptions'!$B$5),"")</f>
        <v/>
      </c>
      <c r="AC272" s="45">
        <f>IFERROR(IF($A272="","",$I272*'Assumptions'!$B$6),"")</f>
        <v/>
      </c>
      <c r="AD272" s="45">
        <f>IFERROR(IF($A272="","",$AB272+$AC272),"")</f>
        <v/>
      </c>
      <c r="AE272" s="45">
        <f>IFERROR(IF($A272="","",($M272+$N272)*'Assumptions'!$B$7),"")</f>
        <v/>
      </c>
      <c r="AF272" s="45">
        <f>IFERROR(IF($A272="","",($Q272/60)*'Assumptions'!$B$8),"")</f>
        <v/>
      </c>
      <c r="AG272" s="45">
        <f>IFERROR(IF($A272="","",$P272+$AE272+$AF272),"")</f>
        <v/>
      </c>
      <c r="AH272" s="45">
        <f>IFERROR(IF($A272="","",$M272+$O272),"")</f>
        <v/>
      </c>
      <c r="AI272" s="46">
        <f>IFERROR(IF($A272="","",IFERROR($AH272/$W272,0)),"")</f>
        <v/>
      </c>
      <c r="AJ272" s="45">
        <f>IFERROR(IF($A272="","",$W272-$AH272-$AD272+$AG272),"")</f>
        <v/>
      </c>
      <c r="AK272" s="47">
        <f>IFERROR(IF($A272="","",IF(OR($S272="Collected",$S272="Waived",$S272="Uncollectible",$S272="No Charge Due"),"",IF($T272="",$B272+'Assumptions'!$B$9,$T272+'Assumptions'!$B$9))),"")</f>
        <v/>
      </c>
      <c r="AL272" s="48">
        <f>IFERROR(IF($A272="","",IF(OR($S272="Collected",$S272="Waived",$S272="Uncollectible",$S272="No Charge Due"),"Closed",IF($AK272&lt;TODAY(),"Overdue",IF($AK272=TODAY(),"Due","Open")))),"")</f>
        <v/>
      </c>
      <c r="AM272" s="49">
        <f>IFERROR(IF($A272="","",IF(COUNTIF($A$5:$A$504,$A272)&gt;1,"Duplicate reservation ID",IF($C272&lt;=$B272,"Check stay dates",IF($G272&gt;$F272,"Resold nights exceed booked nights",IF($M272+$N272&gt;$AA272+0.01,"Collection exceeds expected amount",IF(AND($S272="Collected",$M272=0),"Collected status has no amount",IF($AJ272&gt;='Assumptions'!$B$10,"High-cost review","OK"))))))),"")</f>
        <v/>
      </c>
    </row>
    <row r="273">
      <c r="A273" s="38" t="n"/>
      <c r="B273" s="39" t="n"/>
      <c r="C273" s="39" t="n"/>
      <c r="D273" s="38" t="n"/>
      <c r="E273" s="38" t="n"/>
      <c r="F273" s="40" t="n"/>
      <c r="G273" s="40" t="n"/>
      <c r="H273" s="41" t="n"/>
      <c r="I273" s="41" t="n"/>
      <c r="J273" s="42" t="n"/>
      <c r="K273" s="42" t="n"/>
      <c r="L273" s="42" t="n"/>
      <c r="M273" s="41" t="n"/>
      <c r="N273" s="41" t="n"/>
      <c r="O273" s="41" t="n"/>
      <c r="P273" s="41" t="n"/>
      <c r="Q273" s="40" t="n"/>
      <c r="R273" s="38" t="n"/>
      <c r="S273" s="38" t="n"/>
      <c r="T273" s="39" t="n"/>
      <c r="U273" s="43" t="n"/>
      <c r="V273" s="44">
        <f>IFERROR(IF($A273="","",MAX($F273-$G273,0)),"")</f>
        <v/>
      </c>
      <c r="W273" s="45">
        <f>IFERROR(IF($A273="","",$H273+$I273),"")</f>
        <v/>
      </c>
      <c r="X273" s="45">
        <f>IFERROR(IF($A273="","",$H273*IF($J273="",'Assumptions'!$B$4,$J273)),"")</f>
        <v/>
      </c>
      <c r="Y273" s="45">
        <f>IFERROR(IF($A273="","",$X273*IF($K273="",'Assumptions'!$B$12,$K273)),"")</f>
        <v/>
      </c>
      <c r="Z273" s="45">
        <f>IFERROR(IF($A273="","",($X273+$Y273)*IF($L273="",'Assumptions'!$B$13,$L273)),"")</f>
        <v/>
      </c>
      <c r="AA273" s="45">
        <f>IFERROR(IF($A273="","",$X273+$Y273+$Z273),"")</f>
        <v/>
      </c>
      <c r="AB273" s="45">
        <f>IFERROR(IF($A273="","",$V273*'Assumptions'!$B$5),"")</f>
        <v/>
      </c>
      <c r="AC273" s="45">
        <f>IFERROR(IF($A273="","",$I273*'Assumptions'!$B$6),"")</f>
        <v/>
      </c>
      <c r="AD273" s="45">
        <f>IFERROR(IF($A273="","",$AB273+$AC273),"")</f>
        <v/>
      </c>
      <c r="AE273" s="45">
        <f>IFERROR(IF($A273="","",($M273+$N273)*'Assumptions'!$B$7),"")</f>
        <v/>
      </c>
      <c r="AF273" s="45">
        <f>IFERROR(IF($A273="","",($Q273/60)*'Assumptions'!$B$8),"")</f>
        <v/>
      </c>
      <c r="AG273" s="45">
        <f>IFERROR(IF($A273="","",$P273+$AE273+$AF273),"")</f>
        <v/>
      </c>
      <c r="AH273" s="45">
        <f>IFERROR(IF($A273="","",$M273+$O273),"")</f>
        <v/>
      </c>
      <c r="AI273" s="46">
        <f>IFERROR(IF($A273="","",IFERROR($AH273/$W273,0)),"")</f>
        <v/>
      </c>
      <c r="AJ273" s="45">
        <f>IFERROR(IF($A273="","",$W273-$AH273-$AD273+$AG273),"")</f>
        <v/>
      </c>
      <c r="AK273" s="47">
        <f>IFERROR(IF($A273="","",IF(OR($S273="Collected",$S273="Waived",$S273="Uncollectible",$S273="No Charge Due"),"",IF($T273="",$B273+'Assumptions'!$B$9,$T273+'Assumptions'!$B$9))),"")</f>
        <v/>
      </c>
      <c r="AL273" s="48">
        <f>IFERROR(IF($A273="","",IF(OR($S273="Collected",$S273="Waived",$S273="Uncollectible",$S273="No Charge Due"),"Closed",IF($AK273&lt;TODAY(),"Overdue",IF($AK273=TODAY(),"Due","Open")))),"")</f>
        <v/>
      </c>
      <c r="AM273" s="49">
        <f>IFERROR(IF($A273="","",IF(COUNTIF($A$5:$A$504,$A273)&gt;1,"Duplicate reservation ID",IF($C273&lt;=$B273,"Check stay dates",IF($G273&gt;$F273,"Resold nights exceed booked nights",IF($M273+$N273&gt;$AA273+0.01,"Collection exceeds expected amount",IF(AND($S273="Collected",$M273=0),"Collected status has no amount",IF($AJ273&gt;='Assumptions'!$B$10,"High-cost review","OK"))))))),"")</f>
        <v/>
      </c>
    </row>
    <row r="274">
      <c r="A274" s="38" t="n"/>
      <c r="B274" s="39" t="n"/>
      <c r="C274" s="39" t="n"/>
      <c r="D274" s="38" t="n"/>
      <c r="E274" s="38" t="n"/>
      <c r="F274" s="40" t="n"/>
      <c r="G274" s="40" t="n"/>
      <c r="H274" s="41" t="n"/>
      <c r="I274" s="41" t="n"/>
      <c r="J274" s="42" t="n"/>
      <c r="K274" s="42" t="n"/>
      <c r="L274" s="42" t="n"/>
      <c r="M274" s="41" t="n"/>
      <c r="N274" s="41" t="n"/>
      <c r="O274" s="41" t="n"/>
      <c r="P274" s="41" t="n"/>
      <c r="Q274" s="40" t="n"/>
      <c r="R274" s="38" t="n"/>
      <c r="S274" s="38" t="n"/>
      <c r="T274" s="39" t="n"/>
      <c r="U274" s="43" t="n"/>
      <c r="V274" s="44">
        <f>IFERROR(IF($A274="","",MAX($F274-$G274,0)),"")</f>
        <v/>
      </c>
      <c r="W274" s="45">
        <f>IFERROR(IF($A274="","",$H274+$I274),"")</f>
        <v/>
      </c>
      <c r="X274" s="45">
        <f>IFERROR(IF($A274="","",$H274*IF($J274="",'Assumptions'!$B$4,$J274)),"")</f>
        <v/>
      </c>
      <c r="Y274" s="45">
        <f>IFERROR(IF($A274="","",$X274*IF($K274="",'Assumptions'!$B$12,$K274)),"")</f>
        <v/>
      </c>
      <c r="Z274" s="45">
        <f>IFERROR(IF($A274="","",($X274+$Y274)*IF($L274="",'Assumptions'!$B$13,$L274)),"")</f>
        <v/>
      </c>
      <c r="AA274" s="45">
        <f>IFERROR(IF($A274="","",$X274+$Y274+$Z274),"")</f>
        <v/>
      </c>
      <c r="AB274" s="45">
        <f>IFERROR(IF($A274="","",$V274*'Assumptions'!$B$5),"")</f>
        <v/>
      </c>
      <c r="AC274" s="45">
        <f>IFERROR(IF($A274="","",$I274*'Assumptions'!$B$6),"")</f>
        <v/>
      </c>
      <c r="AD274" s="45">
        <f>IFERROR(IF($A274="","",$AB274+$AC274),"")</f>
        <v/>
      </c>
      <c r="AE274" s="45">
        <f>IFERROR(IF($A274="","",($M274+$N274)*'Assumptions'!$B$7),"")</f>
        <v/>
      </c>
      <c r="AF274" s="45">
        <f>IFERROR(IF($A274="","",($Q274/60)*'Assumptions'!$B$8),"")</f>
        <v/>
      </c>
      <c r="AG274" s="45">
        <f>IFERROR(IF($A274="","",$P274+$AE274+$AF274),"")</f>
        <v/>
      </c>
      <c r="AH274" s="45">
        <f>IFERROR(IF($A274="","",$M274+$O274),"")</f>
        <v/>
      </c>
      <c r="AI274" s="46">
        <f>IFERROR(IF($A274="","",IFERROR($AH274/$W274,0)),"")</f>
        <v/>
      </c>
      <c r="AJ274" s="45">
        <f>IFERROR(IF($A274="","",$W274-$AH274-$AD274+$AG274),"")</f>
        <v/>
      </c>
      <c r="AK274" s="47">
        <f>IFERROR(IF($A274="","",IF(OR($S274="Collected",$S274="Waived",$S274="Uncollectible",$S274="No Charge Due"),"",IF($T274="",$B274+'Assumptions'!$B$9,$T274+'Assumptions'!$B$9))),"")</f>
        <v/>
      </c>
      <c r="AL274" s="48">
        <f>IFERROR(IF($A274="","",IF(OR($S274="Collected",$S274="Waived",$S274="Uncollectible",$S274="No Charge Due"),"Closed",IF($AK274&lt;TODAY(),"Overdue",IF($AK274=TODAY(),"Due","Open")))),"")</f>
        <v/>
      </c>
      <c r="AM274" s="49">
        <f>IFERROR(IF($A274="","",IF(COUNTIF($A$5:$A$504,$A274)&gt;1,"Duplicate reservation ID",IF($C274&lt;=$B274,"Check stay dates",IF($G274&gt;$F274,"Resold nights exceed booked nights",IF($M274+$N274&gt;$AA274+0.01,"Collection exceeds expected amount",IF(AND($S274="Collected",$M274=0),"Collected status has no amount",IF($AJ274&gt;='Assumptions'!$B$10,"High-cost review","OK"))))))),"")</f>
        <v/>
      </c>
    </row>
    <row r="275">
      <c r="A275" s="38" t="n"/>
      <c r="B275" s="39" t="n"/>
      <c r="C275" s="39" t="n"/>
      <c r="D275" s="38" t="n"/>
      <c r="E275" s="38" t="n"/>
      <c r="F275" s="40" t="n"/>
      <c r="G275" s="40" t="n"/>
      <c r="H275" s="41" t="n"/>
      <c r="I275" s="41" t="n"/>
      <c r="J275" s="42" t="n"/>
      <c r="K275" s="42" t="n"/>
      <c r="L275" s="42" t="n"/>
      <c r="M275" s="41" t="n"/>
      <c r="N275" s="41" t="n"/>
      <c r="O275" s="41" t="n"/>
      <c r="P275" s="41" t="n"/>
      <c r="Q275" s="40" t="n"/>
      <c r="R275" s="38" t="n"/>
      <c r="S275" s="38" t="n"/>
      <c r="T275" s="39" t="n"/>
      <c r="U275" s="43" t="n"/>
      <c r="V275" s="44">
        <f>IFERROR(IF($A275="","",MAX($F275-$G275,0)),"")</f>
        <v/>
      </c>
      <c r="W275" s="45">
        <f>IFERROR(IF($A275="","",$H275+$I275),"")</f>
        <v/>
      </c>
      <c r="X275" s="45">
        <f>IFERROR(IF($A275="","",$H275*IF($J275="",'Assumptions'!$B$4,$J275)),"")</f>
        <v/>
      </c>
      <c r="Y275" s="45">
        <f>IFERROR(IF($A275="","",$X275*IF($K275="",'Assumptions'!$B$12,$K275)),"")</f>
        <v/>
      </c>
      <c r="Z275" s="45">
        <f>IFERROR(IF($A275="","",($X275+$Y275)*IF($L275="",'Assumptions'!$B$13,$L275)),"")</f>
        <v/>
      </c>
      <c r="AA275" s="45">
        <f>IFERROR(IF($A275="","",$X275+$Y275+$Z275),"")</f>
        <v/>
      </c>
      <c r="AB275" s="45">
        <f>IFERROR(IF($A275="","",$V275*'Assumptions'!$B$5),"")</f>
        <v/>
      </c>
      <c r="AC275" s="45">
        <f>IFERROR(IF($A275="","",$I275*'Assumptions'!$B$6),"")</f>
        <v/>
      </c>
      <c r="AD275" s="45">
        <f>IFERROR(IF($A275="","",$AB275+$AC275),"")</f>
        <v/>
      </c>
      <c r="AE275" s="45">
        <f>IFERROR(IF($A275="","",($M275+$N275)*'Assumptions'!$B$7),"")</f>
        <v/>
      </c>
      <c r="AF275" s="45">
        <f>IFERROR(IF($A275="","",($Q275/60)*'Assumptions'!$B$8),"")</f>
        <v/>
      </c>
      <c r="AG275" s="45">
        <f>IFERROR(IF($A275="","",$P275+$AE275+$AF275),"")</f>
        <v/>
      </c>
      <c r="AH275" s="45">
        <f>IFERROR(IF($A275="","",$M275+$O275),"")</f>
        <v/>
      </c>
      <c r="AI275" s="46">
        <f>IFERROR(IF($A275="","",IFERROR($AH275/$W275,0)),"")</f>
        <v/>
      </c>
      <c r="AJ275" s="45">
        <f>IFERROR(IF($A275="","",$W275-$AH275-$AD275+$AG275),"")</f>
        <v/>
      </c>
      <c r="AK275" s="47">
        <f>IFERROR(IF($A275="","",IF(OR($S275="Collected",$S275="Waived",$S275="Uncollectible",$S275="No Charge Due"),"",IF($T275="",$B275+'Assumptions'!$B$9,$T275+'Assumptions'!$B$9))),"")</f>
        <v/>
      </c>
      <c r="AL275" s="48">
        <f>IFERROR(IF($A275="","",IF(OR($S275="Collected",$S275="Waived",$S275="Uncollectible",$S275="No Charge Due"),"Closed",IF($AK275&lt;TODAY(),"Overdue",IF($AK275=TODAY(),"Due","Open")))),"")</f>
        <v/>
      </c>
      <c r="AM275" s="49">
        <f>IFERROR(IF($A275="","",IF(COUNTIF($A$5:$A$504,$A275)&gt;1,"Duplicate reservation ID",IF($C275&lt;=$B275,"Check stay dates",IF($G275&gt;$F275,"Resold nights exceed booked nights",IF($M275+$N275&gt;$AA275+0.01,"Collection exceeds expected amount",IF(AND($S275="Collected",$M275=0),"Collected status has no amount",IF($AJ275&gt;='Assumptions'!$B$10,"High-cost review","OK"))))))),"")</f>
        <v/>
      </c>
    </row>
    <row r="276">
      <c r="A276" s="38" t="n"/>
      <c r="B276" s="39" t="n"/>
      <c r="C276" s="39" t="n"/>
      <c r="D276" s="38" t="n"/>
      <c r="E276" s="38" t="n"/>
      <c r="F276" s="40" t="n"/>
      <c r="G276" s="40" t="n"/>
      <c r="H276" s="41" t="n"/>
      <c r="I276" s="41" t="n"/>
      <c r="J276" s="42" t="n"/>
      <c r="K276" s="42" t="n"/>
      <c r="L276" s="42" t="n"/>
      <c r="M276" s="41" t="n"/>
      <c r="N276" s="41" t="n"/>
      <c r="O276" s="41" t="n"/>
      <c r="P276" s="41" t="n"/>
      <c r="Q276" s="40" t="n"/>
      <c r="R276" s="38" t="n"/>
      <c r="S276" s="38" t="n"/>
      <c r="T276" s="39" t="n"/>
      <c r="U276" s="43" t="n"/>
      <c r="V276" s="44">
        <f>IFERROR(IF($A276="","",MAX($F276-$G276,0)),"")</f>
        <v/>
      </c>
      <c r="W276" s="45">
        <f>IFERROR(IF($A276="","",$H276+$I276),"")</f>
        <v/>
      </c>
      <c r="X276" s="45">
        <f>IFERROR(IF($A276="","",$H276*IF($J276="",'Assumptions'!$B$4,$J276)),"")</f>
        <v/>
      </c>
      <c r="Y276" s="45">
        <f>IFERROR(IF($A276="","",$X276*IF($K276="",'Assumptions'!$B$12,$K276)),"")</f>
        <v/>
      </c>
      <c r="Z276" s="45">
        <f>IFERROR(IF($A276="","",($X276+$Y276)*IF($L276="",'Assumptions'!$B$13,$L276)),"")</f>
        <v/>
      </c>
      <c r="AA276" s="45">
        <f>IFERROR(IF($A276="","",$X276+$Y276+$Z276),"")</f>
        <v/>
      </c>
      <c r="AB276" s="45">
        <f>IFERROR(IF($A276="","",$V276*'Assumptions'!$B$5),"")</f>
        <v/>
      </c>
      <c r="AC276" s="45">
        <f>IFERROR(IF($A276="","",$I276*'Assumptions'!$B$6),"")</f>
        <v/>
      </c>
      <c r="AD276" s="45">
        <f>IFERROR(IF($A276="","",$AB276+$AC276),"")</f>
        <v/>
      </c>
      <c r="AE276" s="45">
        <f>IFERROR(IF($A276="","",($M276+$N276)*'Assumptions'!$B$7),"")</f>
        <v/>
      </c>
      <c r="AF276" s="45">
        <f>IFERROR(IF($A276="","",($Q276/60)*'Assumptions'!$B$8),"")</f>
        <v/>
      </c>
      <c r="AG276" s="45">
        <f>IFERROR(IF($A276="","",$P276+$AE276+$AF276),"")</f>
        <v/>
      </c>
      <c r="AH276" s="45">
        <f>IFERROR(IF($A276="","",$M276+$O276),"")</f>
        <v/>
      </c>
      <c r="AI276" s="46">
        <f>IFERROR(IF($A276="","",IFERROR($AH276/$W276,0)),"")</f>
        <v/>
      </c>
      <c r="AJ276" s="45">
        <f>IFERROR(IF($A276="","",$W276-$AH276-$AD276+$AG276),"")</f>
        <v/>
      </c>
      <c r="AK276" s="47">
        <f>IFERROR(IF($A276="","",IF(OR($S276="Collected",$S276="Waived",$S276="Uncollectible",$S276="No Charge Due"),"",IF($T276="",$B276+'Assumptions'!$B$9,$T276+'Assumptions'!$B$9))),"")</f>
        <v/>
      </c>
      <c r="AL276" s="48">
        <f>IFERROR(IF($A276="","",IF(OR($S276="Collected",$S276="Waived",$S276="Uncollectible",$S276="No Charge Due"),"Closed",IF($AK276&lt;TODAY(),"Overdue",IF($AK276=TODAY(),"Due","Open")))),"")</f>
        <v/>
      </c>
      <c r="AM276" s="49">
        <f>IFERROR(IF($A276="","",IF(COUNTIF($A$5:$A$504,$A276)&gt;1,"Duplicate reservation ID",IF($C276&lt;=$B276,"Check stay dates",IF($G276&gt;$F276,"Resold nights exceed booked nights",IF($M276+$N276&gt;$AA276+0.01,"Collection exceeds expected amount",IF(AND($S276="Collected",$M276=0),"Collected status has no amount",IF($AJ276&gt;='Assumptions'!$B$10,"High-cost review","OK"))))))),"")</f>
        <v/>
      </c>
    </row>
    <row r="277">
      <c r="A277" s="38" t="n"/>
      <c r="B277" s="39" t="n"/>
      <c r="C277" s="39" t="n"/>
      <c r="D277" s="38" t="n"/>
      <c r="E277" s="38" t="n"/>
      <c r="F277" s="40" t="n"/>
      <c r="G277" s="40" t="n"/>
      <c r="H277" s="41" t="n"/>
      <c r="I277" s="41" t="n"/>
      <c r="J277" s="42" t="n"/>
      <c r="K277" s="42" t="n"/>
      <c r="L277" s="42" t="n"/>
      <c r="M277" s="41" t="n"/>
      <c r="N277" s="41" t="n"/>
      <c r="O277" s="41" t="n"/>
      <c r="P277" s="41" t="n"/>
      <c r="Q277" s="40" t="n"/>
      <c r="R277" s="38" t="n"/>
      <c r="S277" s="38" t="n"/>
      <c r="T277" s="39" t="n"/>
      <c r="U277" s="43" t="n"/>
      <c r="V277" s="44">
        <f>IFERROR(IF($A277="","",MAX($F277-$G277,0)),"")</f>
        <v/>
      </c>
      <c r="W277" s="45">
        <f>IFERROR(IF($A277="","",$H277+$I277),"")</f>
        <v/>
      </c>
      <c r="X277" s="45">
        <f>IFERROR(IF($A277="","",$H277*IF($J277="",'Assumptions'!$B$4,$J277)),"")</f>
        <v/>
      </c>
      <c r="Y277" s="45">
        <f>IFERROR(IF($A277="","",$X277*IF($K277="",'Assumptions'!$B$12,$K277)),"")</f>
        <v/>
      </c>
      <c r="Z277" s="45">
        <f>IFERROR(IF($A277="","",($X277+$Y277)*IF($L277="",'Assumptions'!$B$13,$L277)),"")</f>
        <v/>
      </c>
      <c r="AA277" s="45">
        <f>IFERROR(IF($A277="","",$X277+$Y277+$Z277),"")</f>
        <v/>
      </c>
      <c r="AB277" s="45">
        <f>IFERROR(IF($A277="","",$V277*'Assumptions'!$B$5),"")</f>
        <v/>
      </c>
      <c r="AC277" s="45">
        <f>IFERROR(IF($A277="","",$I277*'Assumptions'!$B$6),"")</f>
        <v/>
      </c>
      <c r="AD277" s="45">
        <f>IFERROR(IF($A277="","",$AB277+$AC277),"")</f>
        <v/>
      </c>
      <c r="AE277" s="45">
        <f>IFERROR(IF($A277="","",($M277+$N277)*'Assumptions'!$B$7),"")</f>
        <v/>
      </c>
      <c r="AF277" s="45">
        <f>IFERROR(IF($A277="","",($Q277/60)*'Assumptions'!$B$8),"")</f>
        <v/>
      </c>
      <c r="AG277" s="45">
        <f>IFERROR(IF($A277="","",$P277+$AE277+$AF277),"")</f>
        <v/>
      </c>
      <c r="AH277" s="45">
        <f>IFERROR(IF($A277="","",$M277+$O277),"")</f>
        <v/>
      </c>
      <c r="AI277" s="46">
        <f>IFERROR(IF($A277="","",IFERROR($AH277/$W277,0)),"")</f>
        <v/>
      </c>
      <c r="AJ277" s="45">
        <f>IFERROR(IF($A277="","",$W277-$AH277-$AD277+$AG277),"")</f>
        <v/>
      </c>
      <c r="AK277" s="47">
        <f>IFERROR(IF($A277="","",IF(OR($S277="Collected",$S277="Waived",$S277="Uncollectible",$S277="No Charge Due"),"",IF($T277="",$B277+'Assumptions'!$B$9,$T277+'Assumptions'!$B$9))),"")</f>
        <v/>
      </c>
      <c r="AL277" s="48">
        <f>IFERROR(IF($A277="","",IF(OR($S277="Collected",$S277="Waived",$S277="Uncollectible",$S277="No Charge Due"),"Closed",IF($AK277&lt;TODAY(),"Overdue",IF($AK277=TODAY(),"Due","Open")))),"")</f>
        <v/>
      </c>
      <c r="AM277" s="49">
        <f>IFERROR(IF($A277="","",IF(COUNTIF($A$5:$A$504,$A277)&gt;1,"Duplicate reservation ID",IF($C277&lt;=$B277,"Check stay dates",IF($G277&gt;$F277,"Resold nights exceed booked nights",IF($M277+$N277&gt;$AA277+0.01,"Collection exceeds expected amount",IF(AND($S277="Collected",$M277=0),"Collected status has no amount",IF($AJ277&gt;='Assumptions'!$B$10,"High-cost review","OK"))))))),"")</f>
        <v/>
      </c>
    </row>
    <row r="278">
      <c r="A278" s="38" t="n"/>
      <c r="B278" s="39" t="n"/>
      <c r="C278" s="39" t="n"/>
      <c r="D278" s="38" t="n"/>
      <c r="E278" s="38" t="n"/>
      <c r="F278" s="40" t="n"/>
      <c r="G278" s="40" t="n"/>
      <c r="H278" s="41" t="n"/>
      <c r="I278" s="41" t="n"/>
      <c r="J278" s="42" t="n"/>
      <c r="K278" s="42" t="n"/>
      <c r="L278" s="42" t="n"/>
      <c r="M278" s="41" t="n"/>
      <c r="N278" s="41" t="n"/>
      <c r="O278" s="41" t="n"/>
      <c r="P278" s="41" t="n"/>
      <c r="Q278" s="40" t="n"/>
      <c r="R278" s="38" t="n"/>
      <c r="S278" s="38" t="n"/>
      <c r="T278" s="39" t="n"/>
      <c r="U278" s="43" t="n"/>
      <c r="V278" s="44">
        <f>IFERROR(IF($A278="","",MAX($F278-$G278,0)),"")</f>
        <v/>
      </c>
      <c r="W278" s="45">
        <f>IFERROR(IF($A278="","",$H278+$I278),"")</f>
        <v/>
      </c>
      <c r="X278" s="45">
        <f>IFERROR(IF($A278="","",$H278*IF($J278="",'Assumptions'!$B$4,$J278)),"")</f>
        <v/>
      </c>
      <c r="Y278" s="45">
        <f>IFERROR(IF($A278="","",$X278*IF($K278="",'Assumptions'!$B$12,$K278)),"")</f>
        <v/>
      </c>
      <c r="Z278" s="45">
        <f>IFERROR(IF($A278="","",($X278+$Y278)*IF($L278="",'Assumptions'!$B$13,$L278)),"")</f>
        <v/>
      </c>
      <c r="AA278" s="45">
        <f>IFERROR(IF($A278="","",$X278+$Y278+$Z278),"")</f>
        <v/>
      </c>
      <c r="AB278" s="45">
        <f>IFERROR(IF($A278="","",$V278*'Assumptions'!$B$5),"")</f>
        <v/>
      </c>
      <c r="AC278" s="45">
        <f>IFERROR(IF($A278="","",$I278*'Assumptions'!$B$6),"")</f>
        <v/>
      </c>
      <c r="AD278" s="45">
        <f>IFERROR(IF($A278="","",$AB278+$AC278),"")</f>
        <v/>
      </c>
      <c r="AE278" s="45">
        <f>IFERROR(IF($A278="","",($M278+$N278)*'Assumptions'!$B$7),"")</f>
        <v/>
      </c>
      <c r="AF278" s="45">
        <f>IFERROR(IF($A278="","",($Q278/60)*'Assumptions'!$B$8),"")</f>
        <v/>
      </c>
      <c r="AG278" s="45">
        <f>IFERROR(IF($A278="","",$P278+$AE278+$AF278),"")</f>
        <v/>
      </c>
      <c r="AH278" s="45">
        <f>IFERROR(IF($A278="","",$M278+$O278),"")</f>
        <v/>
      </c>
      <c r="AI278" s="46">
        <f>IFERROR(IF($A278="","",IFERROR($AH278/$W278,0)),"")</f>
        <v/>
      </c>
      <c r="AJ278" s="45">
        <f>IFERROR(IF($A278="","",$W278-$AH278-$AD278+$AG278),"")</f>
        <v/>
      </c>
      <c r="AK278" s="47">
        <f>IFERROR(IF($A278="","",IF(OR($S278="Collected",$S278="Waived",$S278="Uncollectible",$S278="No Charge Due"),"",IF($T278="",$B278+'Assumptions'!$B$9,$T278+'Assumptions'!$B$9))),"")</f>
        <v/>
      </c>
      <c r="AL278" s="48">
        <f>IFERROR(IF($A278="","",IF(OR($S278="Collected",$S278="Waived",$S278="Uncollectible",$S278="No Charge Due"),"Closed",IF($AK278&lt;TODAY(),"Overdue",IF($AK278=TODAY(),"Due","Open")))),"")</f>
        <v/>
      </c>
      <c r="AM278" s="49">
        <f>IFERROR(IF($A278="","",IF(COUNTIF($A$5:$A$504,$A278)&gt;1,"Duplicate reservation ID",IF($C278&lt;=$B278,"Check stay dates",IF($G278&gt;$F278,"Resold nights exceed booked nights",IF($M278+$N278&gt;$AA278+0.01,"Collection exceeds expected amount",IF(AND($S278="Collected",$M278=0),"Collected status has no amount",IF($AJ278&gt;='Assumptions'!$B$10,"High-cost review","OK"))))))),"")</f>
        <v/>
      </c>
    </row>
    <row r="279">
      <c r="A279" s="38" t="n"/>
      <c r="B279" s="39" t="n"/>
      <c r="C279" s="39" t="n"/>
      <c r="D279" s="38" t="n"/>
      <c r="E279" s="38" t="n"/>
      <c r="F279" s="40" t="n"/>
      <c r="G279" s="40" t="n"/>
      <c r="H279" s="41" t="n"/>
      <c r="I279" s="41" t="n"/>
      <c r="J279" s="42" t="n"/>
      <c r="K279" s="42" t="n"/>
      <c r="L279" s="42" t="n"/>
      <c r="M279" s="41" t="n"/>
      <c r="N279" s="41" t="n"/>
      <c r="O279" s="41" t="n"/>
      <c r="P279" s="41" t="n"/>
      <c r="Q279" s="40" t="n"/>
      <c r="R279" s="38" t="n"/>
      <c r="S279" s="38" t="n"/>
      <c r="T279" s="39" t="n"/>
      <c r="U279" s="43" t="n"/>
      <c r="V279" s="44">
        <f>IFERROR(IF($A279="","",MAX($F279-$G279,0)),"")</f>
        <v/>
      </c>
      <c r="W279" s="45">
        <f>IFERROR(IF($A279="","",$H279+$I279),"")</f>
        <v/>
      </c>
      <c r="X279" s="45">
        <f>IFERROR(IF($A279="","",$H279*IF($J279="",'Assumptions'!$B$4,$J279)),"")</f>
        <v/>
      </c>
      <c r="Y279" s="45">
        <f>IFERROR(IF($A279="","",$X279*IF($K279="",'Assumptions'!$B$12,$K279)),"")</f>
        <v/>
      </c>
      <c r="Z279" s="45">
        <f>IFERROR(IF($A279="","",($X279+$Y279)*IF($L279="",'Assumptions'!$B$13,$L279)),"")</f>
        <v/>
      </c>
      <c r="AA279" s="45">
        <f>IFERROR(IF($A279="","",$X279+$Y279+$Z279),"")</f>
        <v/>
      </c>
      <c r="AB279" s="45">
        <f>IFERROR(IF($A279="","",$V279*'Assumptions'!$B$5),"")</f>
        <v/>
      </c>
      <c r="AC279" s="45">
        <f>IFERROR(IF($A279="","",$I279*'Assumptions'!$B$6),"")</f>
        <v/>
      </c>
      <c r="AD279" s="45">
        <f>IFERROR(IF($A279="","",$AB279+$AC279),"")</f>
        <v/>
      </c>
      <c r="AE279" s="45">
        <f>IFERROR(IF($A279="","",($M279+$N279)*'Assumptions'!$B$7),"")</f>
        <v/>
      </c>
      <c r="AF279" s="45">
        <f>IFERROR(IF($A279="","",($Q279/60)*'Assumptions'!$B$8),"")</f>
        <v/>
      </c>
      <c r="AG279" s="45">
        <f>IFERROR(IF($A279="","",$P279+$AE279+$AF279),"")</f>
        <v/>
      </c>
      <c r="AH279" s="45">
        <f>IFERROR(IF($A279="","",$M279+$O279),"")</f>
        <v/>
      </c>
      <c r="AI279" s="46">
        <f>IFERROR(IF($A279="","",IFERROR($AH279/$W279,0)),"")</f>
        <v/>
      </c>
      <c r="AJ279" s="45">
        <f>IFERROR(IF($A279="","",$W279-$AH279-$AD279+$AG279),"")</f>
        <v/>
      </c>
      <c r="AK279" s="47">
        <f>IFERROR(IF($A279="","",IF(OR($S279="Collected",$S279="Waived",$S279="Uncollectible",$S279="No Charge Due"),"",IF($T279="",$B279+'Assumptions'!$B$9,$T279+'Assumptions'!$B$9))),"")</f>
        <v/>
      </c>
      <c r="AL279" s="48">
        <f>IFERROR(IF($A279="","",IF(OR($S279="Collected",$S279="Waived",$S279="Uncollectible",$S279="No Charge Due"),"Closed",IF($AK279&lt;TODAY(),"Overdue",IF($AK279=TODAY(),"Due","Open")))),"")</f>
        <v/>
      </c>
      <c r="AM279" s="49">
        <f>IFERROR(IF($A279="","",IF(COUNTIF($A$5:$A$504,$A279)&gt;1,"Duplicate reservation ID",IF($C279&lt;=$B279,"Check stay dates",IF($G279&gt;$F279,"Resold nights exceed booked nights",IF($M279+$N279&gt;$AA279+0.01,"Collection exceeds expected amount",IF(AND($S279="Collected",$M279=0),"Collected status has no amount",IF($AJ279&gt;='Assumptions'!$B$10,"High-cost review","OK"))))))),"")</f>
        <v/>
      </c>
    </row>
    <row r="280">
      <c r="A280" s="38" t="n"/>
      <c r="B280" s="39" t="n"/>
      <c r="C280" s="39" t="n"/>
      <c r="D280" s="38" t="n"/>
      <c r="E280" s="38" t="n"/>
      <c r="F280" s="40" t="n"/>
      <c r="G280" s="40" t="n"/>
      <c r="H280" s="41" t="n"/>
      <c r="I280" s="41" t="n"/>
      <c r="J280" s="42" t="n"/>
      <c r="K280" s="42" t="n"/>
      <c r="L280" s="42" t="n"/>
      <c r="M280" s="41" t="n"/>
      <c r="N280" s="41" t="n"/>
      <c r="O280" s="41" t="n"/>
      <c r="P280" s="41" t="n"/>
      <c r="Q280" s="40" t="n"/>
      <c r="R280" s="38" t="n"/>
      <c r="S280" s="38" t="n"/>
      <c r="T280" s="39" t="n"/>
      <c r="U280" s="43" t="n"/>
      <c r="V280" s="44">
        <f>IFERROR(IF($A280="","",MAX($F280-$G280,0)),"")</f>
        <v/>
      </c>
      <c r="W280" s="45">
        <f>IFERROR(IF($A280="","",$H280+$I280),"")</f>
        <v/>
      </c>
      <c r="X280" s="45">
        <f>IFERROR(IF($A280="","",$H280*IF($J280="",'Assumptions'!$B$4,$J280)),"")</f>
        <v/>
      </c>
      <c r="Y280" s="45">
        <f>IFERROR(IF($A280="","",$X280*IF($K280="",'Assumptions'!$B$12,$K280)),"")</f>
        <v/>
      </c>
      <c r="Z280" s="45">
        <f>IFERROR(IF($A280="","",($X280+$Y280)*IF($L280="",'Assumptions'!$B$13,$L280)),"")</f>
        <v/>
      </c>
      <c r="AA280" s="45">
        <f>IFERROR(IF($A280="","",$X280+$Y280+$Z280),"")</f>
        <v/>
      </c>
      <c r="AB280" s="45">
        <f>IFERROR(IF($A280="","",$V280*'Assumptions'!$B$5),"")</f>
        <v/>
      </c>
      <c r="AC280" s="45">
        <f>IFERROR(IF($A280="","",$I280*'Assumptions'!$B$6),"")</f>
        <v/>
      </c>
      <c r="AD280" s="45">
        <f>IFERROR(IF($A280="","",$AB280+$AC280),"")</f>
        <v/>
      </c>
      <c r="AE280" s="45">
        <f>IFERROR(IF($A280="","",($M280+$N280)*'Assumptions'!$B$7),"")</f>
        <v/>
      </c>
      <c r="AF280" s="45">
        <f>IFERROR(IF($A280="","",($Q280/60)*'Assumptions'!$B$8),"")</f>
        <v/>
      </c>
      <c r="AG280" s="45">
        <f>IFERROR(IF($A280="","",$P280+$AE280+$AF280),"")</f>
        <v/>
      </c>
      <c r="AH280" s="45">
        <f>IFERROR(IF($A280="","",$M280+$O280),"")</f>
        <v/>
      </c>
      <c r="AI280" s="46">
        <f>IFERROR(IF($A280="","",IFERROR($AH280/$W280,0)),"")</f>
        <v/>
      </c>
      <c r="AJ280" s="45">
        <f>IFERROR(IF($A280="","",$W280-$AH280-$AD280+$AG280),"")</f>
        <v/>
      </c>
      <c r="AK280" s="47">
        <f>IFERROR(IF($A280="","",IF(OR($S280="Collected",$S280="Waived",$S280="Uncollectible",$S280="No Charge Due"),"",IF($T280="",$B280+'Assumptions'!$B$9,$T280+'Assumptions'!$B$9))),"")</f>
        <v/>
      </c>
      <c r="AL280" s="48">
        <f>IFERROR(IF($A280="","",IF(OR($S280="Collected",$S280="Waived",$S280="Uncollectible",$S280="No Charge Due"),"Closed",IF($AK280&lt;TODAY(),"Overdue",IF($AK280=TODAY(),"Due","Open")))),"")</f>
        <v/>
      </c>
      <c r="AM280" s="49">
        <f>IFERROR(IF($A280="","",IF(COUNTIF($A$5:$A$504,$A280)&gt;1,"Duplicate reservation ID",IF($C280&lt;=$B280,"Check stay dates",IF($G280&gt;$F280,"Resold nights exceed booked nights",IF($M280+$N280&gt;$AA280+0.01,"Collection exceeds expected amount",IF(AND($S280="Collected",$M280=0),"Collected status has no amount",IF($AJ280&gt;='Assumptions'!$B$10,"High-cost review","OK"))))))),"")</f>
        <v/>
      </c>
    </row>
    <row r="281">
      <c r="A281" s="38" t="n"/>
      <c r="B281" s="39" t="n"/>
      <c r="C281" s="39" t="n"/>
      <c r="D281" s="38" t="n"/>
      <c r="E281" s="38" t="n"/>
      <c r="F281" s="40" t="n"/>
      <c r="G281" s="40" t="n"/>
      <c r="H281" s="41" t="n"/>
      <c r="I281" s="41" t="n"/>
      <c r="J281" s="42" t="n"/>
      <c r="K281" s="42" t="n"/>
      <c r="L281" s="42" t="n"/>
      <c r="M281" s="41" t="n"/>
      <c r="N281" s="41" t="n"/>
      <c r="O281" s="41" t="n"/>
      <c r="P281" s="41" t="n"/>
      <c r="Q281" s="40" t="n"/>
      <c r="R281" s="38" t="n"/>
      <c r="S281" s="38" t="n"/>
      <c r="T281" s="39" t="n"/>
      <c r="U281" s="43" t="n"/>
      <c r="V281" s="44">
        <f>IFERROR(IF($A281="","",MAX($F281-$G281,0)),"")</f>
        <v/>
      </c>
      <c r="W281" s="45">
        <f>IFERROR(IF($A281="","",$H281+$I281),"")</f>
        <v/>
      </c>
      <c r="X281" s="45">
        <f>IFERROR(IF($A281="","",$H281*IF($J281="",'Assumptions'!$B$4,$J281)),"")</f>
        <v/>
      </c>
      <c r="Y281" s="45">
        <f>IFERROR(IF($A281="","",$X281*IF($K281="",'Assumptions'!$B$12,$K281)),"")</f>
        <v/>
      </c>
      <c r="Z281" s="45">
        <f>IFERROR(IF($A281="","",($X281+$Y281)*IF($L281="",'Assumptions'!$B$13,$L281)),"")</f>
        <v/>
      </c>
      <c r="AA281" s="45">
        <f>IFERROR(IF($A281="","",$X281+$Y281+$Z281),"")</f>
        <v/>
      </c>
      <c r="AB281" s="45">
        <f>IFERROR(IF($A281="","",$V281*'Assumptions'!$B$5),"")</f>
        <v/>
      </c>
      <c r="AC281" s="45">
        <f>IFERROR(IF($A281="","",$I281*'Assumptions'!$B$6),"")</f>
        <v/>
      </c>
      <c r="AD281" s="45">
        <f>IFERROR(IF($A281="","",$AB281+$AC281),"")</f>
        <v/>
      </c>
      <c r="AE281" s="45">
        <f>IFERROR(IF($A281="","",($M281+$N281)*'Assumptions'!$B$7),"")</f>
        <v/>
      </c>
      <c r="AF281" s="45">
        <f>IFERROR(IF($A281="","",($Q281/60)*'Assumptions'!$B$8),"")</f>
        <v/>
      </c>
      <c r="AG281" s="45">
        <f>IFERROR(IF($A281="","",$P281+$AE281+$AF281),"")</f>
        <v/>
      </c>
      <c r="AH281" s="45">
        <f>IFERROR(IF($A281="","",$M281+$O281),"")</f>
        <v/>
      </c>
      <c r="AI281" s="46">
        <f>IFERROR(IF($A281="","",IFERROR($AH281/$W281,0)),"")</f>
        <v/>
      </c>
      <c r="AJ281" s="45">
        <f>IFERROR(IF($A281="","",$W281-$AH281-$AD281+$AG281),"")</f>
        <v/>
      </c>
      <c r="AK281" s="47">
        <f>IFERROR(IF($A281="","",IF(OR($S281="Collected",$S281="Waived",$S281="Uncollectible",$S281="No Charge Due"),"",IF($T281="",$B281+'Assumptions'!$B$9,$T281+'Assumptions'!$B$9))),"")</f>
        <v/>
      </c>
      <c r="AL281" s="48">
        <f>IFERROR(IF($A281="","",IF(OR($S281="Collected",$S281="Waived",$S281="Uncollectible",$S281="No Charge Due"),"Closed",IF($AK281&lt;TODAY(),"Overdue",IF($AK281=TODAY(),"Due","Open")))),"")</f>
        <v/>
      </c>
      <c r="AM281" s="49">
        <f>IFERROR(IF($A281="","",IF(COUNTIF($A$5:$A$504,$A281)&gt;1,"Duplicate reservation ID",IF($C281&lt;=$B281,"Check stay dates",IF($G281&gt;$F281,"Resold nights exceed booked nights",IF($M281+$N281&gt;$AA281+0.01,"Collection exceeds expected amount",IF(AND($S281="Collected",$M281=0),"Collected status has no amount",IF($AJ281&gt;='Assumptions'!$B$10,"High-cost review","OK"))))))),"")</f>
        <v/>
      </c>
    </row>
    <row r="282">
      <c r="A282" s="38" t="n"/>
      <c r="B282" s="39" t="n"/>
      <c r="C282" s="39" t="n"/>
      <c r="D282" s="38" t="n"/>
      <c r="E282" s="38" t="n"/>
      <c r="F282" s="40" t="n"/>
      <c r="G282" s="40" t="n"/>
      <c r="H282" s="41" t="n"/>
      <c r="I282" s="41" t="n"/>
      <c r="J282" s="42" t="n"/>
      <c r="K282" s="42" t="n"/>
      <c r="L282" s="42" t="n"/>
      <c r="M282" s="41" t="n"/>
      <c r="N282" s="41" t="n"/>
      <c r="O282" s="41" t="n"/>
      <c r="P282" s="41" t="n"/>
      <c r="Q282" s="40" t="n"/>
      <c r="R282" s="38" t="n"/>
      <c r="S282" s="38" t="n"/>
      <c r="T282" s="39" t="n"/>
      <c r="U282" s="43" t="n"/>
      <c r="V282" s="44">
        <f>IFERROR(IF($A282="","",MAX($F282-$G282,0)),"")</f>
        <v/>
      </c>
      <c r="W282" s="45">
        <f>IFERROR(IF($A282="","",$H282+$I282),"")</f>
        <v/>
      </c>
      <c r="X282" s="45">
        <f>IFERROR(IF($A282="","",$H282*IF($J282="",'Assumptions'!$B$4,$J282)),"")</f>
        <v/>
      </c>
      <c r="Y282" s="45">
        <f>IFERROR(IF($A282="","",$X282*IF($K282="",'Assumptions'!$B$12,$K282)),"")</f>
        <v/>
      </c>
      <c r="Z282" s="45">
        <f>IFERROR(IF($A282="","",($X282+$Y282)*IF($L282="",'Assumptions'!$B$13,$L282)),"")</f>
        <v/>
      </c>
      <c r="AA282" s="45">
        <f>IFERROR(IF($A282="","",$X282+$Y282+$Z282),"")</f>
        <v/>
      </c>
      <c r="AB282" s="45">
        <f>IFERROR(IF($A282="","",$V282*'Assumptions'!$B$5),"")</f>
        <v/>
      </c>
      <c r="AC282" s="45">
        <f>IFERROR(IF($A282="","",$I282*'Assumptions'!$B$6),"")</f>
        <v/>
      </c>
      <c r="AD282" s="45">
        <f>IFERROR(IF($A282="","",$AB282+$AC282),"")</f>
        <v/>
      </c>
      <c r="AE282" s="45">
        <f>IFERROR(IF($A282="","",($M282+$N282)*'Assumptions'!$B$7),"")</f>
        <v/>
      </c>
      <c r="AF282" s="45">
        <f>IFERROR(IF($A282="","",($Q282/60)*'Assumptions'!$B$8),"")</f>
        <v/>
      </c>
      <c r="AG282" s="45">
        <f>IFERROR(IF($A282="","",$P282+$AE282+$AF282),"")</f>
        <v/>
      </c>
      <c r="AH282" s="45">
        <f>IFERROR(IF($A282="","",$M282+$O282),"")</f>
        <v/>
      </c>
      <c r="AI282" s="46">
        <f>IFERROR(IF($A282="","",IFERROR($AH282/$W282,0)),"")</f>
        <v/>
      </c>
      <c r="AJ282" s="45">
        <f>IFERROR(IF($A282="","",$W282-$AH282-$AD282+$AG282),"")</f>
        <v/>
      </c>
      <c r="AK282" s="47">
        <f>IFERROR(IF($A282="","",IF(OR($S282="Collected",$S282="Waived",$S282="Uncollectible",$S282="No Charge Due"),"",IF($T282="",$B282+'Assumptions'!$B$9,$T282+'Assumptions'!$B$9))),"")</f>
        <v/>
      </c>
      <c r="AL282" s="48">
        <f>IFERROR(IF($A282="","",IF(OR($S282="Collected",$S282="Waived",$S282="Uncollectible",$S282="No Charge Due"),"Closed",IF($AK282&lt;TODAY(),"Overdue",IF($AK282=TODAY(),"Due","Open")))),"")</f>
        <v/>
      </c>
      <c r="AM282" s="49">
        <f>IFERROR(IF($A282="","",IF(COUNTIF($A$5:$A$504,$A282)&gt;1,"Duplicate reservation ID",IF($C282&lt;=$B282,"Check stay dates",IF($G282&gt;$F282,"Resold nights exceed booked nights",IF($M282+$N282&gt;$AA282+0.01,"Collection exceeds expected amount",IF(AND($S282="Collected",$M282=0),"Collected status has no amount",IF($AJ282&gt;='Assumptions'!$B$10,"High-cost review","OK"))))))),"")</f>
        <v/>
      </c>
    </row>
    <row r="283">
      <c r="A283" s="38" t="n"/>
      <c r="B283" s="39" t="n"/>
      <c r="C283" s="39" t="n"/>
      <c r="D283" s="38" t="n"/>
      <c r="E283" s="38" t="n"/>
      <c r="F283" s="40" t="n"/>
      <c r="G283" s="40" t="n"/>
      <c r="H283" s="41" t="n"/>
      <c r="I283" s="41" t="n"/>
      <c r="J283" s="42" t="n"/>
      <c r="K283" s="42" t="n"/>
      <c r="L283" s="42" t="n"/>
      <c r="M283" s="41" t="n"/>
      <c r="N283" s="41" t="n"/>
      <c r="O283" s="41" t="n"/>
      <c r="P283" s="41" t="n"/>
      <c r="Q283" s="40" t="n"/>
      <c r="R283" s="38" t="n"/>
      <c r="S283" s="38" t="n"/>
      <c r="T283" s="39" t="n"/>
      <c r="U283" s="43" t="n"/>
      <c r="V283" s="44">
        <f>IFERROR(IF($A283="","",MAX($F283-$G283,0)),"")</f>
        <v/>
      </c>
      <c r="W283" s="45">
        <f>IFERROR(IF($A283="","",$H283+$I283),"")</f>
        <v/>
      </c>
      <c r="X283" s="45">
        <f>IFERROR(IF($A283="","",$H283*IF($J283="",'Assumptions'!$B$4,$J283)),"")</f>
        <v/>
      </c>
      <c r="Y283" s="45">
        <f>IFERROR(IF($A283="","",$X283*IF($K283="",'Assumptions'!$B$12,$K283)),"")</f>
        <v/>
      </c>
      <c r="Z283" s="45">
        <f>IFERROR(IF($A283="","",($X283+$Y283)*IF($L283="",'Assumptions'!$B$13,$L283)),"")</f>
        <v/>
      </c>
      <c r="AA283" s="45">
        <f>IFERROR(IF($A283="","",$X283+$Y283+$Z283),"")</f>
        <v/>
      </c>
      <c r="AB283" s="45">
        <f>IFERROR(IF($A283="","",$V283*'Assumptions'!$B$5),"")</f>
        <v/>
      </c>
      <c r="AC283" s="45">
        <f>IFERROR(IF($A283="","",$I283*'Assumptions'!$B$6),"")</f>
        <v/>
      </c>
      <c r="AD283" s="45">
        <f>IFERROR(IF($A283="","",$AB283+$AC283),"")</f>
        <v/>
      </c>
      <c r="AE283" s="45">
        <f>IFERROR(IF($A283="","",($M283+$N283)*'Assumptions'!$B$7),"")</f>
        <v/>
      </c>
      <c r="AF283" s="45">
        <f>IFERROR(IF($A283="","",($Q283/60)*'Assumptions'!$B$8),"")</f>
        <v/>
      </c>
      <c r="AG283" s="45">
        <f>IFERROR(IF($A283="","",$P283+$AE283+$AF283),"")</f>
        <v/>
      </c>
      <c r="AH283" s="45">
        <f>IFERROR(IF($A283="","",$M283+$O283),"")</f>
        <v/>
      </c>
      <c r="AI283" s="46">
        <f>IFERROR(IF($A283="","",IFERROR($AH283/$W283,0)),"")</f>
        <v/>
      </c>
      <c r="AJ283" s="45">
        <f>IFERROR(IF($A283="","",$W283-$AH283-$AD283+$AG283),"")</f>
        <v/>
      </c>
      <c r="AK283" s="47">
        <f>IFERROR(IF($A283="","",IF(OR($S283="Collected",$S283="Waived",$S283="Uncollectible",$S283="No Charge Due"),"",IF($T283="",$B283+'Assumptions'!$B$9,$T283+'Assumptions'!$B$9))),"")</f>
        <v/>
      </c>
      <c r="AL283" s="48">
        <f>IFERROR(IF($A283="","",IF(OR($S283="Collected",$S283="Waived",$S283="Uncollectible",$S283="No Charge Due"),"Closed",IF($AK283&lt;TODAY(),"Overdue",IF($AK283=TODAY(),"Due","Open")))),"")</f>
        <v/>
      </c>
      <c r="AM283" s="49">
        <f>IFERROR(IF($A283="","",IF(COUNTIF($A$5:$A$504,$A283)&gt;1,"Duplicate reservation ID",IF($C283&lt;=$B283,"Check stay dates",IF($G283&gt;$F283,"Resold nights exceed booked nights",IF($M283+$N283&gt;$AA283+0.01,"Collection exceeds expected amount",IF(AND($S283="Collected",$M283=0),"Collected status has no amount",IF($AJ283&gt;='Assumptions'!$B$10,"High-cost review","OK"))))))),"")</f>
        <v/>
      </c>
    </row>
    <row r="284">
      <c r="A284" s="38" t="n"/>
      <c r="B284" s="39" t="n"/>
      <c r="C284" s="39" t="n"/>
      <c r="D284" s="38" t="n"/>
      <c r="E284" s="38" t="n"/>
      <c r="F284" s="40" t="n"/>
      <c r="G284" s="40" t="n"/>
      <c r="H284" s="41" t="n"/>
      <c r="I284" s="41" t="n"/>
      <c r="J284" s="42" t="n"/>
      <c r="K284" s="42" t="n"/>
      <c r="L284" s="42" t="n"/>
      <c r="M284" s="41" t="n"/>
      <c r="N284" s="41" t="n"/>
      <c r="O284" s="41" t="n"/>
      <c r="P284" s="41" t="n"/>
      <c r="Q284" s="40" t="n"/>
      <c r="R284" s="38" t="n"/>
      <c r="S284" s="38" t="n"/>
      <c r="T284" s="39" t="n"/>
      <c r="U284" s="43" t="n"/>
      <c r="V284" s="44">
        <f>IFERROR(IF($A284="","",MAX($F284-$G284,0)),"")</f>
        <v/>
      </c>
      <c r="W284" s="45">
        <f>IFERROR(IF($A284="","",$H284+$I284),"")</f>
        <v/>
      </c>
      <c r="X284" s="45">
        <f>IFERROR(IF($A284="","",$H284*IF($J284="",'Assumptions'!$B$4,$J284)),"")</f>
        <v/>
      </c>
      <c r="Y284" s="45">
        <f>IFERROR(IF($A284="","",$X284*IF($K284="",'Assumptions'!$B$12,$K284)),"")</f>
        <v/>
      </c>
      <c r="Z284" s="45">
        <f>IFERROR(IF($A284="","",($X284+$Y284)*IF($L284="",'Assumptions'!$B$13,$L284)),"")</f>
        <v/>
      </c>
      <c r="AA284" s="45">
        <f>IFERROR(IF($A284="","",$X284+$Y284+$Z284),"")</f>
        <v/>
      </c>
      <c r="AB284" s="45">
        <f>IFERROR(IF($A284="","",$V284*'Assumptions'!$B$5),"")</f>
        <v/>
      </c>
      <c r="AC284" s="45">
        <f>IFERROR(IF($A284="","",$I284*'Assumptions'!$B$6),"")</f>
        <v/>
      </c>
      <c r="AD284" s="45">
        <f>IFERROR(IF($A284="","",$AB284+$AC284),"")</f>
        <v/>
      </c>
      <c r="AE284" s="45">
        <f>IFERROR(IF($A284="","",($M284+$N284)*'Assumptions'!$B$7),"")</f>
        <v/>
      </c>
      <c r="AF284" s="45">
        <f>IFERROR(IF($A284="","",($Q284/60)*'Assumptions'!$B$8),"")</f>
        <v/>
      </c>
      <c r="AG284" s="45">
        <f>IFERROR(IF($A284="","",$P284+$AE284+$AF284),"")</f>
        <v/>
      </c>
      <c r="AH284" s="45">
        <f>IFERROR(IF($A284="","",$M284+$O284),"")</f>
        <v/>
      </c>
      <c r="AI284" s="46">
        <f>IFERROR(IF($A284="","",IFERROR($AH284/$W284,0)),"")</f>
        <v/>
      </c>
      <c r="AJ284" s="45">
        <f>IFERROR(IF($A284="","",$W284-$AH284-$AD284+$AG284),"")</f>
        <v/>
      </c>
      <c r="AK284" s="47">
        <f>IFERROR(IF($A284="","",IF(OR($S284="Collected",$S284="Waived",$S284="Uncollectible",$S284="No Charge Due"),"",IF($T284="",$B284+'Assumptions'!$B$9,$T284+'Assumptions'!$B$9))),"")</f>
        <v/>
      </c>
      <c r="AL284" s="48">
        <f>IFERROR(IF($A284="","",IF(OR($S284="Collected",$S284="Waived",$S284="Uncollectible",$S284="No Charge Due"),"Closed",IF($AK284&lt;TODAY(),"Overdue",IF($AK284=TODAY(),"Due","Open")))),"")</f>
        <v/>
      </c>
      <c r="AM284" s="49">
        <f>IFERROR(IF($A284="","",IF(COUNTIF($A$5:$A$504,$A284)&gt;1,"Duplicate reservation ID",IF($C284&lt;=$B284,"Check stay dates",IF($G284&gt;$F284,"Resold nights exceed booked nights",IF($M284+$N284&gt;$AA284+0.01,"Collection exceeds expected amount",IF(AND($S284="Collected",$M284=0),"Collected status has no amount",IF($AJ284&gt;='Assumptions'!$B$10,"High-cost review","OK"))))))),"")</f>
        <v/>
      </c>
    </row>
    <row r="285">
      <c r="A285" s="38" t="n"/>
      <c r="B285" s="39" t="n"/>
      <c r="C285" s="39" t="n"/>
      <c r="D285" s="38" t="n"/>
      <c r="E285" s="38" t="n"/>
      <c r="F285" s="40" t="n"/>
      <c r="G285" s="40" t="n"/>
      <c r="H285" s="41" t="n"/>
      <c r="I285" s="41" t="n"/>
      <c r="J285" s="42" t="n"/>
      <c r="K285" s="42" t="n"/>
      <c r="L285" s="42" t="n"/>
      <c r="M285" s="41" t="n"/>
      <c r="N285" s="41" t="n"/>
      <c r="O285" s="41" t="n"/>
      <c r="P285" s="41" t="n"/>
      <c r="Q285" s="40" t="n"/>
      <c r="R285" s="38" t="n"/>
      <c r="S285" s="38" t="n"/>
      <c r="T285" s="39" t="n"/>
      <c r="U285" s="43" t="n"/>
      <c r="V285" s="44">
        <f>IFERROR(IF($A285="","",MAX($F285-$G285,0)),"")</f>
        <v/>
      </c>
      <c r="W285" s="45">
        <f>IFERROR(IF($A285="","",$H285+$I285),"")</f>
        <v/>
      </c>
      <c r="X285" s="45">
        <f>IFERROR(IF($A285="","",$H285*IF($J285="",'Assumptions'!$B$4,$J285)),"")</f>
        <v/>
      </c>
      <c r="Y285" s="45">
        <f>IFERROR(IF($A285="","",$X285*IF($K285="",'Assumptions'!$B$12,$K285)),"")</f>
        <v/>
      </c>
      <c r="Z285" s="45">
        <f>IFERROR(IF($A285="","",($X285+$Y285)*IF($L285="",'Assumptions'!$B$13,$L285)),"")</f>
        <v/>
      </c>
      <c r="AA285" s="45">
        <f>IFERROR(IF($A285="","",$X285+$Y285+$Z285),"")</f>
        <v/>
      </c>
      <c r="AB285" s="45">
        <f>IFERROR(IF($A285="","",$V285*'Assumptions'!$B$5),"")</f>
        <v/>
      </c>
      <c r="AC285" s="45">
        <f>IFERROR(IF($A285="","",$I285*'Assumptions'!$B$6),"")</f>
        <v/>
      </c>
      <c r="AD285" s="45">
        <f>IFERROR(IF($A285="","",$AB285+$AC285),"")</f>
        <v/>
      </c>
      <c r="AE285" s="45">
        <f>IFERROR(IF($A285="","",($M285+$N285)*'Assumptions'!$B$7),"")</f>
        <v/>
      </c>
      <c r="AF285" s="45">
        <f>IFERROR(IF($A285="","",($Q285/60)*'Assumptions'!$B$8),"")</f>
        <v/>
      </c>
      <c r="AG285" s="45">
        <f>IFERROR(IF($A285="","",$P285+$AE285+$AF285),"")</f>
        <v/>
      </c>
      <c r="AH285" s="45">
        <f>IFERROR(IF($A285="","",$M285+$O285),"")</f>
        <v/>
      </c>
      <c r="AI285" s="46">
        <f>IFERROR(IF($A285="","",IFERROR($AH285/$W285,0)),"")</f>
        <v/>
      </c>
      <c r="AJ285" s="45">
        <f>IFERROR(IF($A285="","",$W285-$AH285-$AD285+$AG285),"")</f>
        <v/>
      </c>
      <c r="AK285" s="47">
        <f>IFERROR(IF($A285="","",IF(OR($S285="Collected",$S285="Waived",$S285="Uncollectible",$S285="No Charge Due"),"",IF($T285="",$B285+'Assumptions'!$B$9,$T285+'Assumptions'!$B$9))),"")</f>
        <v/>
      </c>
      <c r="AL285" s="48">
        <f>IFERROR(IF($A285="","",IF(OR($S285="Collected",$S285="Waived",$S285="Uncollectible",$S285="No Charge Due"),"Closed",IF($AK285&lt;TODAY(),"Overdue",IF($AK285=TODAY(),"Due","Open")))),"")</f>
        <v/>
      </c>
      <c r="AM285" s="49">
        <f>IFERROR(IF($A285="","",IF(COUNTIF($A$5:$A$504,$A285)&gt;1,"Duplicate reservation ID",IF($C285&lt;=$B285,"Check stay dates",IF($G285&gt;$F285,"Resold nights exceed booked nights",IF($M285+$N285&gt;$AA285+0.01,"Collection exceeds expected amount",IF(AND($S285="Collected",$M285=0),"Collected status has no amount",IF($AJ285&gt;='Assumptions'!$B$10,"High-cost review","OK"))))))),"")</f>
        <v/>
      </c>
    </row>
    <row r="286">
      <c r="A286" s="38" t="n"/>
      <c r="B286" s="39" t="n"/>
      <c r="C286" s="39" t="n"/>
      <c r="D286" s="38" t="n"/>
      <c r="E286" s="38" t="n"/>
      <c r="F286" s="40" t="n"/>
      <c r="G286" s="40" t="n"/>
      <c r="H286" s="41" t="n"/>
      <c r="I286" s="41" t="n"/>
      <c r="J286" s="42" t="n"/>
      <c r="K286" s="42" t="n"/>
      <c r="L286" s="42" t="n"/>
      <c r="M286" s="41" t="n"/>
      <c r="N286" s="41" t="n"/>
      <c r="O286" s="41" t="n"/>
      <c r="P286" s="41" t="n"/>
      <c r="Q286" s="40" t="n"/>
      <c r="R286" s="38" t="n"/>
      <c r="S286" s="38" t="n"/>
      <c r="T286" s="39" t="n"/>
      <c r="U286" s="43" t="n"/>
      <c r="V286" s="44">
        <f>IFERROR(IF($A286="","",MAX($F286-$G286,0)),"")</f>
        <v/>
      </c>
      <c r="W286" s="45">
        <f>IFERROR(IF($A286="","",$H286+$I286),"")</f>
        <v/>
      </c>
      <c r="X286" s="45">
        <f>IFERROR(IF($A286="","",$H286*IF($J286="",'Assumptions'!$B$4,$J286)),"")</f>
        <v/>
      </c>
      <c r="Y286" s="45">
        <f>IFERROR(IF($A286="","",$X286*IF($K286="",'Assumptions'!$B$12,$K286)),"")</f>
        <v/>
      </c>
      <c r="Z286" s="45">
        <f>IFERROR(IF($A286="","",($X286+$Y286)*IF($L286="",'Assumptions'!$B$13,$L286)),"")</f>
        <v/>
      </c>
      <c r="AA286" s="45">
        <f>IFERROR(IF($A286="","",$X286+$Y286+$Z286),"")</f>
        <v/>
      </c>
      <c r="AB286" s="45">
        <f>IFERROR(IF($A286="","",$V286*'Assumptions'!$B$5),"")</f>
        <v/>
      </c>
      <c r="AC286" s="45">
        <f>IFERROR(IF($A286="","",$I286*'Assumptions'!$B$6),"")</f>
        <v/>
      </c>
      <c r="AD286" s="45">
        <f>IFERROR(IF($A286="","",$AB286+$AC286),"")</f>
        <v/>
      </c>
      <c r="AE286" s="45">
        <f>IFERROR(IF($A286="","",($M286+$N286)*'Assumptions'!$B$7),"")</f>
        <v/>
      </c>
      <c r="AF286" s="45">
        <f>IFERROR(IF($A286="","",($Q286/60)*'Assumptions'!$B$8),"")</f>
        <v/>
      </c>
      <c r="AG286" s="45">
        <f>IFERROR(IF($A286="","",$P286+$AE286+$AF286),"")</f>
        <v/>
      </c>
      <c r="AH286" s="45">
        <f>IFERROR(IF($A286="","",$M286+$O286),"")</f>
        <v/>
      </c>
      <c r="AI286" s="46">
        <f>IFERROR(IF($A286="","",IFERROR($AH286/$W286,0)),"")</f>
        <v/>
      </c>
      <c r="AJ286" s="45">
        <f>IFERROR(IF($A286="","",$W286-$AH286-$AD286+$AG286),"")</f>
        <v/>
      </c>
      <c r="AK286" s="47">
        <f>IFERROR(IF($A286="","",IF(OR($S286="Collected",$S286="Waived",$S286="Uncollectible",$S286="No Charge Due"),"",IF($T286="",$B286+'Assumptions'!$B$9,$T286+'Assumptions'!$B$9))),"")</f>
        <v/>
      </c>
      <c r="AL286" s="48">
        <f>IFERROR(IF($A286="","",IF(OR($S286="Collected",$S286="Waived",$S286="Uncollectible",$S286="No Charge Due"),"Closed",IF($AK286&lt;TODAY(),"Overdue",IF($AK286=TODAY(),"Due","Open")))),"")</f>
        <v/>
      </c>
      <c r="AM286" s="49">
        <f>IFERROR(IF($A286="","",IF(COUNTIF($A$5:$A$504,$A286)&gt;1,"Duplicate reservation ID",IF($C286&lt;=$B286,"Check stay dates",IF($G286&gt;$F286,"Resold nights exceed booked nights",IF($M286+$N286&gt;$AA286+0.01,"Collection exceeds expected amount",IF(AND($S286="Collected",$M286=0),"Collected status has no amount",IF($AJ286&gt;='Assumptions'!$B$10,"High-cost review","OK"))))))),"")</f>
        <v/>
      </c>
    </row>
    <row r="287">
      <c r="A287" s="38" t="n"/>
      <c r="B287" s="39" t="n"/>
      <c r="C287" s="39" t="n"/>
      <c r="D287" s="38" t="n"/>
      <c r="E287" s="38" t="n"/>
      <c r="F287" s="40" t="n"/>
      <c r="G287" s="40" t="n"/>
      <c r="H287" s="41" t="n"/>
      <c r="I287" s="41" t="n"/>
      <c r="J287" s="42" t="n"/>
      <c r="K287" s="42" t="n"/>
      <c r="L287" s="42" t="n"/>
      <c r="M287" s="41" t="n"/>
      <c r="N287" s="41" t="n"/>
      <c r="O287" s="41" t="n"/>
      <c r="P287" s="41" t="n"/>
      <c r="Q287" s="40" t="n"/>
      <c r="R287" s="38" t="n"/>
      <c r="S287" s="38" t="n"/>
      <c r="T287" s="39" t="n"/>
      <c r="U287" s="43" t="n"/>
      <c r="V287" s="44">
        <f>IFERROR(IF($A287="","",MAX($F287-$G287,0)),"")</f>
        <v/>
      </c>
      <c r="W287" s="45">
        <f>IFERROR(IF($A287="","",$H287+$I287),"")</f>
        <v/>
      </c>
      <c r="X287" s="45">
        <f>IFERROR(IF($A287="","",$H287*IF($J287="",'Assumptions'!$B$4,$J287)),"")</f>
        <v/>
      </c>
      <c r="Y287" s="45">
        <f>IFERROR(IF($A287="","",$X287*IF($K287="",'Assumptions'!$B$12,$K287)),"")</f>
        <v/>
      </c>
      <c r="Z287" s="45">
        <f>IFERROR(IF($A287="","",($X287+$Y287)*IF($L287="",'Assumptions'!$B$13,$L287)),"")</f>
        <v/>
      </c>
      <c r="AA287" s="45">
        <f>IFERROR(IF($A287="","",$X287+$Y287+$Z287),"")</f>
        <v/>
      </c>
      <c r="AB287" s="45">
        <f>IFERROR(IF($A287="","",$V287*'Assumptions'!$B$5),"")</f>
        <v/>
      </c>
      <c r="AC287" s="45">
        <f>IFERROR(IF($A287="","",$I287*'Assumptions'!$B$6),"")</f>
        <v/>
      </c>
      <c r="AD287" s="45">
        <f>IFERROR(IF($A287="","",$AB287+$AC287),"")</f>
        <v/>
      </c>
      <c r="AE287" s="45">
        <f>IFERROR(IF($A287="","",($M287+$N287)*'Assumptions'!$B$7),"")</f>
        <v/>
      </c>
      <c r="AF287" s="45">
        <f>IFERROR(IF($A287="","",($Q287/60)*'Assumptions'!$B$8),"")</f>
        <v/>
      </c>
      <c r="AG287" s="45">
        <f>IFERROR(IF($A287="","",$P287+$AE287+$AF287),"")</f>
        <v/>
      </c>
      <c r="AH287" s="45">
        <f>IFERROR(IF($A287="","",$M287+$O287),"")</f>
        <v/>
      </c>
      <c r="AI287" s="46">
        <f>IFERROR(IF($A287="","",IFERROR($AH287/$W287,0)),"")</f>
        <v/>
      </c>
      <c r="AJ287" s="45">
        <f>IFERROR(IF($A287="","",$W287-$AH287-$AD287+$AG287),"")</f>
        <v/>
      </c>
      <c r="AK287" s="47">
        <f>IFERROR(IF($A287="","",IF(OR($S287="Collected",$S287="Waived",$S287="Uncollectible",$S287="No Charge Due"),"",IF($T287="",$B287+'Assumptions'!$B$9,$T287+'Assumptions'!$B$9))),"")</f>
        <v/>
      </c>
      <c r="AL287" s="48">
        <f>IFERROR(IF($A287="","",IF(OR($S287="Collected",$S287="Waived",$S287="Uncollectible",$S287="No Charge Due"),"Closed",IF($AK287&lt;TODAY(),"Overdue",IF($AK287=TODAY(),"Due","Open")))),"")</f>
        <v/>
      </c>
      <c r="AM287" s="49">
        <f>IFERROR(IF($A287="","",IF(COUNTIF($A$5:$A$504,$A287)&gt;1,"Duplicate reservation ID",IF($C287&lt;=$B287,"Check stay dates",IF($G287&gt;$F287,"Resold nights exceed booked nights",IF($M287+$N287&gt;$AA287+0.01,"Collection exceeds expected amount",IF(AND($S287="Collected",$M287=0),"Collected status has no amount",IF($AJ287&gt;='Assumptions'!$B$10,"High-cost review","OK"))))))),"")</f>
        <v/>
      </c>
    </row>
    <row r="288">
      <c r="A288" s="38" t="n"/>
      <c r="B288" s="39" t="n"/>
      <c r="C288" s="39" t="n"/>
      <c r="D288" s="38" t="n"/>
      <c r="E288" s="38" t="n"/>
      <c r="F288" s="40" t="n"/>
      <c r="G288" s="40" t="n"/>
      <c r="H288" s="41" t="n"/>
      <c r="I288" s="41" t="n"/>
      <c r="J288" s="42" t="n"/>
      <c r="K288" s="42" t="n"/>
      <c r="L288" s="42" t="n"/>
      <c r="M288" s="41" t="n"/>
      <c r="N288" s="41" t="n"/>
      <c r="O288" s="41" t="n"/>
      <c r="P288" s="41" t="n"/>
      <c r="Q288" s="40" t="n"/>
      <c r="R288" s="38" t="n"/>
      <c r="S288" s="38" t="n"/>
      <c r="T288" s="39" t="n"/>
      <c r="U288" s="43" t="n"/>
      <c r="V288" s="44">
        <f>IFERROR(IF($A288="","",MAX($F288-$G288,0)),"")</f>
        <v/>
      </c>
      <c r="W288" s="45">
        <f>IFERROR(IF($A288="","",$H288+$I288),"")</f>
        <v/>
      </c>
      <c r="X288" s="45">
        <f>IFERROR(IF($A288="","",$H288*IF($J288="",'Assumptions'!$B$4,$J288)),"")</f>
        <v/>
      </c>
      <c r="Y288" s="45">
        <f>IFERROR(IF($A288="","",$X288*IF($K288="",'Assumptions'!$B$12,$K288)),"")</f>
        <v/>
      </c>
      <c r="Z288" s="45">
        <f>IFERROR(IF($A288="","",($X288+$Y288)*IF($L288="",'Assumptions'!$B$13,$L288)),"")</f>
        <v/>
      </c>
      <c r="AA288" s="45">
        <f>IFERROR(IF($A288="","",$X288+$Y288+$Z288),"")</f>
        <v/>
      </c>
      <c r="AB288" s="45">
        <f>IFERROR(IF($A288="","",$V288*'Assumptions'!$B$5),"")</f>
        <v/>
      </c>
      <c r="AC288" s="45">
        <f>IFERROR(IF($A288="","",$I288*'Assumptions'!$B$6),"")</f>
        <v/>
      </c>
      <c r="AD288" s="45">
        <f>IFERROR(IF($A288="","",$AB288+$AC288),"")</f>
        <v/>
      </c>
      <c r="AE288" s="45">
        <f>IFERROR(IF($A288="","",($M288+$N288)*'Assumptions'!$B$7),"")</f>
        <v/>
      </c>
      <c r="AF288" s="45">
        <f>IFERROR(IF($A288="","",($Q288/60)*'Assumptions'!$B$8),"")</f>
        <v/>
      </c>
      <c r="AG288" s="45">
        <f>IFERROR(IF($A288="","",$P288+$AE288+$AF288),"")</f>
        <v/>
      </c>
      <c r="AH288" s="45">
        <f>IFERROR(IF($A288="","",$M288+$O288),"")</f>
        <v/>
      </c>
      <c r="AI288" s="46">
        <f>IFERROR(IF($A288="","",IFERROR($AH288/$W288,0)),"")</f>
        <v/>
      </c>
      <c r="AJ288" s="45">
        <f>IFERROR(IF($A288="","",$W288-$AH288-$AD288+$AG288),"")</f>
        <v/>
      </c>
      <c r="AK288" s="47">
        <f>IFERROR(IF($A288="","",IF(OR($S288="Collected",$S288="Waived",$S288="Uncollectible",$S288="No Charge Due"),"",IF($T288="",$B288+'Assumptions'!$B$9,$T288+'Assumptions'!$B$9))),"")</f>
        <v/>
      </c>
      <c r="AL288" s="48">
        <f>IFERROR(IF($A288="","",IF(OR($S288="Collected",$S288="Waived",$S288="Uncollectible",$S288="No Charge Due"),"Closed",IF($AK288&lt;TODAY(),"Overdue",IF($AK288=TODAY(),"Due","Open")))),"")</f>
        <v/>
      </c>
      <c r="AM288" s="49">
        <f>IFERROR(IF($A288="","",IF(COUNTIF($A$5:$A$504,$A288)&gt;1,"Duplicate reservation ID",IF($C288&lt;=$B288,"Check stay dates",IF($G288&gt;$F288,"Resold nights exceed booked nights",IF($M288+$N288&gt;$AA288+0.01,"Collection exceeds expected amount",IF(AND($S288="Collected",$M288=0),"Collected status has no amount",IF($AJ288&gt;='Assumptions'!$B$10,"High-cost review","OK"))))))),"")</f>
        <v/>
      </c>
    </row>
    <row r="289">
      <c r="A289" s="38" t="n"/>
      <c r="B289" s="39" t="n"/>
      <c r="C289" s="39" t="n"/>
      <c r="D289" s="38" t="n"/>
      <c r="E289" s="38" t="n"/>
      <c r="F289" s="40" t="n"/>
      <c r="G289" s="40" t="n"/>
      <c r="H289" s="41" t="n"/>
      <c r="I289" s="41" t="n"/>
      <c r="J289" s="42" t="n"/>
      <c r="K289" s="42" t="n"/>
      <c r="L289" s="42" t="n"/>
      <c r="M289" s="41" t="n"/>
      <c r="N289" s="41" t="n"/>
      <c r="O289" s="41" t="n"/>
      <c r="P289" s="41" t="n"/>
      <c r="Q289" s="40" t="n"/>
      <c r="R289" s="38" t="n"/>
      <c r="S289" s="38" t="n"/>
      <c r="T289" s="39" t="n"/>
      <c r="U289" s="43" t="n"/>
      <c r="V289" s="44">
        <f>IFERROR(IF($A289="","",MAX($F289-$G289,0)),"")</f>
        <v/>
      </c>
      <c r="W289" s="45">
        <f>IFERROR(IF($A289="","",$H289+$I289),"")</f>
        <v/>
      </c>
      <c r="X289" s="45">
        <f>IFERROR(IF($A289="","",$H289*IF($J289="",'Assumptions'!$B$4,$J289)),"")</f>
        <v/>
      </c>
      <c r="Y289" s="45">
        <f>IFERROR(IF($A289="","",$X289*IF($K289="",'Assumptions'!$B$12,$K289)),"")</f>
        <v/>
      </c>
      <c r="Z289" s="45">
        <f>IFERROR(IF($A289="","",($X289+$Y289)*IF($L289="",'Assumptions'!$B$13,$L289)),"")</f>
        <v/>
      </c>
      <c r="AA289" s="45">
        <f>IFERROR(IF($A289="","",$X289+$Y289+$Z289),"")</f>
        <v/>
      </c>
      <c r="AB289" s="45">
        <f>IFERROR(IF($A289="","",$V289*'Assumptions'!$B$5),"")</f>
        <v/>
      </c>
      <c r="AC289" s="45">
        <f>IFERROR(IF($A289="","",$I289*'Assumptions'!$B$6),"")</f>
        <v/>
      </c>
      <c r="AD289" s="45">
        <f>IFERROR(IF($A289="","",$AB289+$AC289),"")</f>
        <v/>
      </c>
      <c r="AE289" s="45">
        <f>IFERROR(IF($A289="","",($M289+$N289)*'Assumptions'!$B$7),"")</f>
        <v/>
      </c>
      <c r="AF289" s="45">
        <f>IFERROR(IF($A289="","",($Q289/60)*'Assumptions'!$B$8),"")</f>
        <v/>
      </c>
      <c r="AG289" s="45">
        <f>IFERROR(IF($A289="","",$P289+$AE289+$AF289),"")</f>
        <v/>
      </c>
      <c r="AH289" s="45">
        <f>IFERROR(IF($A289="","",$M289+$O289),"")</f>
        <v/>
      </c>
      <c r="AI289" s="46">
        <f>IFERROR(IF($A289="","",IFERROR($AH289/$W289,0)),"")</f>
        <v/>
      </c>
      <c r="AJ289" s="45">
        <f>IFERROR(IF($A289="","",$W289-$AH289-$AD289+$AG289),"")</f>
        <v/>
      </c>
      <c r="AK289" s="47">
        <f>IFERROR(IF($A289="","",IF(OR($S289="Collected",$S289="Waived",$S289="Uncollectible",$S289="No Charge Due"),"",IF($T289="",$B289+'Assumptions'!$B$9,$T289+'Assumptions'!$B$9))),"")</f>
        <v/>
      </c>
      <c r="AL289" s="48">
        <f>IFERROR(IF($A289="","",IF(OR($S289="Collected",$S289="Waived",$S289="Uncollectible",$S289="No Charge Due"),"Closed",IF($AK289&lt;TODAY(),"Overdue",IF($AK289=TODAY(),"Due","Open")))),"")</f>
        <v/>
      </c>
      <c r="AM289" s="49">
        <f>IFERROR(IF($A289="","",IF(COUNTIF($A$5:$A$504,$A289)&gt;1,"Duplicate reservation ID",IF($C289&lt;=$B289,"Check stay dates",IF($G289&gt;$F289,"Resold nights exceed booked nights",IF($M289+$N289&gt;$AA289+0.01,"Collection exceeds expected amount",IF(AND($S289="Collected",$M289=0),"Collected status has no amount",IF($AJ289&gt;='Assumptions'!$B$10,"High-cost review","OK"))))))),"")</f>
        <v/>
      </c>
    </row>
    <row r="290">
      <c r="A290" s="38" t="n"/>
      <c r="B290" s="39" t="n"/>
      <c r="C290" s="39" t="n"/>
      <c r="D290" s="38" t="n"/>
      <c r="E290" s="38" t="n"/>
      <c r="F290" s="40" t="n"/>
      <c r="G290" s="40" t="n"/>
      <c r="H290" s="41" t="n"/>
      <c r="I290" s="41" t="n"/>
      <c r="J290" s="42" t="n"/>
      <c r="K290" s="42" t="n"/>
      <c r="L290" s="42" t="n"/>
      <c r="M290" s="41" t="n"/>
      <c r="N290" s="41" t="n"/>
      <c r="O290" s="41" t="n"/>
      <c r="P290" s="41" t="n"/>
      <c r="Q290" s="40" t="n"/>
      <c r="R290" s="38" t="n"/>
      <c r="S290" s="38" t="n"/>
      <c r="T290" s="39" t="n"/>
      <c r="U290" s="43" t="n"/>
      <c r="V290" s="44">
        <f>IFERROR(IF($A290="","",MAX($F290-$G290,0)),"")</f>
        <v/>
      </c>
      <c r="W290" s="45">
        <f>IFERROR(IF($A290="","",$H290+$I290),"")</f>
        <v/>
      </c>
      <c r="X290" s="45">
        <f>IFERROR(IF($A290="","",$H290*IF($J290="",'Assumptions'!$B$4,$J290)),"")</f>
        <v/>
      </c>
      <c r="Y290" s="45">
        <f>IFERROR(IF($A290="","",$X290*IF($K290="",'Assumptions'!$B$12,$K290)),"")</f>
        <v/>
      </c>
      <c r="Z290" s="45">
        <f>IFERROR(IF($A290="","",($X290+$Y290)*IF($L290="",'Assumptions'!$B$13,$L290)),"")</f>
        <v/>
      </c>
      <c r="AA290" s="45">
        <f>IFERROR(IF($A290="","",$X290+$Y290+$Z290),"")</f>
        <v/>
      </c>
      <c r="AB290" s="45">
        <f>IFERROR(IF($A290="","",$V290*'Assumptions'!$B$5),"")</f>
        <v/>
      </c>
      <c r="AC290" s="45">
        <f>IFERROR(IF($A290="","",$I290*'Assumptions'!$B$6),"")</f>
        <v/>
      </c>
      <c r="AD290" s="45">
        <f>IFERROR(IF($A290="","",$AB290+$AC290),"")</f>
        <v/>
      </c>
      <c r="AE290" s="45">
        <f>IFERROR(IF($A290="","",($M290+$N290)*'Assumptions'!$B$7),"")</f>
        <v/>
      </c>
      <c r="AF290" s="45">
        <f>IFERROR(IF($A290="","",($Q290/60)*'Assumptions'!$B$8),"")</f>
        <v/>
      </c>
      <c r="AG290" s="45">
        <f>IFERROR(IF($A290="","",$P290+$AE290+$AF290),"")</f>
        <v/>
      </c>
      <c r="AH290" s="45">
        <f>IFERROR(IF($A290="","",$M290+$O290),"")</f>
        <v/>
      </c>
      <c r="AI290" s="46">
        <f>IFERROR(IF($A290="","",IFERROR($AH290/$W290,0)),"")</f>
        <v/>
      </c>
      <c r="AJ290" s="45">
        <f>IFERROR(IF($A290="","",$W290-$AH290-$AD290+$AG290),"")</f>
        <v/>
      </c>
      <c r="AK290" s="47">
        <f>IFERROR(IF($A290="","",IF(OR($S290="Collected",$S290="Waived",$S290="Uncollectible",$S290="No Charge Due"),"",IF($T290="",$B290+'Assumptions'!$B$9,$T290+'Assumptions'!$B$9))),"")</f>
        <v/>
      </c>
      <c r="AL290" s="48">
        <f>IFERROR(IF($A290="","",IF(OR($S290="Collected",$S290="Waived",$S290="Uncollectible",$S290="No Charge Due"),"Closed",IF($AK290&lt;TODAY(),"Overdue",IF($AK290=TODAY(),"Due","Open")))),"")</f>
        <v/>
      </c>
      <c r="AM290" s="49">
        <f>IFERROR(IF($A290="","",IF(COUNTIF($A$5:$A$504,$A290)&gt;1,"Duplicate reservation ID",IF($C290&lt;=$B290,"Check stay dates",IF($G290&gt;$F290,"Resold nights exceed booked nights",IF($M290+$N290&gt;$AA290+0.01,"Collection exceeds expected amount",IF(AND($S290="Collected",$M290=0),"Collected status has no amount",IF($AJ290&gt;='Assumptions'!$B$10,"High-cost review","OK"))))))),"")</f>
        <v/>
      </c>
    </row>
    <row r="291">
      <c r="A291" s="38" t="n"/>
      <c r="B291" s="39" t="n"/>
      <c r="C291" s="39" t="n"/>
      <c r="D291" s="38" t="n"/>
      <c r="E291" s="38" t="n"/>
      <c r="F291" s="40" t="n"/>
      <c r="G291" s="40" t="n"/>
      <c r="H291" s="41" t="n"/>
      <c r="I291" s="41" t="n"/>
      <c r="J291" s="42" t="n"/>
      <c r="K291" s="42" t="n"/>
      <c r="L291" s="42" t="n"/>
      <c r="M291" s="41" t="n"/>
      <c r="N291" s="41" t="n"/>
      <c r="O291" s="41" t="n"/>
      <c r="P291" s="41" t="n"/>
      <c r="Q291" s="40" t="n"/>
      <c r="R291" s="38" t="n"/>
      <c r="S291" s="38" t="n"/>
      <c r="T291" s="39" t="n"/>
      <c r="U291" s="43" t="n"/>
      <c r="V291" s="44">
        <f>IFERROR(IF($A291="","",MAX($F291-$G291,0)),"")</f>
        <v/>
      </c>
      <c r="W291" s="45">
        <f>IFERROR(IF($A291="","",$H291+$I291),"")</f>
        <v/>
      </c>
      <c r="X291" s="45">
        <f>IFERROR(IF($A291="","",$H291*IF($J291="",'Assumptions'!$B$4,$J291)),"")</f>
        <v/>
      </c>
      <c r="Y291" s="45">
        <f>IFERROR(IF($A291="","",$X291*IF($K291="",'Assumptions'!$B$12,$K291)),"")</f>
        <v/>
      </c>
      <c r="Z291" s="45">
        <f>IFERROR(IF($A291="","",($X291+$Y291)*IF($L291="",'Assumptions'!$B$13,$L291)),"")</f>
        <v/>
      </c>
      <c r="AA291" s="45">
        <f>IFERROR(IF($A291="","",$X291+$Y291+$Z291),"")</f>
        <v/>
      </c>
      <c r="AB291" s="45">
        <f>IFERROR(IF($A291="","",$V291*'Assumptions'!$B$5),"")</f>
        <v/>
      </c>
      <c r="AC291" s="45">
        <f>IFERROR(IF($A291="","",$I291*'Assumptions'!$B$6),"")</f>
        <v/>
      </c>
      <c r="AD291" s="45">
        <f>IFERROR(IF($A291="","",$AB291+$AC291),"")</f>
        <v/>
      </c>
      <c r="AE291" s="45">
        <f>IFERROR(IF($A291="","",($M291+$N291)*'Assumptions'!$B$7),"")</f>
        <v/>
      </c>
      <c r="AF291" s="45">
        <f>IFERROR(IF($A291="","",($Q291/60)*'Assumptions'!$B$8),"")</f>
        <v/>
      </c>
      <c r="AG291" s="45">
        <f>IFERROR(IF($A291="","",$P291+$AE291+$AF291),"")</f>
        <v/>
      </c>
      <c r="AH291" s="45">
        <f>IFERROR(IF($A291="","",$M291+$O291),"")</f>
        <v/>
      </c>
      <c r="AI291" s="46">
        <f>IFERROR(IF($A291="","",IFERROR($AH291/$W291,0)),"")</f>
        <v/>
      </c>
      <c r="AJ291" s="45">
        <f>IFERROR(IF($A291="","",$W291-$AH291-$AD291+$AG291),"")</f>
        <v/>
      </c>
      <c r="AK291" s="47">
        <f>IFERROR(IF($A291="","",IF(OR($S291="Collected",$S291="Waived",$S291="Uncollectible",$S291="No Charge Due"),"",IF($T291="",$B291+'Assumptions'!$B$9,$T291+'Assumptions'!$B$9))),"")</f>
        <v/>
      </c>
      <c r="AL291" s="48">
        <f>IFERROR(IF($A291="","",IF(OR($S291="Collected",$S291="Waived",$S291="Uncollectible",$S291="No Charge Due"),"Closed",IF($AK291&lt;TODAY(),"Overdue",IF($AK291=TODAY(),"Due","Open")))),"")</f>
        <v/>
      </c>
      <c r="AM291" s="49">
        <f>IFERROR(IF($A291="","",IF(COUNTIF($A$5:$A$504,$A291)&gt;1,"Duplicate reservation ID",IF($C291&lt;=$B291,"Check stay dates",IF($G291&gt;$F291,"Resold nights exceed booked nights",IF($M291+$N291&gt;$AA291+0.01,"Collection exceeds expected amount",IF(AND($S291="Collected",$M291=0),"Collected status has no amount",IF($AJ291&gt;='Assumptions'!$B$10,"High-cost review","OK"))))))),"")</f>
        <v/>
      </c>
    </row>
    <row r="292">
      <c r="A292" s="38" t="n"/>
      <c r="B292" s="39" t="n"/>
      <c r="C292" s="39" t="n"/>
      <c r="D292" s="38" t="n"/>
      <c r="E292" s="38" t="n"/>
      <c r="F292" s="40" t="n"/>
      <c r="G292" s="40" t="n"/>
      <c r="H292" s="41" t="n"/>
      <c r="I292" s="41" t="n"/>
      <c r="J292" s="42" t="n"/>
      <c r="K292" s="42" t="n"/>
      <c r="L292" s="42" t="n"/>
      <c r="M292" s="41" t="n"/>
      <c r="N292" s="41" t="n"/>
      <c r="O292" s="41" t="n"/>
      <c r="P292" s="41" t="n"/>
      <c r="Q292" s="40" t="n"/>
      <c r="R292" s="38" t="n"/>
      <c r="S292" s="38" t="n"/>
      <c r="T292" s="39" t="n"/>
      <c r="U292" s="43" t="n"/>
      <c r="V292" s="44">
        <f>IFERROR(IF($A292="","",MAX($F292-$G292,0)),"")</f>
        <v/>
      </c>
      <c r="W292" s="45">
        <f>IFERROR(IF($A292="","",$H292+$I292),"")</f>
        <v/>
      </c>
      <c r="X292" s="45">
        <f>IFERROR(IF($A292="","",$H292*IF($J292="",'Assumptions'!$B$4,$J292)),"")</f>
        <v/>
      </c>
      <c r="Y292" s="45">
        <f>IFERROR(IF($A292="","",$X292*IF($K292="",'Assumptions'!$B$12,$K292)),"")</f>
        <v/>
      </c>
      <c r="Z292" s="45">
        <f>IFERROR(IF($A292="","",($X292+$Y292)*IF($L292="",'Assumptions'!$B$13,$L292)),"")</f>
        <v/>
      </c>
      <c r="AA292" s="45">
        <f>IFERROR(IF($A292="","",$X292+$Y292+$Z292),"")</f>
        <v/>
      </c>
      <c r="AB292" s="45">
        <f>IFERROR(IF($A292="","",$V292*'Assumptions'!$B$5),"")</f>
        <v/>
      </c>
      <c r="AC292" s="45">
        <f>IFERROR(IF($A292="","",$I292*'Assumptions'!$B$6),"")</f>
        <v/>
      </c>
      <c r="AD292" s="45">
        <f>IFERROR(IF($A292="","",$AB292+$AC292),"")</f>
        <v/>
      </c>
      <c r="AE292" s="45">
        <f>IFERROR(IF($A292="","",($M292+$N292)*'Assumptions'!$B$7),"")</f>
        <v/>
      </c>
      <c r="AF292" s="45">
        <f>IFERROR(IF($A292="","",($Q292/60)*'Assumptions'!$B$8),"")</f>
        <v/>
      </c>
      <c r="AG292" s="45">
        <f>IFERROR(IF($A292="","",$P292+$AE292+$AF292),"")</f>
        <v/>
      </c>
      <c r="AH292" s="45">
        <f>IFERROR(IF($A292="","",$M292+$O292),"")</f>
        <v/>
      </c>
      <c r="AI292" s="46">
        <f>IFERROR(IF($A292="","",IFERROR($AH292/$W292,0)),"")</f>
        <v/>
      </c>
      <c r="AJ292" s="45">
        <f>IFERROR(IF($A292="","",$W292-$AH292-$AD292+$AG292),"")</f>
        <v/>
      </c>
      <c r="AK292" s="47">
        <f>IFERROR(IF($A292="","",IF(OR($S292="Collected",$S292="Waived",$S292="Uncollectible",$S292="No Charge Due"),"",IF($T292="",$B292+'Assumptions'!$B$9,$T292+'Assumptions'!$B$9))),"")</f>
        <v/>
      </c>
      <c r="AL292" s="48">
        <f>IFERROR(IF($A292="","",IF(OR($S292="Collected",$S292="Waived",$S292="Uncollectible",$S292="No Charge Due"),"Closed",IF($AK292&lt;TODAY(),"Overdue",IF($AK292=TODAY(),"Due","Open")))),"")</f>
        <v/>
      </c>
      <c r="AM292" s="49">
        <f>IFERROR(IF($A292="","",IF(COUNTIF($A$5:$A$504,$A292)&gt;1,"Duplicate reservation ID",IF($C292&lt;=$B292,"Check stay dates",IF($G292&gt;$F292,"Resold nights exceed booked nights",IF($M292+$N292&gt;$AA292+0.01,"Collection exceeds expected amount",IF(AND($S292="Collected",$M292=0),"Collected status has no amount",IF($AJ292&gt;='Assumptions'!$B$10,"High-cost review","OK"))))))),"")</f>
        <v/>
      </c>
    </row>
    <row r="293">
      <c r="A293" s="38" t="n"/>
      <c r="B293" s="39" t="n"/>
      <c r="C293" s="39" t="n"/>
      <c r="D293" s="38" t="n"/>
      <c r="E293" s="38" t="n"/>
      <c r="F293" s="40" t="n"/>
      <c r="G293" s="40" t="n"/>
      <c r="H293" s="41" t="n"/>
      <c r="I293" s="41" t="n"/>
      <c r="J293" s="42" t="n"/>
      <c r="K293" s="42" t="n"/>
      <c r="L293" s="42" t="n"/>
      <c r="M293" s="41" t="n"/>
      <c r="N293" s="41" t="n"/>
      <c r="O293" s="41" t="n"/>
      <c r="P293" s="41" t="n"/>
      <c r="Q293" s="40" t="n"/>
      <c r="R293" s="38" t="n"/>
      <c r="S293" s="38" t="n"/>
      <c r="T293" s="39" t="n"/>
      <c r="U293" s="43" t="n"/>
      <c r="V293" s="44">
        <f>IFERROR(IF($A293="","",MAX($F293-$G293,0)),"")</f>
        <v/>
      </c>
      <c r="W293" s="45">
        <f>IFERROR(IF($A293="","",$H293+$I293),"")</f>
        <v/>
      </c>
      <c r="X293" s="45">
        <f>IFERROR(IF($A293="","",$H293*IF($J293="",'Assumptions'!$B$4,$J293)),"")</f>
        <v/>
      </c>
      <c r="Y293" s="45">
        <f>IFERROR(IF($A293="","",$X293*IF($K293="",'Assumptions'!$B$12,$K293)),"")</f>
        <v/>
      </c>
      <c r="Z293" s="45">
        <f>IFERROR(IF($A293="","",($X293+$Y293)*IF($L293="",'Assumptions'!$B$13,$L293)),"")</f>
        <v/>
      </c>
      <c r="AA293" s="45">
        <f>IFERROR(IF($A293="","",$X293+$Y293+$Z293),"")</f>
        <v/>
      </c>
      <c r="AB293" s="45">
        <f>IFERROR(IF($A293="","",$V293*'Assumptions'!$B$5),"")</f>
        <v/>
      </c>
      <c r="AC293" s="45">
        <f>IFERROR(IF($A293="","",$I293*'Assumptions'!$B$6),"")</f>
        <v/>
      </c>
      <c r="AD293" s="45">
        <f>IFERROR(IF($A293="","",$AB293+$AC293),"")</f>
        <v/>
      </c>
      <c r="AE293" s="45">
        <f>IFERROR(IF($A293="","",($M293+$N293)*'Assumptions'!$B$7),"")</f>
        <v/>
      </c>
      <c r="AF293" s="45">
        <f>IFERROR(IF($A293="","",($Q293/60)*'Assumptions'!$B$8),"")</f>
        <v/>
      </c>
      <c r="AG293" s="45">
        <f>IFERROR(IF($A293="","",$P293+$AE293+$AF293),"")</f>
        <v/>
      </c>
      <c r="AH293" s="45">
        <f>IFERROR(IF($A293="","",$M293+$O293),"")</f>
        <v/>
      </c>
      <c r="AI293" s="46">
        <f>IFERROR(IF($A293="","",IFERROR($AH293/$W293,0)),"")</f>
        <v/>
      </c>
      <c r="AJ293" s="45">
        <f>IFERROR(IF($A293="","",$W293-$AH293-$AD293+$AG293),"")</f>
        <v/>
      </c>
      <c r="AK293" s="47">
        <f>IFERROR(IF($A293="","",IF(OR($S293="Collected",$S293="Waived",$S293="Uncollectible",$S293="No Charge Due"),"",IF($T293="",$B293+'Assumptions'!$B$9,$T293+'Assumptions'!$B$9))),"")</f>
        <v/>
      </c>
      <c r="AL293" s="48">
        <f>IFERROR(IF($A293="","",IF(OR($S293="Collected",$S293="Waived",$S293="Uncollectible",$S293="No Charge Due"),"Closed",IF($AK293&lt;TODAY(),"Overdue",IF($AK293=TODAY(),"Due","Open")))),"")</f>
        <v/>
      </c>
      <c r="AM293" s="49">
        <f>IFERROR(IF($A293="","",IF(COUNTIF($A$5:$A$504,$A293)&gt;1,"Duplicate reservation ID",IF($C293&lt;=$B293,"Check stay dates",IF($G293&gt;$F293,"Resold nights exceed booked nights",IF($M293+$N293&gt;$AA293+0.01,"Collection exceeds expected amount",IF(AND($S293="Collected",$M293=0),"Collected status has no amount",IF($AJ293&gt;='Assumptions'!$B$10,"High-cost review","OK"))))))),"")</f>
        <v/>
      </c>
    </row>
    <row r="294">
      <c r="A294" s="38" t="n"/>
      <c r="B294" s="39" t="n"/>
      <c r="C294" s="39" t="n"/>
      <c r="D294" s="38" t="n"/>
      <c r="E294" s="38" t="n"/>
      <c r="F294" s="40" t="n"/>
      <c r="G294" s="40" t="n"/>
      <c r="H294" s="41" t="n"/>
      <c r="I294" s="41" t="n"/>
      <c r="J294" s="42" t="n"/>
      <c r="K294" s="42" t="n"/>
      <c r="L294" s="42" t="n"/>
      <c r="M294" s="41" t="n"/>
      <c r="N294" s="41" t="n"/>
      <c r="O294" s="41" t="n"/>
      <c r="P294" s="41" t="n"/>
      <c r="Q294" s="40" t="n"/>
      <c r="R294" s="38" t="n"/>
      <c r="S294" s="38" t="n"/>
      <c r="T294" s="39" t="n"/>
      <c r="U294" s="43" t="n"/>
      <c r="V294" s="44">
        <f>IFERROR(IF($A294="","",MAX($F294-$G294,0)),"")</f>
        <v/>
      </c>
      <c r="W294" s="45">
        <f>IFERROR(IF($A294="","",$H294+$I294),"")</f>
        <v/>
      </c>
      <c r="X294" s="45">
        <f>IFERROR(IF($A294="","",$H294*IF($J294="",'Assumptions'!$B$4,$J294)),"")</f>
        <v/>
      </c>
      <c r="Y294" s="45">
        <f>IFERROR(IF($A294="","",$X294*IF($K294="",'Assumptions'!$B$12,$K294)),"")</f>
        <v/>
      </c>
      <c r="Z294" s="45">
        <f>IFERROR(IF($A294="","",($X294+$Y294)*IF($L294="",'Assumptions'!$B$13,$L294)),"")</f>
        <v/>
      </c>
      <c r="AA294" s="45">
        <f>IFERROR(IF($A294="","",$X294+$Y294+$Z294),"")</f>
        <v/>
      </c>
      <c r="AB294" s="45">
        <f>IFERROR(IF($A294="","",$V294*'Assumptions'!$B$5),"")</f>
        <v/>
      </c>
      <c r="AC294" s="45">
        <f>IFERROR(IF($A294="","",$I294*'Assumptions'!$B$6),"")</f>
        <v/>
      </c>
      <c r="AD294" s="45">
        <f>IFERROR(IF($A294="","",$AB294+$AC294),"")</f>
        <v/>
      </c>
      <c r="AE294" s="45">
        <f>IFERROR(IF($A294="","",($M294+$N294)*'Assumptions'!$B$7),"")</f>
        <v/>
      </c>
      <c r="AF294" s="45">
        <f>IFERROR(IF($A294="","",($Q294/60)*'Assumptions'!$B$8),"")</f>
        <v/>
      </c>
      <c r="AG294" s="45">
        <f>IFERROR(IF($A294="","",$P294+$AE294+$AF294),"")</f>
        <v/>
      </c>
      <c r="AH294" s="45">
        <f>IFERROR(IF($A294="","",$M294+$O294),"")</f>
        <v/>
      </c>
      <c r="AI294" s="46">
        <f>IFERROR(IF($A294="","",IFERROR($AH294/$W294,0)),"")</f>
        <v/>
      </c>
      <c r="AJ294" s="45">
        <f>IFERROR(IF($A294="","",$W294-$AH294-$AD294+$AG294),"")</f>
        <v/>
      </c>
      <c r="AK294" s="47">
        <f>IFERROR(IF($A294="","",IF(OR($S294="Collected",$S294="Waived",$S294="Uncollectible",$S294="No Charge Due"),"",IF($T294="",$B294+'Assumptions'!$B$9,$T294+'Assumptions'!$B$9))),"")</f>
        <v/>
      </c>
      <c r="AL294" s="48">
        <f>IFERROR(IF($A294="","",IF(OR($S294="Collected",$S294="Waived",$S294="Uncollectible",$S294="No Charge Due"),"Closed",IF($AK294&lt;TODAY(),"Overdue",IF($AK294=TODAY(),"Due","Open")))),"")</f>
        <v/>
      </c>
      <c r="AM294" s="49">
        <f>IFERROR(IF($A294="","",IF(COUNTIF($A$5:$A$504,$A294)&gt;1,"Duplicate reservation ID",IF($C294&lt;=$B294,"Check stay dates",IF($G294&gt;$F294,"Resold nights exceed booked nights",IF($M294+$N294&gt;$AA294+0.01,"Collection exceeds expected amount",IF(AND($S294="Collected",$M294=0),"Collected status has no amount",IF($AJ294&gt;='Assumptions'!$B$10,"High-cost review","OK"))))))),"")</f>
        <v/>
      </c>
    </row>
    <row r="295">
      <c r="A295" s="38" t="n"/>
      <c r="B295" s="39" t="n"/>
      <c r="C295" s="39" t="n"/>
      <c r="D295" s="38" t="n"/>
      <c r="E295" s="38" t="n"/>
      <c r="F295" s="40" t="n"/>
      <c r="G295" s="40" t="n"/>
      <c r="H295" s="41" t="n"/>
      <c r="I295" s="41" t="n"/>
      <c r="J295" s="42" t="n"/>
      <c r="K295" s="42" t="n"/>
      <c r="L295" s="42" t="n"/>
      <c r="M295" s="41" t="n"/>
      <c r="N295" s="41" t="n"/>
      <c r="O295" s="41" t="n"/>
      <c r="P295" s="41" t="n"/>
      <c r="Q295" s="40" t="n"/>
      <c r="R295" s="38" t="n"/>
      <c r="S295" s="38" t="n"/>
      <c r="T295" s="39" t="n"/>
      <c r="U295" s="43" t="n"/>
      <c r="V295" s="44">
        <f>IFERROR(IF($A295="","",MAX($F295-$G295,0)),"")</f>
        <v/>
      </c>
      <c r="W295" s="45">
        <f>IFERROR(IF($A295="","",$H295+$I295),"")</f>
        <v/>
      </c>
      <c r="X295" s="45">
        <f>IFERROR(IF($A295="","",$H295*IF($J295="",'Assumptions'!$B$4,$J295)),"")</f>
        <v/>
      </c>
      <c r="Y295" s="45">
        <f>IFERROR(IF($A295="","",$X295*IF($K295="",'Assumptions'!$B$12,$K295)),"")</f>
        <v/>
      </c>
      <c r="Z295" s="45">
        <f>IFERROR(IF($A295="","",($X295+$Y295)*IF($L295="",'Assumptions'!$B$13,$L295)),"")</f>
        <v/>
      </c>
      <c r="AA295" s="45">
        <f>IFERROR(IF($A295="","",$X295+$Y295+$Z295),"")</f>
        <v/>
      </c>
      <c r="AB295" s="45">
        <f>IFERROR(IF($A295="","",$V295*'Assumptions'!$B$5),"")</f>
        <v/>
      </c>
      <c r="AC295" s="45">
        <f>IFERROR(IF($A295="","",$I295*'Assumptions'!$B$6),"")</f>
        <v/>
      </c>
      <c r="AD295" s="45">
        <f>IFERROR(IF($A295="","",$AB295+$AC295),"")</f>
        <v/>
      </c>
      <c r="AE295" s="45">
        <f>IFERROR(IF($A295="","",($M295+$N295)*'Assumptions'!$B$7),"")</f>
        <v/>
      </c>
      <c r="AF295" s="45">
        <f>IFERROR(IF($A295="","",($Q295/60)*'Assumptions'!$B$8),"")</f>
        <v/>
      </c>
      <c r="AG295" s="45">
        <f>IFERROR(IF($A295="","",$P295+$AE295+$AF295),"")</f>
        <v/>
      </c>
      <c r="AH295" s="45">
        <f>IFERROR(IF($A295="","",$M295+$O295),"")</f>
        <v/>
      </c>
      <c r="AI295" s="46">
        <f>IFERROR(IF($A295="","",IFERROR($AH295/$W295,0)),"")</f>
        <v/>
      </c>
      <c r="AJ295" s="45">
        <f>IFERROR(IF($A295="","",$W295-$AH295-$AD295+$AG295),"")</f>
        <v/>
      </c>
      <c r="AK295" s="47">
        <f>IFERROR(IF($A295="","",IF(OR($S295="Collected",$S295="Waived",$S295="Uncollectible",$S295="No Charge Due"),"",IF($T295="",$B295+'Assumptions'!$B$9,$T295+'Assumptions'!$B$9))),"")</f>
        <v/>
      </c>
      <c r="AL295" s="48">
        <f>IFERROR(IF($A295="","",IF(OR($S295="Collected",$S295="Waived",$S295="Uncollectible",$S295="No Charge Due"),"Closed",IF($AK295&lt;TODAY(),"Overdue",IF($AK295=TODAY(),"Due","Open")))),"")</f>
        <v/>
      </c>
      <c r="AM295" s="49">
        <f>IFERROR(IF($A295="","",IF(COUNTIF($A$5:$A$504,$A295)&gt;1,"Duplicate reservation ID",IF($C295&lt;=$B295,"Check stay dates",IF($G295&gt;$F295,"Resold nights exceed booked nights",IF($M295+$N295&gt;$AA295+0.01,"Collection exceeds expected amount",IF(AND($S295="Collected",$M295=0),"Collected status has no amount",IF($AJ295&gt;='Assumptions'!$B$10,"High-cost review","OK"))))))),"")</f>
        <v/>
      </c>
    </row>
    <row r="296">
      <c r="A296" s="38" t="n"/>
      <c r="B296" s="39" t="n"/>
      <c r="C296" s="39" t="n"/>
      <c r="D296" s="38" t="n"/>
      <c r="E296" s="38" t="n"/>
      <c r="F296" s="40" t="n"/>
      <c r="G296" s="40" t="n"/>
      <c r="H296" s="41" t="n"/>
      <c r="I296" s="41" t="n"/>
      <c r="J296" s="42" t="n"/>
      <c r="K296" s="42" t="n"/>
      <c r="L296" s="42" t="n"/>
      <c r="M296" s="41" t="n"/>
      <c r="N296" s="41" t="n"/>
      <c r="O296" s="41" t="n"/>
      <c r="P296" s="41" t="n"/>
      <c r="Q296" s="40" t="n"/>
      <c r="R296" s="38" t="n"/>
      <c r="S296" s="38" t="n"/>
      <c r="T296" s="39" t="n"/>
      <c r="U296" s="43" t="n"/>
      <c r="V296" s="44">
        <f>IFERROR(IF($A296="","",MAX($F296-$G296,0)),"")</f>
        <v/>
      </c>
      <c r="W296" s="45">
        <f>IFERROR(IF($A296="","",$H296+$I296),"")</f>
        <v/>
      </c>
      <c r="X296" s="45">
        <f>IFERROR(IF($A296="","",$H296*IF($J296="",'Assumptions'!$B$4,$J296)),"")</f>
        <v/>
      </c>
      <c r="Y296" s="45">
        <f>IFERROR(IF($A296="","",$X296*IF($K296="",'Assumptions'!$B$12,$K296)),"")</f>
        <v/>
      </c>
      <c r="Z296" s="45">
        <f>IFERROR(IF($A296="","",($X296+$Y296)*IF($L296="",'Assumptions'!$B$13,$L296)),"")</f>
        <v/>
      </c>
      <c r="AA296" s="45">
        <f>IFERROR(IF($A296="","",$X296+$Y296+$Z296),"")</f>
        <v/>
      </c>
      <c r="AB296" s="45">
        <f>IFERROR(IF($A296="","",$V296*'Assumptions'!$B$5),"")</f>
        <v/>
      </c>
      <c r="AC296" s="45">
        <f>IFERROR(IF($A296="","",$I296*'Assumptions'!$B$6),"")</f>
        <v/>
      </c>
      <c r="AD296" s="45">
        <f>IFERROR(IF($A296="","",$AB296+$AC296),"")</f>
        <v/>
      </c>
      <c r="AE296" s="45">
        <f>IFERROR(IF($A296="","",($M296+$N296)*'Assumptions'!$B$7),"")</f>
        <v/>
      </c>
      <c r="AF296" s="45">
        <f>IFERROR(IF($A296="","",($Q296/60)*'Assumptions'!$B$8),"")</f>
        <v/>
      </c>
      <c r="AG296" s="45">
        <f>IFERROR(IF($A296="","",$P296+$AE296+$AF296),"")</f>
        <v/>
      </c>
      <c r="AH296" s="45">
        <f>IFERROR(IF($A296="","",$M296+$O296),"")</f>
        <v/>
      </c>
      <c r="AI296" s="46">
        <f>IFERROR(IF($A296="","",IFERROR($AH296/$W296,0)),"")</f>
        <v/>
      </c>
      <c r="AJ296" s="45">
        <f>IFERROR(IF($A296="","",$W296-$AH296-$AD296+$AG296),"")</f>
        <v/>
      </c>
      <c r="AK296" s="47">
        <f>IFERROR(IF($A296="","",IF(OR($S296="Collected",$S296="Waived",$S296="Uncollectible",$S296="No Charge Due"),"",IF($T296="",$B296+'Assumptions'!$B$9,$T296+'Assumptions'!$B$9))),"")</f>
        <v/>
      </c>
      <c r="AL296" s="48">
        <f>IFERROR(IF($A296="","",IF(OR($S296="Collected",$S296="Waived",$S296="Uncollectible",$S296="No Charge Due"),"Closed",IF($AK296&lt;TODAY(),"Overdue",IF($AK296=TODAY(),"Due","Open")))),"")</f>
        <v/>
      </c>
      <c r="AM296" s="49">
        <f>IFERROR(IF($A296="","",IF(COUNTIF($A$5:$A$504,$A296)&gt;1,"Duplicate reservation ID",IF($C296&lt;=$B296,"Check stay dates",IF($G296&gt;$F296,"Resold nights exceed booked nights",IF($M296+$N296&gt;$AA296+0.01,"Collection exceeds expected amount",IF(AND($S296="Collected",$M296=0),"Collected status has no amount",IF($AJ296&gt;='Assumptions'!$B$10,"High-cost review","OK"))))))),"")</f>
        <v/>
      </c>
    </row>
    <row r="297">
      <c r="A297" s="38" t="n"/>
      <c r="B297" s="39" t="n"/>
      <c r="C297" s="39" t="n"/>
      <c r="D297" s="38" t="n"/>
      <c r="E297" s="38" t="n"/>
      <c r="F297" s="40" t="n"/>
      <c r="G297" s="40" t="n"/>
      <c r="H297" s="41" t="n"/>
      <c r="I297" s="41" t="n"/>
      <c r="J297" s="42" t="n"/>
      <c r="K297" s="42" t="n"/>
      <c r="L297" s="42" t="n"/>
      <c r="M297" s="41" t="n"/>
      <c r="N297" s="41" t="n"/>
      <c r="O297" s="41" t="n"/>
      <c r="P297" s="41" t="n"/>
      <c r="Q297" s="40" t="n"/>
      <c r="R297" s="38" t="n"/>
      <c r="S297" s="38" t="n"/>
      <c r="T297" s="39" t="n"/>
      <c r="U297" s="43" t="n"/>
      <c r="V297" s="44">
        <f>IFERROR(IF($A297="","",MAX($F297-$G297,0)),"")</f>
        <v/>
      </c>
      <c r="W297" s="45">
        <f>IFERROR(IF($A297="","",$H297+$I297),"")</f>
        <v/>
      </c>
      <c r="X297" s="45">
        <f>IFERROR(IF($A297="","",$H297*IF($J297="",'Assumptions'!$B$4,$J297)),"")</f>
        <v/>
      </c>
      <c r="Y297" s="45">
        <f>IFERROR(IF($A297="","",$X297*IF($K297="",'Assumptions'!$B$12,$K297)),"")</f>
        <v/>
      </c>
      <c r="Z297" s="45">
        <f>IFERROR(IF($A297="","",($X297+$Y297)*IF($L297="",'Assumptions'!$B$13,$L297)),"")</f>
        <v/>
      </c>
      <c r="AA297" s="45">
        <f>IFERROR(IF($A297="","",$X297+$Y297+$Z297),"")</f>
        <v/>
      </c>
      <c r="AB297" s="45">
        <f>IFERROR(IF($A297="","",$V297*'Assumptions'!$B$5),"")</f>
        <v/>
      </c>
      <c r="AC297" s="45">
        <f>IFERROR(IF($A297="","",$I297*'Assumptions'!$B$6),"")</f>
        <v/>
      </c>
      <c r="AD297" s="45">
        <f>IFERROR(IF($A297="","",$AB297+$AC297),"")</f>
        <v/>
      </c>
      <c r="AE297" s="45">
        <f>IFERROR(IF($A297="","",($M297+$N297)*'Assumptions'!$B$7),"")</f>
        <v/>
      </c>
      <c r="AF297" s="45">
        <f>IFERROR(IF($A297="","",($Q297/60)*'Assumptions'!$B$8),"")</f>
        <v/>
      </c>
      <c r="AG297" s="45">
        <f>IFERROR(IF($A297="","",$P297+$AE297+$AF297),"")</f>
        <v/>
      </c>
      <c r="AH297" s="45">
        <f>IFERROR(IF($A297="","",$M297+$O297),"")</f>
        <v/>
      </c>
      <c r="AI297" s="46">
        <f>IFERROR(IF($A297="","",IFERROR($AH297/$W297,0)),"")</f>
        <v/>
      </c>
      <c r="AJ297" s="45">
        <f>IFERROR(IF($A297="","",$W297-$AH297-$AD297+$AG297),"")</f>
        <v/>
      </c>
      <c r="AK297" s="47">
        <f>IFERROR(IF($A297="","",IF(OR($S297="Collected",$S297="Waived",$S297="Uncollectible",$S297="No Charge Due"),"",IF($T297="",$B297+'Assumptions'!$B$9,$T297+'Assumptions'!$B$9))),"")</f>
        <v/>
      </c>
      <c r="AL297" s="48">
        <f>IFERROR(IF($A297="","",IF(OR($S297="Collected",$S297="Waived",$S297="Uncollectible",$S297="No Charge Due"),"Closed",IF($AK297&lt;TODAY(),"Overdue",IF($AK297=TODAY(),"Due","Open")))),"")</f>
        <v/>
      </c>
      <c r="AM297" s="49">
        <f>IFERROR(IF($A297="","",IF(COUNTIF($A$5:$A$504,$A297)&gt;1,"Duplicate reservation ID",IF($C297&lt;=$B297,"Check stay dates",IF($G297&gt;$F297,"Resold nights exceed booked nights",IF($M297+$N297&gt;$AA297+0.01,"Collection exceeds expected amount",IF(AND($S297="Collected",$M297=0),"Collected status has no amount",IF($AJ297&gt;='Assumptions'!$B$10,"High-cost review","OK"))))))),"")</f>
        <v/>
      </c>
    </row>
    <row r="298">
      <c r="A298" s="38" t="n"/>
      <c r="B298" s="39" t="n"/>
      <c r="C298" s="39" t="n"/>
      <c r="D298" s="38" t="n"/>
      <c r="E298" s="38" t="n"/>
      <c r="F298" s="40" t="n"/>
      <c r="G298" s="40" t="n"/>
      <c r="H298" s="41" t="n"/>
      <c r="I298" s="41" t="n"/>
      <c r="J298" s="42" t="n"/>
      <c r="K298" s="42" t="n"/>
      <c r="L298" s="42" t="n"/>
      <c r="M298" s="41" t="n"/>
      <c r="N298" s="41" t="n"/>
      <c r="O298" s="41" t="n"/>
      <c r="P298" s="41" t="n"/>
      <c r="Q298" s="40" t="n"/>
      <c r="R298" s="38" t="n"/>
      <c r="S298" s="38" t="n"/>
      <c r="T298" s="39" t="n"/>
      <c r="U298" s="43" t="n"/>
      <c r="V298" s="44">
        <f>IFERROR(IF($A298="","",MAX($F298-$G298,0)),"")</f>
        <v/>
      </c>
      <c r="W298" s="45">
        <f>IFERROR(IF($A298="","",$H298+$I298),"")</f>
        <v/>
      </c>
      <c r="X298" s="45">
        <f>IFERROR(IF($A298="","",$H298*IF($J298="",'Assumptions'!$B$4,$J298)),"")</f>
        <v/>
      </c>
      <c r="Y298" s="45">
        <f>IFERROR(IF($A298="","",$X298*IF($K298="",'Assumptions'!$B$12,$K298)),"")</f>
        <v/>
      </c>
      <c r="Z298" s="45">
        <f>IFERROR(IF($A298="","",($X298+$Y298)*IF($L298="",'Assumptions'!$B$13,$L298)),"")</f>
        <v/>
      </c>
      <c r="AA298" s="45">
        <f>IFERROR(IF($A298="","",$X298+$Y298+$Z298),"")</f>
        <v/>
      </c>
      <c r="AB298" s="45">
        <f>IFERROR(IF($A298="","",$V298*'Assumptions'!$B$5),"")</f>
        <v/>
      </c>
      <c r="AC298" s="45">
        <f>IFERROR(IF($A298="","",$I298*'Assumptions'!$B$6),"")</f>
        <v/>
      </c>
      <c r="AD298" s="45">
        <f>IFERROR(IF($A298="","",$AB298+$AC298),"")</f>
        <v/>
      </c>
      <c r="AE298" s="45">
        <f>IFERROR(IF($A298="","",($M298+$N298)*'Assumptions'!$B$7),"")</f>
        <v/>
      </c>
      <c r="AF298" s="45">
        <f>IFERROR(IF($A298="","",($Q298/60)*'Assumptions'!$B$8),"")</f>
        <v/>
      </c>
      <c r="AG298" s="45">
        <f>IFERROR(IF($A298="","",$P298+$AE298+$AF298),"")</f>
        <v/>
      </c>
      <c r="AH298" s="45">
        <f>IFERROR(IF($A298="","",$M298+$O298),"")</f>
        <v/>
      </c>
      <c r="AI298" s="46">
        <f>IFERROR(IF($A298="","",IFERROR($AH298/$W298,0)),"")</f>
        <v/>
      </c>
      <c r="AJ298" s="45">
        <f>IFERROR(IF($A298="","",$W298-$AH298-$AD298+$AG298),"")</f>
        <v/>
      </c>
      <c r="AK298" s="47">
        <f>IFERROR(IF($A298="","",IF(OR($S298="Collected",$S298="Waived",$S298="Uncollectible",$S298="No Charge Due"),"",IF($T298="",$B298+'Assumptions'!$B$9,$T298+'Assumptions'!$B$9))),"")</f>
        <v/>
      </c>
      <c r="AL298" s="48">
        <f>IFERROR(IF($A298="","",IF(OR($S298="Collected",$S298="Waived",$S298="Uncollectible",$S298="No Charge Due"),"Closed",IF($AK298&lt;TODAY(),"Overdue",IF($AK298=TODAY(),"Due","Open")))),"")</f>
        <v/>
      </c>
      <c r="AM298" s="49">
        <f>IFERROR(IF($A298="","",IF(COUNTIF($A$5:$A$504,$A298)&gt;1,"Duplicate reservation ID",IF($C298&lt;=$B298,"Check stay dates",IF($G298&gt;$F298,"Resold nights exceed booked nights",IF($M298+$N298&gt;$AA298+0.01,"Collection exceeds expected amount",IF(AND($S298="Collected",$M298=0),"Collected status has no amount",IF($AJ298&gt;='Assumptions'!$B$10,"High-cost review","OK"))))))),"")</f>
        <v/>
      </c>
    </row>
    <row r="299">
      <c r="A299" s="38" t="n"/>
      <c r="B299" s="39" t="n"/>
      <c r="C299" s="39" t="n"/>
      <c r="D299" s="38" t="n"/>
      <c r="E299" s="38" t="n"/>
      <c r="F299" s="40" t="n"/>
      <c r="G299" s="40" t="n"/>
      <c r="H299" s="41" t="n"/>
      <c r="I299" s="41" t="n"/>
      <c r="J299" s="42" t="n"/>
      <c r="K299" s="42" t="n"/>
      <c r="L299" s="42" t="n"/>
      <c r="M299" s="41" t="n"/>
      <c r="N299" s="41" t="n"/>
      <c r="O299" s="41" t="n"/>
      <c r="P299" s="41" t="n"/>
      <c r="Q299" s="40" t="n"/>
      <c r="R299" s="38" t="n"/>
      <c r="S299" s="38" t="n"/>
      <c r="T299" s="39" t="n"/>
      <c r="U299" s="43" t="n"/>
      <c r="V299" s="44">
        <f>IFERROR(IF($A299="","",MAX($F299-$G299,0)),"")</f>
        <v/>
      </c>
      <c r="W299" s="45">
        <f>IFERROR(IF($A299="","",$H299+$I299),"")</f>
        <v/>
      </c>
      <c r="X299" s="45">
        <f>IFERROR(IF($A299="","",$H299*IF($J299="",'Assumptions'!$B$4,$J299)),"")</f>
        <v/>
      </c>
      <c r="Y299" s="45">
        <f>IFERROR(IF($A299="","",$X299*IF($K299="",'Assumptions'!$B$12,$K299)),"")</f>
        <v/>
      </c>
      <c r="Z299" s="45">
        <f>IFERROR(IF($A299="","",($X299+$Y299)*IF($L299="",'Assumptions'!$B$13,$L299)),"")</f>
        <v/>
      </c>
      <c r="AA299" s="45">
        <f>IFERROR(IF($A299="","",$X299+$Y299+$Z299),"")</f>
        <v/>
      </c>
      <c r="AB299" s="45">
        <f>IFERROR(IF($A299="","",$V299*'Assumptions'!$B$5),"")</f>
        <v/>
      </c>
      <c r="AC299" s="45">
        <f>IFERROR(IF($A299="","",$I299*'Assumptions'!$B$6),"")</f>
        <v/>
      </c>
      <c r="AD299" s="45">
        <f>IFERROR(IF($A299="","",$AB299+$AC299),"")</f>
        <v/>
      </c>
      <c r="AE299" s="45">
        <f>IFERROR(IF($A299="","",($M299+$N299)*'Assumptions'!$B$7),"")</f>
        <v/>
      </c>
      <c r="AF299" s="45">
        <f>IFERROR(IF($A299="","",($Q299/60)*'Assumptions'!$B$8),"")</f>
        <v/>
      </c>
      <c r="AG299" s="45">
        <f>IFERROR(IF($A299="","",$P299+$AE299+$AF299),"")</f>
        <v/>
      </c>
      <c r="AH299" s="45">
        <f>IFERROR(IF($A299="","",$M299+$O299),"")</f>
        <v/>
      </c>
      <c r="AI299" s="46">
        <f>IFERROR(IF($A299="","",IFERROR($AH299/$W299,0)),"")</f>
        <v/>
      </c>
      <c r="AJ299" s="45">
        <f>IFERROR(IF($A299="","",$W299-$AH299-$AD299+$AG299),"")</f>
        <v/>
      </c>
      <c r="AK299" s="47">
        <f>IFERROR(IF($A299="","",IF(OR($S299="Collected",$S299="Waived",$S299="Uncollectible",$S299="No Charge Due"),"",IF($T299="",$B299+'Assumptions'!$B$9,$T299+'Assumptions'!$B$9))),"")</f>
        <v/>
      </c>
      <c r="AL299" s="48">
        <f>IFERROR(IF($A299="","",IF(OR($S299="Collected",$S299="Waived",$S299="Uncollectible",$S299="No Charge Due"),"Closed",IF($AK299&lt;TODAY(),"Overdue",IF($AK299=TODAY(),"Due","Open")))),"")</f>
        <v/>
      </c>
      <c r="AM299" s="49">
        <f>IFERROR(IF($A299="","",IF(COUNTIF($A$5:$A$504,$A299)&gt;1,"Duplicate reservation ID",IF($C299&lt;=$B299,"Check stay dates",IF($G299&gt;$F299,"Resold nights exceed booked nights",IF($M299+$N299&gt;$AA299+0.01,"Collection exceeds expected amount",IF(AND($S299="Collected",$M299=0),"Collected status has no amount",IF($AJ299&gt;='Assumptions'!$B$10,"High-cost review","OK"))))))),"")</f>
        <v/>
      </c>
    </row>
    <row r="300">
      <c r="A300" s="38" t="n"/>
      <c r="B300" s="39" t="n"/>
      <c r="C300" s="39" t="n"/>
      <c r="D300" s="38" t="n"/>
      <c r="E300" s="38" t="n"/>
      <c r="F300" s="40" t="n"/>
      <c r="G300" s="40" t="n"/>
      <c r="H300" s="41" t="n"/>
      <c r="I300" s="41" t="n"/>
      <c r="J300" s="42" t="n"/>
      <c r="K300" s="42" t="n"/>
      <c r="L300" s="42" t="n"/>
      <c r="M300" s="41" t="n"/>
      <c r="N300" s="41" t="n"/>
      <c r="O300" s="41" t="n"/>
      <c r="P300" s="41" t="n"/>
      <c r="Q300" s="40" t="n"/>
      <c r="R300" s="38" t="n"/>
      <c r="S300" s="38" t="n"/>
      <c r="T300" s="39" t="n"/>
      <c r="U300" s="43" t="n"/>
      <c r="V300" s="44">
        <f>IFERROR(IF($A300="","",MAX($F300-$G300,0)),"")</f>
        <v/>
      </c>
      <c r="W300" s="45">
        <f>IFERROR(IF($A300="","",$H300+$I300),"")</f>
        <v/>
      </c>
      <c r="X300" s="45">
        <f>IFERROR(IF($A300="","",$H300*IF($J300="",'Assumptions'!$B$4,$J300)),"")</f>
        <v/>
      </c>
      <c r="Y300" s="45">
        <f>IFERROR(IF($A300="","",$X300*IF($K300="",'Assumptions'!$B$12,$K300)),"")</f>
        <v/>
      </c>
      <c r="Z300" s="45">
        <f>IFERROR(IF($A300="","",($X300+$Y300)*IF($L300="",'Assumptions'!$B$13,$L300)),"")</f>
        <v/>
      </c>
      <c r="AA300" s="45">
        <f>IFERROR(IF($A300="","",$X300+$Y300+$Z300),"")</f>
        <v/>
      </c>
      <c r="AB300" s="45">
        <f>IFERROR(IF($A300="","",$V300*'Assumptions'!$B$5),"")</f>
        <v/>
      </c>
      <c r="AC300" s="45">
        <f>IFERROR(IF($A300="","",$I300*'Assumptions'!$B$6),"")</f>
        <v/>
      </c>
      <c r="AD300" s="45">
        <f>IFERROR(IF($A300="","",$AB300+$AC300),"")</f>
        <v/>
      </c>
      <c r="AE300" s="45">
        <f>IFERROR(IF($A300="","",($M300+$N300)*'Assumptions'!$B$7),"")</f>
        <v/>
      </c>
      <c r="AF300" s="45">
        <f>IFERROR(IF($A300="","",($Q300/60)*'Assumptions'!$B$8),"")</f>
        <v/>
      </c>
      <c r="AG300" s="45">
        <f>IFERROR(IF($A300="","",$P300+$AE300+$AF300),"")</f>
        <v/>
      </c>
      <c r="AH300" s="45">
        <f>IFERROR(IF($A300="","",$M300+$O300),"")</f>
        <v/>
      </c>
      <c r="AI300" s="46">
        <f>IFERROR(IF($A300="","",IFERROR($AH300/$W300,0)),"")</f>
        <v/>
      </c>
      <c r="AJ300" s="45">
        <f>IFERROR(IF($A300="","",$W300-$AH300-$AD300+$AG300),"")</f>
        <v/>
      </c>
      <c r="AK300" s="47">
        <f>IFERROR(IF($A300="","",IF(OR($S300="Collected",$S300="Waived",$S300="Uncollectible",$S300="No Charge Due"),"",IF($T300="",$B300+'Assumptions'!$B$9,$T300+'Assumptions'!$B$9))),"")</f>
        <v/>
      </c>
      <c r="AL300" s="48">
        <f>IFERROR(IF($A300="","",IF(OR($S300="Collected",$S300="Waived",$S300="Uncollectible",$S300="No Charge Due"),"Closed",IF($AK300&lt;TODAY(),"Overdue",IF($AK300=TODAY(),"Due","Open")))),"")</f>
        <v/>
      </c>
      <c r="AM300" s="49">
        <f>IFERROR(IF($A300="","",IF(COUNTIF($A$5:$A$504,$A300)&gt;1,"Duplicate reservation ID",IF($C300&lt;=$B300,"Check stay dates",IF($G300&gt;$F300,"Resold nights exceed booked nights",IF($M300+$N300&gt;$AA300+0.01,"Collection exceeds expected amount",IF(AND($S300="Collected",$M300=0),"Collected status has no amount",IF($AJ300&gt;='Assumptions'!$B$10,"High-cost review","OK"))))))),"")</f>
        <v/>
      </c>
    </row>
    <row r="301">
      <c r="A301" s="38" t="n"/>
      <c r="B301" s="39" t="n"/>
      <c r="C301" s="39" t="n"/>
      <c r="D301" s="38" t="n"/>
      <c r="E301" s="38" t="n"/>
      <c r="F301" s="40" t="n"/>
      <c r="G301" s="40" t="n"/>
      <c r="H301" s="41" t="n"/>
      <c r="I301" s="41" t="n"/>
      <c r="J301" s="42" t="n"/>
      <c r="K301" s="42" t="n"/>
      <c r="L301" s="42" t="n"/>
      <c r="M301" s="41" t="n"/>
      <c r="N301" s="41" t="n"/>
      <c r="O301" s="41" t="n"/>
      <c r="P301" s="41" t="n"/>
      <c r="Q301" s="40" t="n"/>
      <c r="R301" s="38" t="n"/>
      <c r="S301" s="38" t="n"/>
      <c r="T301" s="39" t="n"/>
      <c r="U301" s="43" t="n"/>
      <c r="V301" s="44">
        <f>IFERROR(IF($A301="","",MAX($F301-$G301,0)),"")</f>
        <v/>
      </c>
      <c r="W301" s="45">
        <f>IFERROR(IF($A301="","",$H301+$I301),"")</f>
        <v/>
      </c>
      <c r="X301" s="45">
        <f>IFERROR(IF($A301="","",$H301*IF($J301="",'Assumptions'!$B$4,$J301)),"")</f>
        <v/>
      </c>
      <c r="Y301" s="45">
        <f>IFERROR(IF($A301="","",$X301*IF($K301="",'Assumptions'!$B$12,$K301)),"")</f>
        <v/>
      </c>
      <c r="Z301" s="45">
        <f>IFERROR(IF($A301="","",($X301+$Y301)*IF($L301="",'Assumptions'!$B$13,$L301)),"")</f>
        <v/>
      </c>
      <c r="AA301" s="45">
        <f>IFERROR(IF($A301="","",$X301+$Y301+$Z301),"")</f>
        <v/>
      </c>
      <c r="AB301" s="45">
        <f>IFERROR(IF($A301="","",$V301*'Assumptions'!$B$5),"")</f>
        <v/>
      </c>
      <c r="AC301" s="45">
        <f>IFERROR(IF($A301="","",$I301*'Assumptions'!$B$6),"")</f>
        <v/>
      </c>
      <c r="AD301" s="45">
        <f>IFERROR(IF($A301="","",$AB301+$AC301),"")</f>
        <v/>
      </c>
      <c r="AE301" s="45">
        <f>IFERROR(IF($A301="","",($M301+$N301)*'Assumptions'!$B$7),"")</f>
        <v/>
      </c>
      <c r="AF301" s="45">
        <f>IFERROR(IF($A301="","",($Q301/60)*'Assumptions'!$B$8),"")</f>
        <v/>
      </c>
      <c r="AG301" s="45">
        <f>IFERROR(IF($A301="","",$P301+$AE301+$AF301),"")</f>
        <v/>
      </c>
      <c r="AH301" s="45">
        <f>IFERROR(IF($A301="","",$M301+$O301),"")</f>
        <v/>
      </c>
      <c r="AI301" s="46">
        <f>IFERROR(IF($A301="","",IFERROR($AH301/$W301,0)),"")</f>
        <v/>
      </c>
      <c r="AJ301" s="45">
        <f>IFERROR(IF($A301="","",$W301-$AH301-$AD301+$AG301),"")</f>
        <v/>
      </c>
      <c r="AK301" s="47">
        <f>IFERROR(IF($A301="","",IF(OR($S301="Collected",$S301="Waived",$S301="Uncollectible",$S301="No Charge Due"),"",IF($T301="",$B301+'Assumptions'!$B$9,$T301+'Assumptions'!$B$9))),"")</f>
        <v/>
      </c>
      <c r="AL301" s="48">
        <f>IFERROR(IF($A301="","",IF(OR($S301="Collected",$S301="Waived",$S301="Uncollectible",$S301="No Charge Due"),"Closed",IF($AK301&lt;TODAY(),"Overdue",IF($AK301=TODAY(),"Due","Open")))),"")</f>
        <v/>
      </c>
      <c r="AM301" s="49">
        <f>IFERROR(IF($A301="","",IF(COUNTIF($A$5:$A$504,$A301)&gt;1,"Duplicate reservation ID",IF($C301&lt;=$B301,"Check stay dates",IF($G301&gt;$F301,"Resold nights exceed booked nights",IF($M301+$N301&gt;$AA301+0.01,"Collection exceeds expected amount",IF(AND($S301="Collected",$M301=0),"Collected status has no amount",IF($AJ301&gt;='Assumptions'!$B$10,"High-cost review","OK"))))))),"")</f>
        <v/>
      </c>
    </row>
    <row r="302">
      <c r="A302" s="38" t="n"/>
      <c r="B302" s="39" t="n"/>
      <c r="C302" s="39" t="n"/>
      <c r="D302" s="38" t="n"/>
      <c r="E302" s="38" t="n"/>
      <c r="F302" s="40" t="n"/>
      <c r="G302" s="40" t="n"/>
      <c r="H302" s="41" t="n"/>
      <c r="I302" s="41" t="n"/>
      <c r="J302" s="42" t="n"/>
      <c r="K302" s="42" t="n"/>
      <c r="L302" s="42" t="n"/>
      <c r="M302" s="41" t="n"/>
      <c r="N302" s="41" t="n"/>
      <c r="O302" s="41" t="n"/>
      <c r="P302" s="41" t="n"/>
      <c r="Q302" s="40" t="n"/>
      <c r="R302" s="38" t="n"/>
      <c r="S302" s="38" t="n"/>
      <c r="T302" s="39" t="n"/>
      <c r="U302" s="43" t="n"/>
      <c r="V302" s="44">
        <f>IFERROR(IF($A302="","",MAX($F302-$G302,0)),"")</f>
        <v/>
      </c>
      <c r="W302" s="45">
        <f>IFERROR(IF($A302="","",$H302+$I302),"")</f>
        <v/>
      </c>
      <c r="X302" s="45">
        <f>IFERROR(IF($A302="","",$H302*IF($J302="",'Assumptions'!$B$4,$J302)),"")</f>
        <v/>
      </c>
      <c r="Y302" s="45">
        <f>IFERROR(IF($A302="","",$X302*IF($K302="",'Assumptions'!$B$12,$K302)),"")</f>
        <v/>
      </c>
      <c r="Z302" s="45">
        <f>IFERROR(IF($A302="","",($X302+$Y302)*IF($L302="",'Assumptions'!$B$13,$L302)),"")</f>
        <v/>
      </c>
      <c r="AA302" s="45">
        <f>IFERROR(IF($A302="","",$X302+$Y302+$Z302),"")</f>
        <v/>
      </c>
      <c r="AB302" s="45">
        <f>IFERROR(IF($A302="","",$V302*'Assumptions'!$B$5),"")</f>
        <v/>
      </c>
      <c r="AC302" s="45">
        <f>IFERROR(IF($A302="","",$I302*'Assumptions'!$B$6),"")</f>
        <v/>
      </c>
      <c r="AD302" s="45">
        <f>IFERROR(IF($A302="","",$AB302+$AC302),"")</f>
        <v/>
      </c>
      <c r="AE302" s="45">
        <f>IFERROR(IF($A302="","",($M302+$N302)*'Assumptions'!$B$7),"")</f>
        <v/>
      </c>
      <c r="AF302" s="45">
        <f>IFERROR(IF($A302="","",($Q302/60)*'Assumptions'!$B$8),"")</f>
        <v/>
      </c>
      <c r="AG302" s="45">
        <f>IFERROR(IF($A302="","",$P302+$AE302+$AF302),"")</f>
        <v/>
      </c>
      <c r="AH302" s="45">
        <f>IFERROR(IF($A302="","",$M302+$O302),"")</f>
        <v/>
      </c>
      <c r="AI302" s="46">
        <f>IFERROR(IF($A302="","",IFERROR($AH302/$W302,0)),"")</f>
        <v/>
      </c>
      <c r="AJ302" s="45">
        <f>IFERROR(IF($A302="","",$W302-$AH302-$AD302+$AG302),"")</f>
        <v/>
      </c>
      <c r="AK302" s="47">
        <f>IFERROR(IF($A302="","",IF(OR($S302="Collected",$S302="Waived",$S302="Uncollectible",$S302="No Charge Due"),"",IF($T302="",$B302+'Assumptions'!$B$9,$T302+'Assumptions'!$B$9))),"")</f>
        <v/>
      </c>
      <c r="AL302" s="48">
        <f>IFERROR(IF($A302="","",IF(OR($S302="Collected",$S302="Waived",$S302="Uncollectible",$S302="No Charge Due"),"Closed",IF($AK302&lt;TODAY(),"Overdue",IF($AK302=TODAY(),"Due","Open")))),"")</f>
        <v/>
      </c>
      <c r="AM302" s="49">
        <f>IFERROR(IF($A302="","",IF(COUNTIF($A$5:$A$504,$A302)&gt;1,"Duplicate reservation ID",IF($C302&lt;=$B302,"Check stay dates",IF($G302&gt;$F302,"Resold nights exceed booked nights",IF($M302+$N302&gt;$AA302+0.01,"Collection exceeds expected amount",IF(AND($S302="Collected",$M302=0),"Collected status has no amount",IF($AJ302&gt;='Assumptions'!$B$10,"High-cost review","OK"))))))),"")</f>
        <v/>
      </c>
    </row>
    <row r="303">
      <c r="A303" s="38" t="n"/>
      <c r="B303" s="39" t="n"/>
      <c r="C303" s="39" t="n"/>
      <c r="D303" s="38" t="n"/>
      <c r="E303" s="38" t="n"/>
      <c r="F303" s="40" t="n"/>
      <c r="G303" s="40" t="n"/>
      <c r="H303" s="41" t="n"/>
      <c r="I303" s="41" t="n"/>
      <c r="J303" s="42" t="n"/>
      <c r="K303" s="42" t="n"/>
      <c r="L303" s="42" t="n"/>
      <c r="M303" s="41" t="n"/>
      <c r="N303" s="41" t="n"/>
      <c r="O303" s="41" t="n"/>
      <c r="P303" s="41" t="n"/>
      <c r="Q303" s="40" t="n"/>
      <c r="R303" s="38" t="n"/>
      <c r="S303" s="38" t="n"/>
      <c r="T303" s="39" t="n"/>
      <c r="U303" s="43" t="n"/>
      <c r="V303" s="44">
        <f>IFERROR(IF($A303="","",MAX($F303-$G303,0)),"")</f>
        <v/>
      </c>
      <c r="W303" s="45">
        <f>IFERROR(IF($A303="","",$H303+$I303),"")</f>
        <v/>
      </c>
      <c r="X303" s="45">
        <f>IFERROR(IF($A303="","",$H303*IF($J303="",'Assumptions'!$B$4,$J303)),"")</f>
        <v/>
      </c>
      <c r="Y303" s="45">
        <f>IFERROR(IF($A303="","",$X303*IF($K303="",'Assumptions'!$B$12,$K303)),"")</f>
        <v/>
      </c>
      <c r="Z303" s="45">
        <f>IFERROR(IF($A303="","",($X303+$Y303)*IF($L303="",'Assumptions'!$B$13,$L303)),"")</f>
        <v/>
      </c>
      <c r="AA303" s="45">
        <f>IFERROR(IF($A303="","",$X303+$Y303+$Z303),"")</f>
        <v/>
      </c>
      <c r="AB303" s="45">
        <f>IFERROR(IF($A303="","",$V303*'Assumptions'!$B$5),"")</f>
        <v/>
      </c>
      <c r="AC303" s="45">
        <f>IFERROR(IF($A303="","",$I303*'Assumptions'!$B$6),"")</f>
        <v/>
      </c>
      <c r="AD303" s="45">
        <f>IFERROR(IF($A303="","",$AB303+$AC303),"")</f>
        <v/>
      </c>
      <c r="AE303" s="45">
        <f>IFERROR(IF($A303="","",($M303+$N303)*'Assumptions'!$B$7),"")</f>
        <v/>
      </c>
      <c r="AF303" s="45">
        <f>IFERROR(IF($A303="","",($Q303/60)*'Assumptions'!$B$8),"")</f>
        <v/>
      </c>
      <c r="AG303" s="45">
        <f>IFERROR(IF($A303="","",$P303+$AE303+$AF303),"")</f>
        <v/>
      </c>
      <c r="AH303" s="45">
        <f>IFERROR(IF($A303="","",$M303+$O303),"")</f>
        <v/>
      </c>
      <c r="AI303" s="46">
        <f>IFERROR(IF($A303="","",IFERROR($AH303/$W303,0)),"")</f>
        <v/>
      </c>
      <c r="AJ303" s="45">
        <f>IFERROR(IF($A303="","",$W303-$AH303-$AD303+$AG303),"")</f>
        <v/>
      </c>
      <c r="AK303" s="47">
        <f>IFERROR(IF($A303="","",IF(OR($S303="Collected",$S303="Waived",$S303="Uncollectible",$S303="No Charge Due"),"",IF($T303="",$B303+'Assumptions'!$B$9,$T303+'Assumptions'!$B$9))),"")</f>
        <v/>
      </c>
      <c r="AL303" s="48">
        <f>IFERROR(IF($A303="","",IF(OR($S303="Collected",$S303="Waived",$S303="Uncollectible",$S303="No Charge Due"),"Closed",IF($AK303&lt;TODAY(),"Overdue",IF($AK303=TODAY(),"Due","Open")))),"")</f>
        <v/>
      </c>
      <c r="AM303" s="49">
        <f>IFERROR(IF($A303="","",IF(COUNTIF($A$5:$A$504,$A303)&gt;1,"Duplicate reservation ID",IF($C303&lt;=$B303,"Check stay dates",IF($G303&gt;$F303,"Resold nights exceed booked nights",IF($M303+$N303&gt;$AA303+0.01,"Collection exceeds expected amount",IF(AND($S303="Collected",$M303=0),"Collected status has no amount",IF($AJ303&gt;='Assumptions'!$B$10,"High-cost review","OK"))))))),"")</f>
        <v/>
      </c>
    </row>
    <row r="304">
      <c r="A304" s="38" t="n"/>
      <c r="B304" s="39" t="n"/>
      <c r="C304" s="39" t="n"/>
      <c r="D304" s="38" t="n"/>
      <c r="E304" s="38" t="n"/>
      <c r="F304" s="40" t="n"/>
      <c r="G304" s="40" t="n"/>
      <c r="H304" s="41" t="n"/>
      <c r="I304" s="41" t="n"/>
      <c r="J304" s="42" t="n"/>
      <c r="K304" s="42" t="n"/>
      <c r="L304" s="42" t="n"/>
      <c r="M304" s="41" t="n"/>
      <c r="N304" s="41" t="n"/>
      <c r="O304" s="41" t="n"/>
      <c r="P304" s="41" t="n"/>
      <c r="Q304" s="40" t="n"/>
      <c r="R304" s="38" t="n"/>
      <c r="S304" s="38" t="n"/>
      <c r="T304" s="39" t="n"/>
      <c r="U304" s="43" t="n"/>
      <c r="V304" s="44">
        <f>IFERROR(IF($A304="","",MAX($F304-$G304,0)),"")</f>
        <v/>
      </c>
      <c r="W304" s="45">
        <f>IFERROR(IF($A304="","",$H304+$I304),"")</f>
        <v/>
      </c>
      <c r="X304" s="45">
        <f>IFERROR(IF($A304="","",$H304*IF($J304="",'Assumptions'!$B$4,$J304)),"")</f>
        <v/>
      </c>
      <c r="Y304" s="45">
        <f>IFERROR(IF($A304="","",$X304*IF($K304="",'Assumptions'!$B$12,$K304)),"")</f>
        <v/>
      </c>
      <c r="Z304" s="45">
        <f>IFERROR(IF($A304="","",($X304+$Y304)*IF($L304="",'Assumptions'!$B$13,$L304)),"")</f>
        <v/>
      </c>
      <c r="AA304" s="45">
        <f>IFERROR(IF($A304="","",$X304+$Y304+$Z304),"")</f>
        <v/>
      </c>
      <c r="AB304" s="45">
        <f>IFERROR(IF($A304="","",$V304*'Assumptions'!$B$5),"")</f>
        <v/>
      </c>
      <c r="AC304" s="45">
        <f>IFERROR(IF($A304="","",$I304*'Assumptions'!$B$6),"")</f>
        <v/>
      </c>
      <c r="AD304" s="45">
        <f>IFERROR(IF($A304="","",$AB304+$AC304),"")</f>
        <v/>
      </c>
      <c r="AE304" s="45">
        <f>IFERROR(IF($A304="","",($M304+$N304)*'Assumptions'!$B$7),"")</f>
        <v/>
      </c>
      <c r="AF304" s="45">
        <f>IFERROR(IF($A304="","",($Q304/60)*'Assumptions'!$B$8),"")</f>
        <v/>
      </c>
      <c r="AG304" s="45">
        <f>IFERROR(IF($A304="","",$P304+$AE304+$AF304),"")</f>
        <v/>
      </c>
      <c r="AH304" s="45">
        <f>IFERROR(IF($A304="","",$M304+$O304),"")</f>
        <v/>
      </c>
      <c r="AI304" s="46">
        <f>IFERROR(IF($A304="","",IFERROR($AH304/$W304,0)),"")</f>
        <v/>
      </c>
      <c r="AJ304" s="45">
        <f>IFERROR(IF($A304="","",$W304-$AH304-$AD304+$AG304),"")</f>
        <v/>
      </c>
      <c r="AK304" s="47">
        <f>IFERROR(IF($A304="","",IF(OR($S304="Collected",$S304="Waived",$S304="Uncollectible",$S304="No Charge Due"),"",IF($T304="",$B304+'Assumptions'!$B$9,$T304+'Assumptions'!$B$9))),"")</f>
        <v/>
      </c>
      <c r="AL304" s="48">
        <f>IFERROR(IF($A304="","",IF(OR($S304="Collected",$S304="Waived",$S304="Uncollectible",$S304="No Charge Due"),"Closed",IF($AK304&lt;TODAY(),"Overdue",IF($AK304=TODAY(),"Due","Open")))),"")</f>
        <v/>
      </c>
      <c r="AM304" s="49">
        <f>IFERROR(IF($A304="","",IF(COUNTIF($A$5:$A$504,$A304)&gt;1,"Duplicate reservation ID",IF($C304&lt;=$B304,"Check stay dates",IF($G304&gt;$F304,"Resold nights exceed booked nights",IF($M304+$N304&gt;$AA304+0.01,"Collection exceeds expected amount",IF(AND($S304="Collected",$M304=0),"Collected status has no amount",IF($AJ304&gt;='Assumptions'!$B$10,"High-cost review","OK"))))))),"")</f>
        <v/>
      </c>
    </row>
    <row r="305">
      <c r="A305" s="38" t="n"/>
      <c r="B305" s="39" t="n"/>
      <c r="C305" s="39" t="n"/>
      <c r="D305" s="38" t="n"/>
      <c r="E305" s="38" t="n"/>
      <c r="F305" s="40" t="n"/>
      <c r="G305" s="40" t="n"/>
      <c r="H305" s="41" t="n"/>
      <c r="I305" s="41" t="n"/>
      <c r="J305" s="42" t="n"/>
      <c r="K305" s="42" t="n"/>
      <c r="L305" s="42" t="n"/>
      <c r="M305" s="41" t="n"/>
      <c r="N305" s="41" t="n"/>
      <c r="O305" s="41" t="n"/>
      <c r="P305" s="41" t="n"/>
      <c r="Q305" s="40" t="n"/>
      <c r="R305" s="38" t="n"/>
      <c r="S305" s="38" t="n"/>
      <c r="T305" s="39" t="n"/>
      <c r="U305" s="43" t="n"/>
      <c r="V305" s="44">
        <f>IFERROR(IF($A305="","",MAX($F305-$G305,0)),"")</f>
        <v/>
      </c>
      <c r="W305" s="45">
        <f>IFERROR(IF($A305="","",$H305+$I305),"")</f>
        <v/>
      </c>
      <c r="X305" s="45">
        <f>IFERROR(IF($A305="","",$H305*IF($J305="",'Assumptions'!$B$4,$J305)),"")</f>
        <v/>
      </c>
      <c r="Y305" s="45">
        <f>IFERROR(IF($A305="","",$X305*IF($K305="",'Assumptions'!$B$12,$K305)),"")</f>
        <v/>
      </c>
      <c r="Z305" s="45">
        <f>IFERROR(IF($A305="","",($X305+$Y305)*IF($L305="",'Assumptions'!$B$13,$L305)),"")</f>
        <v/>
      </c>
      <c r="AA305" s="45">
        <f>IFERROR(IF($A305="","",$X305+$Y305+$Z305),"")</f>
        <v/>
      </c>
      <c r="AB305" s="45">
        <f>IFERROR(IF($A305="","",$V305*'Assumptions'!$B$5),"")</f>
        <v/>
      </c>
      <c r="AC305" s="45">
        <f>IFERROR(IF($A305="","",$I305*'Assumptions'!$B$6),"")</f>
        <v/>
      </c>
      <c r="AD305" s="45">
        <f>IFERROR(IF($A305="","",$AB305+$AC305),"")</f>
        <v/>
      </c>
      <c r="AE305" s="45">
        <f>IFERROR(IF($A305="","",($M305+$N305)*'Assumptions'!$B$7),"")</f>
        <v/>
      </c>
      <c r="AF305" s="45">
        <f>IFERROR(IF($A305="","",($Q305/60)*'Assumptions'!$B$8),"")</f>
        <v/>
      </c>
      <c r="AG305" s="45">
        <f>IFERROR(IF($A305="","",$P305+$AE305+$AF305),"")</f>
        <v/>
      </c>
      <c r="AH305" s="45">
        <f>IFERROR(IF($A305="","",$M305+$O305),"")</f>
        <v/>
      </c>
      <c r="AI305" s="46">
        <f>IFERROR(IF($A305="","",IFERROR($AH305/$W305,0)),"")</f>
        <v/>
      </c>
      <c r="AJ305" s="45">
        <f>IFERROR(IF($A305="","",$W305-$AH305-$AD305+$AG305),"")</f>
        <v/>
      </c>
      <c r="AK305" s="47">
        <f>IFERROR(IF($A305="","",IF(OR($S305="Collected",$S305="Waived",$S305="Uncollectible",$S305="No Charge Due"),"",IF($T305="",$B305+'Assumptions'!$B$9,$T305+'Assumptions'!$B$9))),"")</f>
        <v/>
      </c>
      <c r="AL305" s="48">
        <f>IFERROR(IF($A305="","",IF(OR($S305="Collected",$S305="Waived",$S305="Uncollectible",$S305="No Charge Due"),"Closed",IF($AK305&lt;TODAY(),"Overdue",IF($AK305=TODAY(),"Due","Open")))),"")</f>
        <v/>
      </c>
      <c r="AM305" s="49">
        <f>IFERROR(IF($A305="","",IF(COUNTIF($A$5:$A$504,$A305)&gt;1,"Duplicate reservation ID",IF($C305&lt;=$B305,"Check stay dates",IF($G305&gt;$F305,"Resold nights exceed booked nights",IF($M305+$N305&gt;$AA305+0.01,"Collection exceeds expected amount",IF(AND($S305="Collected",$M305=0),"Collected status has no amount",IF($AJ305&gt;='Assumptions'!$B$10,"High-cost review","OK"))))))),"")</f>
        <v/>
      </c>
    </row>
    <row r="306">
      <c r="A306" s="38" t="n"/>
      <c r="B306" s="39" t="n"/>
      <c r="C306" s="39" t="n"/>
      <c r="D306" s="38" t="n"/>
      <c r="E306" s="38" t="n"/>
      <c r="F306" s="40" t="n"/>
      <c r="G306" s="40" t="n"/>
      <c r="H306" s="41" t="n"/>
      <c r="I306" s="41" t="n"/>
      <c r="J306" s="42" t="n"/>
      <c r="K306" s="42" t="n"/>
      <c r="L306" s="42" t="n"/>
      <c r="M306" s="41" t="n"/>
      <c r="N306" s="41" t="n"/>
      <c r="O306" s="41" t="n"/>
      <c r="P306" s="41" t="n"/>
      <c r="Q306" s="40" t="n"/>
      <c r="R306" s="38" t="n"/>
      <c r="S306" s="38" t="n"/>
      <c r="T306" s="39" t="n"/>
      <c r="U306" s="43" t="n"/>
      <c r="V306" s="44">
        <f>IFERROR(IF($A306="","",MAX($F306-$G306,0)),"")</f>
        <v/>
      </c>
      <c r="W306" s="45">
        <f>IFERROR(IF($A306="","",$H306+$I306),"")</f>
        <v/>
      </c>
      <c r="X306" s="45">
        <f>IFERROR(IF($A306="","",$H306*IF($J306="",'Assumptions'!$B$4,$J306)),"")</f>
        <v/>
      </c>
      <c r="Y306" s="45">
        <f>IFERROR(IF($A306="","",$X306*IF($K306="",'Assumptions'!$B$12,$K306)),"")</f>
        <v/>
      </c>
      <c r="Z306" s="45">
        <f>IFERROR(IF($A306="","",($X306+$Y306)*IF($L306="",'Assumptions'!$B$13,$L306)),"")</f>
        <v/>
      </c>
      <c r="AA306" s="45">
        <f>IFERROR(IF($A306="","",$X306+$Y306+$Z306),"")</f>
        <v/>
      </c>
      <c r="AB306" s="45">
        <f>IFERROR(IF($A306="","",$V306*'Assumptions'!$B$5),"")</f>
        <v/>
      </c>
      <c r="AC306" s="45">
        <f>IFERROR(IF($A306="","",$I306*'Assumptions'!$B$6),"")</f>
        <v/>
      </c>
      <c r="AD306" s="45">
        <f>IFERROR(IF($A306="","",$AB306+$AC306),"")</f>
        <v/>
      </c>
      <c r="AE306" s="45">
        <f>IFERROR(IF($A306="","",($M306+$N306)*'Assumptions'!$B$7),"")</f>
        <v/>
      </c>
      <c r="AF306" s="45">
        <f>IFERROR(IF($A306="","",($Q306/60)*'Assumptions'!$B$8),"")</f>
        <v/>
      </c>
      <c r="AG306" s="45">
        <f>IFERROR(IF($A306="","",$P306+$AE306+$AF306),"")</f>
        <v/>
      </c>
      <c r="AH306" s="45">
        <f>IFERROR(IF($A306="","",$M306+$O306),"")</f>
        <v/>
      </c>
      <c r="AI306" s="46">
        <f>IFERROR(IF($A306="","",IFERROR($AH306/$W306,0)),"")</f>
        <v/>
      </c>
      <c r="AJ306" s="45">
        <f>IFERROR(IF($A306="","",$W306-$AH306-$AD306+$AG306),"")</f>
        <v/>
      </c>
      <c r="AK306" s="47">
        <f>IFERROR(IF($A306="","",IF(OR($S306="Collected",$S306="Waived",$S306="Uncollectible",$S306="No Charge Due"),"",IF($T306="",$B306+'Assumptions'!$B$9,$T306+'Assumptions'!$B$9))),"")</f>
        <v/>
      </c>
      <c r="AL306" s="48">
        <f>IFERROR(IF($A306="","",IF(OR($S306="Collected",$S306="Waived",$S306="Uncollectible",$S306="No Charge Due"),"Closed",IF($AK306&lt;TODAY(),"Overdue",IF($AK306=TODAY(),"Due","Open")))),"")</f>
        <v/>
      </c>
      <c r="AM306" s="49">
        <f>IFERROR(IF($A306="","",IF(COUNTIF($A$5:$A$504,$A306)&gt;1,"Duplicate reservation ID",IF($C306&lt;=$B306,"Check stay dates",IF($G306&gt;$F306,"Resold nights exceed booked nights",IF($M306+$N306&gt;$AA306+0.01,"Collection exceeds expected amount",IF(AND($S306="Collected",$M306=0),"Collected status has no amount",IF($AJ306&gt;='Assumptions'!$B$10,"High-cost review","OK"))))))),"")</f>
        <v/>
      </c>
    </row>
    <row r="307">
      <c r="A307" s="38" t="n"/>
      <c r="B307" s="39" t="n"/>
      <c r="C307" s="39" t="n"/>
      <c r="D307" s="38" t="n"/>
      <c r="E307" s="38" t="n"/>
      <c r="F307" s="40" t="n"/>
      <c r="G307" s="40" t="n"/>
      <c r="H307" s="41" t="n"/>
      <c r="I307" s="41" t="n"/>
      <c r="J307" s="42" t="n"/>
      <c r="K307" s="42" t="n"/>
      <c r="L307" s="42" t="n"/>
      <c r="M307" s="41" t="n"/>
      <c r="N307" s="41" t="n"/>
      <c r="O307" s="41" t="n"/>
      <c r="P307" s="41" t="n"/>
      <c r="Q307" s="40" t="n"/>
      <c r="R307" s="38" t="n"/>
      <c r="S307" s="38" t="n"/>
      <c r="T307" s="39" t="n"/>
      <c r="U307" s="43" t="n"/>
      <c r="V307" s="44">
        <f>IFERROR(IF($A307="","",MAX($F307-$G307,0)),"")</f>
        <v/>
      </c>
      <c r="W307" s="45">
        <f>IFERROR(IF($A307="","",$H307+$I307),"")</f>
        <v/>
      </c>
      <c r="X307" s="45">
        <f>IFERROR(IF($A307="","",$H307*IF($J307="",'Assumptions'!$B$4,$J307)),"")</f>
        <v/>
      </c>
      <c r="Y307" s="45">
        <f>IFERROR(IF($A307="","",$X307*IF($K307="",'Assumptions'!$B$12,$K307)),"")</f>
        <v/>
      </c>
      <c r="Z307" s="45">
        <f>IFERROR(IF($A307="","",($X307+$Y307)*IF($L307="",'Assumptions'!$B$13,$L307)),"")</f>
        <v/>
      </c>
      <c r="AA307" s="45">
        <f>IFERROR(IF($A307="","",$X307+$Y307+$Z307),"")</f>
        <v/>
      </c>
      <c r="AB307" s="45">
        <f>IFERROR(IF($A307="","",$V307*'Assumptions'!$B$5),"")</f>
        <v/>
      </c>
      <c r="AC307" s="45">
        <f>IFERROR(IF($A307="","",$I307*'Assumptions'!$B$6),"")</f>
        <v/>
      </c>
      <c r="AD307" s="45">
        <f>IFERROR(IF($A307="","",$AB307+$AC307),"")</f>
        <v/>
      </c>
      <c r="AE307" s="45">
        <f>IFERROR(IF($A307="","",($M307+$N307)*'Assumptions'!$B$7),"")</f>
        <v/>
      </c>
      <c r="AF307" s="45">
        <f>IFERROR(IF($A307="","",($Q307/60)*'Assumptions'!$B$8),"")</f>
        <v/>
      </c>
      <c r="AG307" s="45">
        <f>IFERROR(IF($A307="","",$P307+$AE307+$AF307),"")</f>
        <v/>
      </c>
      <c r="AH307" s="45">
        <f>IFERROR(IF($A307="","",$M307+$O307),"")</f>
        <v/>
      </c>
      <c r="AI307" s="46">
        <f>IFERROR(IF($A307="","",IFERROR($AH307/$W307,0)),"")</f>
        <v/>
      </c>
      <c r="AJ307" s="45">
        <f>IFERROR(IF($A307="","",$W307-$AH307-$AD307+$AG307),"")</f>
        <v/>
      </c>
      <c r="AK307" s="47">
        <f>IFERROR(IF($A307="","",IF(OR($S307="Collected",$S307="Waived",$S307="Uncollectible",$S307="No Charge Due"),"",IF($T307="",$B307+'Assumptions'!$B$9,$T307+'Assumptions'!$B$9))),"")</f>
        <v/>
      </c>
      <c r="AL307" s="48">
        <f>IFERROR(IF($A307="","",IF(OR($S307="Collected",$S307="Waived",$S307="Uncollectible",$S307="No Charge Due"),"Closed",IF($AK307&lt;TODAY(),"Overdue",IF($AK307=TODAY(),"Due","Open")))),"")</f>
        <v/>
      </c>
      <c r="AM307" s="49">
        <f>IFERROR(IF($A307="","",IF(COUNTIF($A$5:$A$504,$A307)&gt;1,"Duplicate reservation ID",IF($C307&lt;=$B307,"Check stay dates",IF($G307&gt;$F307,"Resold nights exceed booked nights",IF($M307+$N307&gt;$AA307+0.01,"Collection exceeds expected amount",IF(AND($S307="Collected",$M307=0),"Collected status has no amount",IF($AJ307&gt;='Assumptions'!$B$10,"High-cost review","OK"))))))),"")</f>
        <v/>
      </c>
    </row>
    <row r="308">
      <c r="A308" s="38" t="n"/>
      <c r="B308" s="39" t="n"/>
      <c r="C308" s="39" t="n"/>
      <c r="D308" s="38" t="n"/>
      <c r="E308" s="38" t="n"/>
      <c r="F308" s="40" t="n"/>
      <c r="G308" s="40" t="n"/>
      <c r="H308" s="41" t="n"/>
      <c r="I308" s="41" t="n"/>
      <c r="J308" s="42" t="n"/>
      <c r="K308" s="42" t="n"/>
      <c r="L308" s="42" t="n"/>
      <c r="M308" s="41" t="n"/>
      <c r="N308" s="41" t="n"/>
      <c r="O308" s="41" t="n"/>
      <c r="P308" s="41" t="n"/>
      <c r="Q308" s="40" t="n"/>
      <c r="R308" s="38" t="n"/>
      <c r="S308" s="38" t="n"/>
      <c r="T308" s="39" t="n"/>
      <c r="U308" s="43" t="n"/>
      <c r="V308" s="44">
        <f>IFERROR(IF($A308="","",MAX($F308-$G308,0)),"")</f>
        <v/>
      </c>
      <c r="W308" s="45">
        <f>IFERROR(IF($A308="","",$H308+$I308),"")</f>
        <v/>
      </c>
      <c r="X308" s="45">
        <f>IFERROR(IF($A308="","",$H308*IF($J308="",'Assumptions'!$B$4,$J308)),"")</f>
        <v/>
      </c>
      <c r="Y308" s="45">
        <f>IFERROR(IF($A308="","",$X308*IF($K308="",'Assumptions'!$B$12,$K308)),"")</f>
        <v/>
      </c>
      <c r="Z308" s="45">
        <f>IFERROR(IF($A308="","",($X308+$Y308)*IF($L308="",'Assumptions'!$B$13,$L308)),"")</f>
        <v/>
      </c>
      <c r="AA308" s="45">
        <f>IFERROR(IF($A308="","",$X308+$Y308+$Z308),"")</f>
        <v/>
      </c>
      <c r="AB308" s="45">
        <f>IFERROR(IF($A308="","",$V308*'Assumptions'!$B$5),"")</f>
        <v/>
      </c>
      <c r="AC308" s="45">
        <f>IFERROR(IF($A308="","",$I308*'Assumptions'!$B$6),"")</f>
        <v/>
      </c>
      <c r="AD308" s="45">
        <f>IFERROR(IF($A308="","",$AB308+$AC308),"")</f>
        <v/>
      </c>
      <c r="AE308" s="45">
        <f>IFERROR(IF($A308="","",($M308+$N308)*'Assumptions'!$B$7),"")</f>
        <v/>
      </c>
      <c r="AF308" s="45">
        <f>IFERROR(IF($A308="","",($Q308/60)*'Assumptions'!$B$8),"")</f>
        <v/>
      </c>
      <c r="AG308" s="45">
        <f>IFERROR(IF($A308="","",$P308+$AE308+$AF308),"")</f>
        <v/>
      </c>
      <c r="AH308" s="45">
        <f>IFERROR(IF($A308="","",$M308+$O308),"")</f>
        <v/>
      </c>
      <c r="AI308" s="46">
        <f>IFERROR(IF($A308="","",IFERROR($AH308/$W308,0)),"")</f>
        <v/>
      </c>
      <c r="AJ308" s="45">
        <f>IFERROR(IF($A308="","",$W308-$AH308-$AD308+$AG308),"")</f>
        <v/>
      </c>
      <c r="AK308" s="47">
        <f>IFERROR(IF($A308="","",IF(OR($S308="Collected",$S308="Waived",$S308="Uncollectible",$S308="No Charge Due"),"",IF($T308="",$B308+'Assumptions'!$B$9,$T308+'Assumptions'!$B$9))),"")</f>
        <v/>
      </c>
      <c r="AL308" s="48">
        <f>IFERROR(IF($A308="","",IF(OR($S308="Collected",$S308="Waived",$S308="Uncollectible",$S308="No Charge Due"),"Closed",IF($AK308&lt;TODAY(),"Overdue",IF($AK308=TODAY(),"Due","Open")))),"")</f>
        <v/>
      </c>
      <c r="AM308" s="49">
        <f>IFERROR(IF($A308="","",IF(COUNTIF($A$5:$A$504,$A308)&gt;1,"Duplicate reservation ID",IF($C308&lt;=$B308,"Check stay dates",IF($G308&gt;$F308,"Resold nights exceed booked nights",IF($M308+$N308&gt;$AA308+0.01,"Collection exceeds expected amount",IF(AND($S308="Collected",$M308=0),"Collected status has no amount",IF($AJ308&gt;='Assumptions'!$B$10,"High-cost review","OK"))))))),"")</f>
        <v/>
      </c>
    </row>
    <row r="309">
      <c r="A309" s="38" t="n"/>
      <c r="B309" s="39" t="n"/>
      <c r="C309" s="39" t="n"/>
      <c r="D309" s="38" t="n"/>
      <c r="E309" s="38" t="n"/>
      <c r="F309" s="40" t="n"/>
      <c r="G309" s="40" t="n"/>
      <c r="H309" s="41" t="n"/>
      <c r="I309" s="41" t="n"/>
      <c r="J309" s="42" t="n"/>
      <c r="K309" s="42" t="n"/>
      <c r="L309" s="42" t="n"/>
      <c r="M309" s="41" t="n"/>
      <c r="N309" s="41" t="n"/>
      <c r="O309" s="41" t="n"/>
      <c r="P309" s="41" t="n"/>
      <c r="Q309" s="40" t="n"/>
      <c r="R309" s="38" t="n"/>
      <c r="S309" s="38" t="n"/>
      <c r="T309" s="39" t="n"/>
      <c r="U309" s="43" t="n"/>
      <c r="V309" s="44">
        <f>IFERROR(IF($A309="","",MAX($F309-$G309,0)),"")</f>
        <v/>
      </c>
      <c r="W309" s="45">
        <f>IFERROR(IF($A309="","",$H309+$I309),"")</f>
        <v/>
      </c>
      <c r="X309" s="45">
        <f>IFERROR(IF($A309="","",$H309*IF($J309="",'Assumptions'!$B$4,$J309)),"")</f>
        <v/>
      </c>
      <c r="Y309" s="45">
        <f>IFERROR(IF($A309="","",$X309*IF($K309="",'Assumptions'!$B$12,$K309)),"")</f>
        <v/>
      </c>
      <c r="Z309" s="45">
        <f>IFERROR(IF($A309="","",($X309+$Y309)*IF($L309="",'Assumptions'!$B$13,$L309)),"")</f>
        <v/>
      </c>
      <c r="AA309" s="45">
        <f>IFERROR(IF($A309="","",$X309+$Y309+$Z309),"")</f>
        <v/>
      </c>
      <c r="AB309" s="45">
        <f>IFERROR(IF($A309="","",$V309*'Assumptions'!$B$5),"")</f>
        <v/>
      </c>
      <c r="AC309" s="45">
        <f>IFERROR(IF($A309="","",$I309*'Assumptions'!$B$6),"")</f>
        <v/>
      </c>
      <c r="AD309" s="45">
        <f>IFERROR(IF($A309="","",$AB309+$AC309),"")</f>
        <v/>
      </c>
      <c r="AE309" s="45">
        <f>IFERROR(IF($A309="","",($M309+$N309)*'Assumptions'!$B$7),"")</f>
        <v/>
      </c>
      <c r="AF309" s="45">
        <f>IFERROR(IF($A309="","",($Q309/60)*'Assumptions'!$B$8),"")</f>
        <v/>
      </c>
      <c r="AG309" s="45">
        <f>IFERROR(IF($A309="","",$P309+$AE309+$AF309),"")</f>
        <v/>
      </c>
      <c r="AH309" s="45">
        <f>IFERROR(IF($A309="","",$M309+$O309),"")</f>
        <v/>
      </c>
      <c r="AI309" s="46">
        <f>IFERROR(IF($A309="","",IFERROR($AH309/$W309,0)),"")</f>
        <v/>
      </c>
      <c r="AJ309" s="45">
        <f>IFERROR(IF($A309="","",$W309-$AH309-$AD309+$AG309),"")</f>
        <v/>
      </c>
      <c r="AK309" s="47">
        <f>IFERROR(IF($A309="","",IF(OR($S309="Collected",$S309="Waived",$S309="Uncollectible",$S309="No Charge Due"),"",IF($T309="",$B309+'Assumptions'!$B$9,$T309+'Assumptions'!$B$9))),"")</f>
        <v/>
      </c>
      <c r="AL309" s="48">
        <f>IFERROR(IF($A309="","",IF(OR($S309="Collected",$S309="Waived",$S309="Uncollectible",$S309="No Charge Due"),"Closed",IF($AK309&lt;TODAY(),"Overdue",IF($AK309=TODAY(),"Due","Open")))),"")</f>
        <v/>
      </c>
      <c r="AM309" s="49">
        <f>IFERROR(IF($A309="","",IF(COUNTIF($A$5:$A$504,$A309)&gt;1,"Duplicate reservation ID",IF($C309&lt;=$B309,"Check stay dates",IF($G309&gt;$F309,"Resold nights exceed booked nights",IF($M309+$N309&gt;$AA309+0.01,"Collection exceeds expected amount",IF(AND($S309="Collected",$M309=0),"Collected status has no amount",IF($AJ309&gt;='Assumptions'!$B$10,"High-cost review","OK"))))))),"")</f>
        <v/>
      </c>
    </row>
    <row r="310">
      <c r="A310" s="38" t="n"/>
      <c r="B310" s="39" t="n"/>
      <c r="C310" s="39" t="n"/>
      <c r="D310" s="38" t="n"/>
      <c r="E310" s="38" t="n"/>
      <c r="F310" s="40" t="n"/>
      <c r="G310" s="40" t="n"/>
      <c r="H310" s="41" t="n"/>
      <c r="I310" s="41" t="n"/>
      <c r="J310" s="42" t="n"/>
      <c r="K310" s="42" t="n"/>
      <c r="L310" s="42" t="n"/>
      <c r="M310" s="41" t="n"/>
      <c r="N310" s="41" t="n"/>
      <c r="O310" s="41" t="n"/>
      <c r="P310" s="41" t="n"/>
      <c r="Q310" s="40" t="n"/>
      <c r="R310" s="38" t="n"/>
      <c r="S310" s="38" t="n"/>
      <c r="T310" s="39" t="n"/>
      <c r="U310" s="43" t="n"/>
      <c r="V310" s="44">
        <f>IFERROR(IF($A310="","",MAX($F310-$G310,0)),"")</f>
        <v/>
      </c>
      <c r="W310" s="45">
        <f>IFERROR(IF($A310="","",$H310+$I310),"")</f>
        <v/>
      </c>
      <c r="X310" s="45">
        <f>IFERROR(IF($A310="","",$H310*IF($J310="",'Assumptions'!$B$4,$J310)),"")</f>
        <v/>
      </c>
      <c r="Y310" s="45">
        <f>IFERROR(IF($A310="","",$X310*IF($K310="",'Assumptions'!$B$12,$K310)),"")</f>
        <v/>
      </c>
      <c r="Z310" s="45">
        <f>IFERROR(IF($A310="","",($X310+$Y310)*IF($L310="",'Assumptions'!$B$13,$L310)),"")</f>
        <v/>
      </c>
      <c r="AA310" s="45">
        <f>IFERROR(IF($A310="","",$X310+$Y310+$Z310),"")</f>
        <v/>
      </c>
      <c r="AB310" s="45">
        <f>IFERROR(IF($A310="","",$V310*'Assumptions'!$B$5),"")</f>
        <v/>
      </c>
      <c r="AC310" s="45">
        <f>IFERROR(IF($A310="","",$I310*'Assumptions'!$B$6),"")</f>
        <v/>
      </c>
      <c r="AD310" s="45">
        <f>IFERROR(IF($A310="","",$AB310+$AC310),"")</f>
        <v/>
      </c>
      <c r="AE310" s="45">
        <f>IFERROR(IF($A310="","",($M310+$N310)*'Assumptions'!$B$7),"")</f>
        <v/>
      </c>
      <c r="AF310" s="45">
        <f>IFERROR(IF($A310="","",($Q310/60)*'Assumptions'!$B$8),"")</f>
        <v/>
      </c>
      <c r="AG310" s="45">
        <f>IFERROR(IF($A310="","",$P310+$AE310+$AF310),"")</f>
        <v/>
      </c>
      <c r="AH310" s="45">
        <f>IFERROR(IF($A310="","",$M310+$O310),"")</f>
        <v/>
      </c>
      <c r="AI310" s="46">
        <f>IFERROR(IF($A310="","",IFERROR($AH310/$W310,0)),"")</f>
        <v/>
      </c>
      <c r="AJ310" s="45">
        <f>IFERROR(IF($A310="","",$W310-$AH310-$AD310+$AG310),"")</f>
        <v/>
      </c>
      <c r="AK310" s="47">
        <f>IFERROR(IF($A310="","",IF(OR($S310="Collected",$S310="Waived",$S310="Uncollectible",$S310="No Charge Due"),"",IF($T310="",$B310+'Assumptions'!$B$9,$T310+'Assumptions'!$B$9))),"")</f>
        <v/>
      </c>
      <c r="AL310" s="48">
        <f>IFERROR(IF($A310="","",IF(OR($S310="Collected",$S310="Waived",$S310="Uncollectible",$S310="No Charge Due"),"Closed",IF($AK310&lt;TODAY(),"Overdue",IF($AK310=TODAY(),"Due","Open")))),"")</f>
        <v/>
      </c>
      <c r="AM310" s="49">
        <f>IFERROR(IF($A310="","",IF(COUNTIF($A$5:$A$504,$A310)&gt;1,"Duplicate reservation ID",IF($C310&lt;=$B310,"Check stay dates",IF($G310&gt;$F310,"Resold nights exceed booked nights",IF($M310+$N310&gt;$AA310+0.01,"Collection exceeds expected amount",IF(AND($S310="Collected",$M310=0),"Collected status has no amount",IF($AJ310&gt;='Assumptions'!$B$10,"High-cost review","OK"))))))),"")</f>
        <v/>
      </c>
    </row>
    <row r="311">
      <c r="A311" s="38" t="n"/>
      <c r="B311" s="39" t="n"/>
      <c r="C311" s="39" t="n"/>
      <c r="D311" s="38" t="n"/>
      <c r="E311" s="38" t="n"/>
      <c r="F311" s="40" t="n"/>
      <c r="G311" s="40" t="n"/>
      <c r="H311" s="41" t="n"/>
      <c r="I311" s="41" t="n"/>
      <c r="J311" s="42" t="n"/>
      <c r="K311" s="42" t="n"/>
      <c r="L311" s="42" t="n"/>
      <c r="M311" s="41" t="n"/>
      <c r="N311" s="41" t="n"/>
      <c r="O311" s="41" t="n"/>
      <c r="P311" s="41" t="n"/>
      <c r="Q311" s="40" t="n"/>
      <c r="R311" s="38" t="n"/>
      <c r="S311" s="38" t="n"/>
      <c r="T311" s="39" t="n"/>
      <c r="U311" s="43" t="n"/>
      <c r="V311" s="44">
        <f>IFERROR(IF($A311="","",MAX($F311-$G311,0)),"")</f>
        <v/>
      </c>
      <c r="W311" s="45">
        <f>IFERROR(IF($A311="","",$H311+$I311),"")</f>
        <v/>
      </c>
      <c r="X311" s="45">
        <f>IFERROR(IF($A311="","",$H311*IF($J311="",'Assumptions'!$B$4,$J311)),"")</f>
        <v/>
      </c>
      <c r="Y311" s="45">
        <f>IFERROR(IF($A311="","",$X311*IF($K311="",'Assumptions'!$B$12,$K311)),"")</f>
        <v/>
      </c>
      <c r="Z311" s="45">
        <f>IFERROR(IF($A311="","",($X311+$Y311)*IF($L311="",'Assumptions'!$B$13,$L311)),"")</f>
        <v/>
      </c>
      <c r="AA311" s="45">
        <f>IFERROR(IF($A311="","",$X311+$Y311+$Z311),"")</f>
        <v/>
      </c>
      <c r="AB311" s="45">
        <f>IFERROR(IF($A311="","",$V311*'Assumptions'!$B$5),"")</f>
        <v/>
      </c>
      <c r="AC311" s="45">
        <f>IFERROR(IF($A311="","",$I311*'Assumptions'!$B$6),"")</f>
        <v/>
      </c>
      <c r="AD311" s="45">
        <f>IFERROR(IF($A311="","",$AB311+$AC311),"")</f>
        <v/>
      </c>
      <c r="AE311" s="45">
        <f>IFERROR(IF($A311="","",($M311+$N311)*'Assumptions'!$B$7),"")</f>
        <v/>
      </c>
      <c r="AF311" s="45">
        <f>IFERROR(IF($A311="","",($Q311/60)*'Assumptions'!$B$8),"")</f>
        <v/>
      </c>
      <c r="AG311" s="45">
        <f>IFERROR(IF($A311="","",$P311+$AE311+$AF311),"")</f>
        <v/>
      </c>
      <c r="AH311" s="45">
        <f>IFERROR(IF($A311="","",$M311+$O311),"")</f>
        <v/>
      </c>
      <c r="AI311" s="46">
        <f>IFERROR(IF($A311="","",IFERROR($AH311/$W311,0)),"")</f>
        <v/>
      </c>
      <c r="AJ311" s="45">
        <f>IFERROR(IF($A311="","",$W311-$AH311-$AD311+$AG311),"")</f>
        <v/>
      </c>
      <c r="AK311" s="47">
        <f>IFERROR(IF($A311="","",IF(OR($S311="Collected",$S311="Waived",$S311="Uncollectible",$S311="No Charge Due"),"",IF($T311="",$B311+'Assumptions'!$B$9,$T311+'Assumptions'!$B$9))),"")</f>
        <v/>
      </c>
      <c r="AL311" s="48">
        <f>IFERROR(IF($A311="","",IF(OR($S311="Collected",$S311="Waived",$S311="Uncollectible",$S311="No Charge Due"),"Closed",IF($AK311&lt;TODAY(),"Overdue",IF($AK311=TODAY(),"Due","Open")))),"")</f>
        <v/>
      </c>
      <c r="AM311" s="49">
        <f>IFERROR(IF($A311="","",IF(COUNTIF($A$5:$A$504,$A311)&gt;1,"Duplicate reservation ID",IF($C311&lt;=$B311,"Check stay dates",IF($G311&gt;$F311,"Resold nights exceed booked nights",IF($M311+$N311&gt;$AA311+0.01,"Collection exceeds expected amount",IF(AND($S311="Collected",$M311=0),"Collected status has no amount",IF($AJ311&gt;='Assumptions'!$B$10,"High-cost review","OK"))))))),"")</f>
        <v/>
      </c>
    </row>
    <row r="312">
      <c r="A312" s="38" t="n"/>
      <c r="B312" s="39" t="n"/>
      <c r="C312" s="39" t="n"/>
      <c r="D312" s="38" t="n"/>
      <c r="E312" s="38" t="n"/>
      <c r="F312" s="40" t="n"/>
      <c r="G312" s="40" t="n"/>
      <c r="H312" s="41" t="n"/>
      <c r="I312" s="41" t="n"/>
      <c r="J312" s="42" t="n"/>
      <c r="K312" s="42" t="n"/>
      <c r="L312" s="42" t="n"/>
      <c r="M312" s="41" t="n"/>
      <c r="N312" s="41" t="n"/>
      <c r="O312" s="41" t="n"/>
      <c r="P312" s="41" t="n"/>
      <c r="Q312" s="40" t="n"/>
      <c r="R312" s="38" t="n"/>
      <c r="S312" s="38" t="n"/>
      <c r="T312" s="39" t="n"/>
      <c r="U312" s="43" t="n"/>
      <c r="V312" s="44">
        <f>IFERROR(IF($A312="","",MAX($F312-$G312,0)),"")</f>
        <v/>
      </c>
      <c r="W312" s="45">
        <f>IFERROR(IF($A312="","",$H312+$I312),"")</f>
        <v/>
      </c>
      <c r="X312" s="45">
        <f>IFERROR(IF($A312="","",$H312*IF($J312="",'Assumptions'!$B$4,$J312)),"")</f>
        <v/>
      </c>
      <c r="Y312" s="45">
        <f>IFERROR(IF($A312="","",$X312*IF($K312="",'Assumptions'!$B$12,$K312)),"")</f>
        <v/>
      </c>
      <c r="Z312" s="45">
        <f>IFERROR(IF($A312="","",($X312+$Y312)*IF($L312="",'Assumptions'!$B$13,$L312)),"")</f>
        <v/>
      </c>
      <c r="AA312" s="45">
        <f>IFERROR(IF($A312="","",$X312+$Y312+$Z312),"")</f>
        <v/>
      </c>
      <c r="AB312" s="45">
        <f>IFERROR(IF($A312="","",$V312*'Assumptions'!$B$5),"")</f>
        <v/>
      </c>
      <c r="AC312" s="45">
        <f>IFERROR(IF($A312="","",$I312*'Assumptions'!$B$6),"")</f>
        <v/>
      </c>
      <c r="AD312" s="45">
        <f>IFERROR(IF($A312="","",$AB312+$AC312),"")</f>
        <v/>
      </c>
      <c r="AE312" s="45">
        <f>IFERROR(IF($A312="","",($M312+$N312)*'Assumptions'!$B$7),"")</f>
        <v/>
      </c>
      <c r="AF312" s="45">
        <f>IFERROR(IF($A312="","",($Q312/60)*'Assumptions'!$B$8),"")</f>
        <v/>
      </c>
      <c r="AG312" s="45">
        <f>IFERROR(IF($A312="","",$P312+$AE312+$AF312),"")</f>
        <v/>
      </c>
      <c r="AH312" s="45">
        <f>IFERROR(IF($A312="","",$M312+$O312),"")</f>
        <v/>
      </c>
      <c r="AI312" s="46">
        <f>IFERROR(IF($A312="","",IFERROR($AH312/$W312,0)),"")</f>
        <v/>
      </c>
      <c r="AJ312" s="45">
        <f>IFERROR(IF($A312="","",$W312-$AH312-$AD312+$AG312),"")</f>
        <v/>
      </c>
      <c r="AK312" s="47">
        <f>IFERROR(IF($A312="","",IF(OR($S312="Collected",$S312="Waived",$S312="Uncollectible",$S312="No Charge Due"),"",IF($T312="",$B312+'Assumptions'!$B$9,$T312+'Assumptions'!$B$9))),"")</f>
        <v/>
      </c>
      <c r="AL312" s="48">
        <f>IFERROR(IF($A312="","",IF(OR($S312="Collected",$S312="Waived",$S312="Uncollectible",$S312="No Charge Due"),"Closed",IF($AK312&lt;TODAY(),"Overdue",IF($AK312=TODAY(),"Due","Open")))),"")</f>
        <v/>
      </c>
      <c r="AM312" s="49">
        <f>IFERROR(IF($A312="","",IF(COUNTIF($A$5:$A$504,$A312)&gt;1,"Duplicate reservation ID",IF($C312&lt;=$B312,"Check stay dates",IF($G312&gt;$F312,"Resold nights exceed booked nights",IF($M312+$N312&gt;$AA312+0.01,"Collection exceeds expected amount",IF(AND($S312="Collected",$M312=0),"Collected status has no amount",IF($AJ312&gt;='Assumptions'!$B$10,"High-cost review","OK"))))))),"")</f>
        <v/>
      </c>
    </row>
    <row r="313">
      <c r="A313" s="38" t="n"/>
      <c r="B313" s="39" t="n"/>
      <c r="C313" s="39" t="n"/>
      <c r="D313" s="38" t="n"/>
      <c r="E313" s="38" t="n"/>
      <c r="F313" s="40" t="n"/>
      <c r="G313" s="40" t="n"/>
      <c r="H313" s="41" t="n"/>
      <c r="I313" s="41" t="n"/>
      <c r="J313" s="42" t="n"/>
      <c r="K313" s="42" t="n"/>
      <c r="L313" s="42" t="n"/>
      <c r="M313" s="41" t="n"/>
      <c r="N313" s="41" t="n"/>
      <c r="O313" s="41" t="n"/>
      <c r="P313" s="41" t="n"/>
      <c r="Q313" s="40" t="n"/>
      <c r="R313" s="38" t="n"/>
      <c r="S313" s="38" t="n"/>
      <c r="T313" s="39" t="n"/>
      <c r="U313" s="43" t="n"/>
      <c r="V313" s="44">
        <f>IFERROR(IF($A313="","",MAX($F313-$G313,0)),"")</f>
        <v/>
      </c>
      <c r="W313" s="45">
        <f>IFERROR(IF($A313="","",$H313+$I313),"")</f>
        <v/>
      </c>
      <c r="X313" s="45">
        <f>IFERROR(IF($A313="","",$H313*IF($J313="",'Assumptions'!$B$4,$J313)),"")</f>
        <v/>
      </c>
      <c r="Y313" s="45">
        <f>IFERROR(IF($A313="","",$X313*IF($K313="",'Assumptions'!$B$12,$K313)),"")</f>
        <v/>
      </c>
      <c r="Z313" s="45">
        <f>IFERROR(IF($A313="","",($X313+$Y313)*IF($L313="",'Assumptions'!$B$13,$L313)),"")</f>
        <v/>
      </c>
      <c r="AA313" s="45">
        <f>IFERROR(IF($A313="","",$X313+$Y313+$Z313),"")</f>
        <v/>
      </c>
      <c r="AB313" s="45">
        <f>IFERROR(IF($A313="","",$V313*'Assumptions'!$B$5),"")</f>
        <v/>
      </c>
      <c r="AC313" s="45">
        <f>IFERROR(IF($A313="","",$I313*'Assumptions'!$B$6),"")</f>
        <v/>
      </c>
      <c r="AD313" s="45">
        <f>IFERROR(IF($A313="","",$AB313+$AC313),"")</f>
        <v/>
      </c>
      <c r="AE313" s="45">
        <f>IFERROR(IF($A313="","",($M313+$N313)*'Assumptions'!$B$7),"")</f>
        <v/>
      </c>
      <c r="AF313" s="45">
        <f>IFERROR(IF($A313="","",($Q313/60)*'Assumptions'!$B$8),"")</f>
        <v/>
      </c>
      <c r="AG313" s="45">
        <f>IFERROR(IF($A313="","",$P313+$AE313+$AF313),"")</f>
        <v/>
      </c>
      <c r="AH313" s="45">
        <f>IFERROR(IF($A313="","",$M313+$O313),"")</f>
        <v/>
      </c>
      <c r="AI313" s="46">
        <f>IFERROR(IF($A313="","",IFERROR($AH313/$W313,0)),"")</f>
        <v/>
      </c>
      <c r="AJ313" s="45">
        <f>IFERROR(IF($A313="","",$W313-$AH313-$AD313+$AG313),"")</f>
        <v/>
      </c>
      <c r="AK313" s="47">
        <f>IFERROR(IF($A313="","",IF(OR($S313="Collected",$S313="Waived",$S313="Uncollectible",$S313="No Charge Due"),"",IF($T313="",$B313+'Assumptions'!$B$9,$T313+'Assumptions'!$B$9))),"")</f>
        <v/>
      </c>
      <c r="AL313" s="48">
        <f>IFERROR(IF($A313="","",IF(OR($S313="Collected",$S313="Waived",$S313="Uncollectible",$S313="No Charge Due"),"Closed",IF($AK313&lt;TODAY(),"Overdue",IF($AK313=TODAY(),"Due","Open")))),"")</f>
        <v/>
      </c>
      <c r="AM313" s="49">
        <f>IFERROR(IF($A313="","",IF(COUNTIF($A$5:$A$504,$A313)&gt;1,"Duplicate reservation ID",IF($C313&lt;=$B313,"Check stay dates",IF($G313&gt;$F313,"Resold nights exceed booked nights",IF($M313+$N313&gt;$AA313+0.01,"Collection exceeds expected amount",IF(AND($S313="Collected",$M313=0),"Collected status has no amount",IF($AJ313&gt;='Assumptions'!$B$10,"High-cost review","OK"))))))),"")</f>
        <v/>
      </c>
    </row>
    <row r="314">
      <c r="A314" s="38" t="n"/>
      <c r="B314" s="39" t="n"/>
      <c r="C314" s="39" t="n"/>
      <c r="D314" s="38" t="n"/>
      <c r="E314" s="38" t="n"/>
      <c r="F314" s="40" t="n"/>
      <c r="G314" s="40" t="n"/>
      <c r="H314" s="41" t="n"/>
      <c r="I314" s="41" t="n"/>
      <c r="J314" s="42" t="n"/>
      <c r="K314" s="42" t="n"/>
      <c r="L314" s="42" t="n"/>
      <c r="M314" s="41" t="n"/>
      <c r="N314" s="41" t="n"/>
      <c r="O314" s="41" t="n"/>
      <c r="P314" s="41" t="n"/>
      <c r="Q314" s="40" t="n"/>
      <c r="R314" s="38" t="n"/>
      <c r="S314" s="38" t="n"/>
      <c r="T314" s="39" t="n"/>
      <c r="U314" s="43" t="n"/>
      <c r="V314" s="44">
        <f>IFERROR(IF($A314="","",MAX($F314-$G314,0)),"")</f>
        <v/>
      </c>
      <c r="W314" s="45">
        <f>IFERROR(IF($A314="","",$H314+$I314),"")</f>
        <v/>
      </c>
      <c r="X314" s="45">
        <f>IFERROR(IF($A314="","",$H314*IF($J314="",'Assumptions'!$B$4,$J314)),"")</f>
        <v/>
      </c>
      <c r="Y314" s="45">
        <f>IFERROR(IF($A314="","",$X314*IF($K314="",'Assumptions'!$B$12,$K314)),"")</f>
        <v/>
      </c>
      <c r="Z314" s="45">
        <f>IFERROR(IF($A314="","",($X314+$Y314)*IF($L314="",'Assumptions'!$B$13,$L314)),"")</f>
        <v/>
      </c>
      <c r="AA314" s="45">
        <f>IFERROR(IF($A314="","",$X314+$Y314+$Z314),"")</f>
        <v/>
      </c>
      <c r="AB314" s="45">
        <f>IFERROR(IF($A314="","",$V314*'Assumptions'!$B$5),"")</f>
        <v/>
      </c>
      <c r="AC314" s="45">
        <f>IFERROR(IF($A314="","",$I314*'Assumptions'!$B$6),"")</f>
        <v/>
      </c>
      <c r="AD314" s="45">
        <f>IFERROR(IF($A314="","",$AB314+$AC314),"")</f>
        <v/>
      </c>
      <c r="AE314" s="45">
        <f>IFERROR(IF($A314="","",($M314+$N314)*'Assumptions'!$B$7),"")</f>
        <v/>
      </c>
      <c r="AF314" s="45">
        <f>IFERROR(IF($A314="","",($Q314/60)*'Assumptions'!$B$8),"")</f>
        <v/>
      </c>
      <c r="AG314" s="45">
        <f>IFERROR(IF($A314="","",$P314+$AE314+$AF314),"")</f>
        <v/>
      </c>
      <c r="AH314" s="45">
        <f>IFERROR(IF($A314="","",$M314+$O314),"")</f>
        <v/>
      </c>
      <c r="AI314" s="46">
        <f>IFERROR(IF($A314="","",IFERROR($AH314/$W314,0)),"")</f>
        <v/>
      </c>
      <c r="AJ314" s="45">
        <f>IFERROR(IF($A314="","",$W314-$AH314-$AD314+$AG314),"")</f>
        <v/>
      </c>
      <c r="AK314" s="47">
        <f>IFERROR(IF($A314="","",IF(OR($S314="Collected",$S314="Waived",$S314="Uncollectible",$S314="No Charge Due"),"",IF($T314="",$B314+'Assumptions'!$B$9,$T314+'Assumptions'!$B$9))),"")</f>
        <v/>
      </c>
      <c r="AL314" s="48">
        <f>IFERROR(IF($A314="","",IF(OR($S314="Collected",$S314="Waived",$S314="Uncollectible",$S314="No Charge Due"),"Closed",IF($AK314&lt;TODAY(),"Overdue",IF($AK314=TODAY(),"Due","Open")))),"")</f>
        <v/>
      </c>
      <c r="AM314" s="49">
        <f>IFERROR(IF($A314="","",IF(COUNTIF($A$5:$A$504,$A314)&gt;1,"Duplicate reservation ID",IF($C314&lt;=$B314,"Check stay dates",IF($G314&gt;$F314,"Resold nights exceed booked nights",IF($M314+$N314&gt;$AA314+0.01,"Collection exceeds expected amount",IF(AND($S314="Collected",$M314=0),"Collected status has no amount",IF($AJ314&gt;='Assumptions'!$B$10,"High-cost review","OK"))))))),"")</f>
        <v/>
      </c>
    </row>
    <row r="315">
      <c r="A315" s="38" t="n"/>
      <c r="B315" s="39" t="n"/>
      <c r="C315" s="39" t="n"/>
      <c r="D315" s="38" t="n"/>
      <c r="E315" s="38" t="n"/>
      <c r="F315" s="40" t="n"/>
      <c r="G315" s="40" t="n"/>
      <c r="H315" s="41" t="n"/>
      <c r="I315" s="41" t="n"/>
      <c r="J315" s="42" t="n"/>
      <c r="K315" s="42" t="n"/>
      <c r="L315" s="42" t="n"/>
      <c r="M315" s="41" t="n"/>
      <c r="N315" s="41" t="n"/>
      <c r="O315" s="41" t="n"/>
      <c r="P315" s="41" t="n"/>
      <c r="Q315" s="40" t="n"/>
      <c r="R315" s="38" t="n"/>
      <c r="S315" s="38" t="n"/>
      <c r="T315" s="39" t="n"/>
      <c r="U315" s="43" t="n"/>
      <c r="V315" s="44">
        <f>IFERROR(IF($A315="","",MAX($F315-$G315,0)),"")</f>
        <v/>
      </c>
      <c r="W315" s="45">
        <f>IFERROR(IF($A315="","",$H315+$I315),"")</f>
        <v/>
      </c>
      <c r="X315" s="45">
        <f>IFERROR(IF($A315="","",$H315*IF($J315="",'Assumptions'!$B$4,$J315)),"")</f>
        <v/>
      </c>
      <c r="Y315" s="45">
        <f>IFERROR(IF($A315="","",$X315*IF($K315="",'Assumptions'!$B$12,$K315)),"")</f>
        <v/>
      </c>
      <c r="Z315" s="45">
        <f>IFERROR(IF($A315="","",($X315+$Y315)*IF($L315="",'Assumptions'!$B$13,$L315)),"")</f>
        <v/>
      </c>
      <c r="AA315" s="45">
        <f>IFERROR(IF($A315="","",$X315+$Y315+$Z315),"")</f>
        <v/>
      </c>
      <c r="AB315" s="45">
        <f>IFERROR(IF($A315="","",$V315*'Assumptions'!$B$5),"")</f>
        <v/>
      </c>
      <c r="AC315" s="45">
        <f>IFERROR(IF($A315="","",$I315*'Assumptions'!$B$6),"")</f>
        <v/>
      </c>
      <c r="AD315" s="45">
        <f>IFERROR(IF($A315="","",$AB315+$AC315),"")</f>
        <v/>
      </c>
      <c r="AE315" s="45">
        <f>IFERROR(IF($A315="","",($M315+$N315)*'Assumptions'!$B$7),"")</f>
        <v/>
      </c>
      <c r="AF315" s="45">
        <f>IFERROR(IF($A315="","",($Q315/60)*'Assumptions'!$B$8),"")</f>
        <v/>
      </c>
      <c r="AG315" s="45">
        <f>IFERROR(IF($A315="","",$P315+$AE315+$AF315),"")</f>
        <v/>
      </c>
      <c r="AH315" s="45">
        <f>IFERROR(IF($A315="","",$M315+$O315),"")</f>
        <v/>
      </c>
      <c r="AI315" s="46">
        <f>IFERROR(IF($A315="","",IFERROR($AH315/$W315,0)),"")</f>
        <v/>
      </c>
      <c r="AJ315" s="45">
        <f>IFERROR(IF($A315="","",$W315-$AH315-$AD315+$AG315),"")</f>
        <v/>
      </c>
      <c r="AK315" s="47">
        <f>IFERROR(IF($A315="","",IF(OR($S315="Collected",$S315="Waived",$S315="Uncollectible",$S315="No Charge Due"),"",IF($T315="",$B315+'Assumptions'!$B$9,$T315+'Assumptions'!$B$9))),"")</f>
        <v/>
      </c>
      <c r="AL315" s="48">
        <f>IFERROR(IF($A315="","",IF(OR($S315="Collected",$S315="Waived",$S315="Uncollectible",$S315="No Charge Due"),"Closed",IF($AK315&lt;TODAY(),"Overdue",IF($AK315=TODAY(),"Due","Open")))),"")</f>
        <v/>
      </c>
      <c r="AM315" s="49">
        <f>IFERROR(IF($A315="","",IF(COUNTIF($A$5:$A$504,$A315)&gt;1,"Duplicate reservation ID",IF($C315&lt;=$B315,"Check stay dates",IF($G315&gt;$F315,"Resold nights exceed booked nights",IF($M315+$N315&gt;$AA315+0.01,"Collection exceeds expected amount",IF(AND($S315="Collected",$M315=0),"Collected status has no amount",IF($AJ315&gt;='Assumptions'!$B$10,"High-cost review","OK"))))))),"")</f>
        <v/>
      </c>
    </row>
    <row r="316">
      <c r="A316" s="38" t="n"/>
      <c r="B316" s="39" t="n"/>
      <c r="C316" s="39" t="n"/>
      <c r="D316" s="38" t="n"/>
      <c r="E316" s="38" t="n"/>
      <c r="F316" s="40" t="n"/>
      <c r="G316" s="40" t="n"/>
      <c r="H316" s="41" t="n"/>
      <c r="I316" s="41" t="n"/>
      <c r="J316" s="42" t="n"/>
      <c r="K316" s="42" t="n"/>
      <c r="L316" s="42" t="n"/>
      <c r="M316" s="41" t="n"/>
      <c r="N316" s="41" t="n"/>
      <c r="O316" s="41" t="n"/>
      <c r="P316" s="41" t="n"/>
      <c r="Q316" s="40" t="n"/>
      <c r="R316" s="38" t="n"/>
      <c r="S316" s="38" t="n"/>
      <c r="T316" s="39" t="n"/>
      <c r="U316" s="43" t="n"/>
      <c r="V316" s="44">
        <f>IFERROR(IF($A316="","",MAX($F316-$G316,0)),"")</f>
        <v/>
      </c>
      <c r="W316" s="45">
        <f>IFERROR(IF($A316="","",$H316+$I316),"")</f>
        <v/>
      </c>
      <c r="X316" s="45">
        <f>IFERROR(IF($A316="","",$H316*IF($J316="",'Assumptions'!$B$4,$J316)),"")</f>
        <v/>
      </c>
      <c r="Y316" s="45">
        <f>IFERROR(IF($A316="","",$X316*IF($K316="",'Assumptions'!$B$12,$K316)),"")</f>
        <v/>
      </c>
      <c r="Z316" s="45">
        <f>IFERROR(IF($A316="","",($X316+$Y316)*IF($L316="",'Assumptions'!$B$13,$L316)),"")</f>
        <v/>
      </c>
      <c r="AA316" s="45">
        <f>IFERROR(IF($A316="","",$X316+$Y316+$Z316),"")</f>
        <v/>
      </c>
      <c r="AB316" s="45">
        <f>IFERROR(IF($A316="","",$V316*'Assumptions'!$B$5),"")</f>
        <v/>
      </c>
      <c r="AC316" s="45">
        <f>IFERROR(IF($A316="","",$I316*'Assumptions'!$B$6),"")</f>
        <v/>
      </c>
      <c r="AD316" s="45">
        <f>IFERROR(IF($A316="","",$AB316+$AC316),"")</f>
        <v/>
      </c>
      <c r="AE316" s="45">
        <f>IFERROR(IF($A316="","",($M316+$N316)*'Assumptions'!$B$7),"")</f>
        <v/>
      </c>
      <c r="AF316" s="45">
        <f>IFERROR(IF($A316="","",($Q316/60)*'Assumptions'!$B$8),"")</f>
        <v/>
      </c>
      <c r="AG316" s="45">
        <f>IFERROR(IF($A316="","",$P316+$AE316+$AF316),"")</f>
        <v/>
      </c>
      <c r="AH316" s="45">
        <f>IFERROR(IF($A316="","",$M316+$O316),"")</f>
        <v/>
      </c>
      <c r="AI316" s="46">
        <f>IFERROR(IF($A316="","",IFERROR($AH316/$W316,0)),"")</f>
        <v/>
      </c>
      <c r="AJ316" s="45">
        <f>IFERROR(IF($A316="","",$W316-$AH316-$AD316+$AG316),"")</f>
        <v/>
      </c>
      <c r="AK316" s="47">
        <f>IFERROR(IF($A316="","",IF(OR($S316="Collected",$S316="Waived",$S316="Uncollectible",$S316="No Charge Due"),"",IF($T316="",$B316+'Assumptions'!$B$9,$T316+'Assumptions'!$B$9))),"")</f>
        <v/>
      </c>
      <c r="AL316" s="48">
        <f>IFERROR(IF($A316="","",IF(OR($S316="Collected",$S316="Waived",$S316="Uncollectible",$S316="No Charge Due"),"Closed",IF($AK316&lt;TODAY(),"Overdue",IF($AK316=TODAY(),"Due","Open")))),"")</f>
        <v/>
      </c>
      <c r="AM316" s="49">
        <f>IFERROR(IF($A316="","",IF(COUNTIF($A$5:$A$504,$A316)&gt;1,"Duplicate reservation ID",IF($C316&lt;=$B316,"Check stay dates",IF($G316&gt;$F316,"Resold nights exceed booked nights",IF($M316+$N316&gt;$AA316+0.01,"Collection exceeds expected amount",IF(AND($S316="Collected",$M316=0),"Collected status has no amount",IF($AJ316&gt;='Assumptions'!$B$10,"High-cost review","OK"))))))),"")</f>
        <v/>
      </c>
    </row>
    <row r="317">
      <c r="A317" s="38" t="n"/>
      <c r="B317" s="39" t="n"/>
      <c r="C317" s="39" t="n"/>
      <c r="D317" s="38" t="n"/>
      <c r="E317" s="38" t="n"/>
      <c r="F317" s="40" t="n"/>
      <c r="G317" s="40" t="n"/>
      <c r="H317" s="41" t="n"/>
      <c r="I317" s="41" t="n"/>
      <c r="J317" s="42" t="n"/>
      <c r="K317" s="42" t="n"/>
      <c r="L317" s="42" t="n"/>
      <c r="M317" s="41" t="n"/>
      <c r="N317" s="41" t="n"/>
      <c r="O317" s="41" t="n"/>
      <c r="P317" s="41" t="n"/>
      <c r="Q317" s="40" t="n"/>
      <c r="R317" s="38" t="n"/>
      <c r="S317" s="38" t="n"/>
      <c r="T317" s="39" t="n"/>
      <c r="U317" s="43" t="n"/>
      <c r="V317" s="44">
        <f>IFERROR(IF($A317="","",MAX($F317-$G317,0)),"")</f>
        <v/>
      </c>
      <c r="W317" s="45">
        <f>IFERROR(IF($A317="","",$H317+$I317),"")</f>
        <v/>
      </c>
      <c r="X317" s="45">
        <f>IFERROR(IF($A317="","",$H317*IF($J317="",'Assumptions'!$B$4,$J317)),"")</f>
        <v/>
      </c>
      <c r="Y317" s="45">
        <f>IFERROR(IF($A317="","",$X317*IF($K317="",'Assumptions'!$B$12,$K317)),"")</f>
        <v/>
      </c>
      <c r="Z317" s="45">
        <f>IFERROR(IF($A317="","",($X317+$Y317)*IF($L317="",'Assumptions'!$B$13,$L317)),"")</f>
        <v/>
      </c>
      <c r="AA317" s="45">
        <f>IFERROR(IF($A317="","",$X317+$Y317+$Z317),"")</f>
        <v/>
      </c>
      <c r="AB317" s="45">
        <f>IFERROR(IF($A317="","",$V317*'Assumptions'!$B$5),"")</f>
        <v/>
      </c>
      <c r="AC317" s="45">
        <f>IFERROR(IF($A317="","",$I317*'Assumptions'!$B$6),"")</f>
        <v/>
      </c>
      <c r="AD317" s="45">
        <f>IFERROR(IF($A317="","",$AB317+$AC317),"")</f>
        <v/>
      </c>
      <c r="AE317" s="45">
        <f>IFERROR(IF($A317="","",($M317+$N317)*'Assumptions'!$B$7),"")</f>
        <v/>
      </c>
      <c r="AF317" s="45">
        <f>IFERROR(IF($A317="","",($Q317/60)*'Assumptions'!$B$8),"")</f>
        <v/>
      </c>
      <c r="AG317" s="45">
        <f>IFERROR(IF($A317="","",$P317+$AE317+$AF317),"")</f>
        <v/>
      </c>
      <c r="AH317" s="45">
        <f>IFERROR(IF($A317="","",$M317+$O317),"")</f>
        <v/>
      </c>
      <c r="AI317" s="46">
        <f>IFERROR(IF($A317="","",IFERROR($AH317/$W317,0)),"")</f>
        <v/>
      </c>
      <c r="AJ317" s="45">
        <f>IFERROR(IF($A317="","",$W317-$AH317-$AD317+$AG317),"")</f>
        <v/>
      </c>
      <c r="AK317" s="47">
        <f>IFERROR(IF($A317="","",IF(OR($S317="Collected",$S317="Waived",$S317="Uncollectible",$S317="No Charge Due"),"",IF($T317="",$B317+'Assumptions'!$B$9,$T317+'Assumptions'!$B$9))),"")</f>
        <v/>
      </c>
      <c r="AL317" s="48">
        <f>IFERROR(IF($A317="","",IF(OR($S317="Collected",$S317="Waived",$S317="Uncollectible",$S317="No Charge Due"),"Closed",IF($AK317&lt;TODAY(),"Overdue",IF($AK317=TODAY(),"Due","Open")))),"")</f>
        <v/>
      </c>
      <c r="AM317" s="49">
        <f>IFERROR(IF($A317="","",IF(COUNTIF($A$5:$A$504,$A317)&gt;1,"Duplicate reservation ID",IF($C317&lt;=$B317,"Check stay dates",IF($G317&gt;$F317,"Resold nights exceed booked nights",IF($M317+$N317&gt;$AA317+0.01,"Collection exceeds expected amount",IF(AND($S317="Collected",$M317=0),"Collected status has no amount",IF($AJ317&gt;='Assumptions'!$B$10,"High-cost review","OK"))))))),"")</f>
        <v/>
      </c>
    </row>
    <row r="318">
      <c r="A318" s="38" t="n"/>
      <c r="B318" s="39" t="n"/>
      <c r="C318" s="39" t="n"/>
      <c r="D318" s="38" t="n"/>
      <c r="E318" s="38" t="n"/>
      <c r="F318" s="40" t="n"/>
      <c r="G318" s="40" t="n"/>
      <c r="H318" s="41" t="n"/>
      <c r="I318" s="41" t="n"/>
      <c r="J318" s="42" t="n"/>
      <c r="K318" s="42" t="n"/>
      <c r="L318" s="42" t="n"/>
      <c r="M318" s="41" t="n"/>
      <c r="N318" s="41" t="n"/>
      <c r="O318" s="41" t="n"/>
      <c r="P318" s="41" t="n"/>
      <c r="Q318" s="40" t="n"/>
      <c r="R318" s="38" t="n"/>
      <c r="S318" s="38" t="n"/>
      <c r="T318" s="39" t="n"/>
      <c r="U318" s="43" t="n"/>
      <c r="V318" s="44">
        <f>IFERROR(IF($A318="","",MAX($F318-$G318,0)),"")</f>
        <v/>
      </c>
      <c r="W318" s="45">
        <f>IFERROR(IF($A318="","",$H318+$I318),"")</f>
        <v/>
      </c>
      <c r="X318" s="45">
        <f>IFERROR(IF($A318="","",$H318*IF($J318="",'Assumptions'!$B$4,$J318)),"")</f>
        <v/>
      </c>
      <c r="Y318" s="45">
        <f>IFERROR(IF($A318="","",$X318*IF($K318="",'Assumptions'!$B$12,$K318)),"")</f>
        <v/>
      </c>
      <c r="Z318" s="45">
        <f>IFERROR(IF($A318="","",($X318+$Y318)*IF($L318="",'Assumptions'!$B$13,$L318)),"")</f>
        <v/>
      </c>
      <c r="AA318" s="45">
        <f>IFERROR(IF($A318="","",$X318+$Y318+$Z318),"")</f>
        <v/>
      </c>
      <c r="AB318" s="45">
        <f>IFERROR(IF($A318="","",$V318*'Assumptions'!$B$5),"")</f>
        <v/>
      </c>
      <c r="AC318" s="45">
        <f>IFERROR(IF($A318="","",$I318*'Assumptions'!$B$6),"")</f>
        <v/>
      </c>
      <c r="AD318" s="45">
        <f>IFERROR(IF($A318="","",$AB318+$AC318),"")</f>
        <v/>
      </c>
      <c r="AE318" s="45">
        <f>IFERROR(IF($A318="","",($M318+$N318)*'Assumptions'!$B$7),"")</f>
        <v/>
      </c>
      <c r="AF318" s="45">
        <f>IFERROR(IF($A318="","",($Q318/60)*'Assumptions'!$B$8),"")</f>
        <v/>
      </c>
      <c r="AG318" s="45">
        <f>IFERROR(IF($A318="","",$P318+$AE318+$AF318),"")</f>
        <v/>
      </c>
      <c r="AH318" s="45">
        <f>IFERROR(IF($A318="","",$M318+$O318),"")</f>
        <v/>
      </c>
      <c r="AI318" s="46">
        <f>IFERROR(IF($A318="","",IFERROR($AH318/$W318,0)),"")</f>
        <v/>
      </c>
      <c r="AJ318" s="45">
        <f>IFERROR(IF($A318="","",$W318-$AH318-$AD318+$AG318),"")</f>
        <v/>
      </c>
      <c r="AK318" s="47">
        <f>IFERROR(IF($A318="","",IF(OR($S318="Collected",$S318="Waived",$S318="Uncollectible",$S318="No Charge Due"),"",IF($T318="",$B318+'Assumptions'!$B$9,$T318+'Assumptions'!$B$9))),"")</f>
        <v/>
      </c>
      <c r="AL318" s="48">
        <f>IFERROR(IF($A318="","",IF(OR($S318="Collected",$S318="Waived",$S318="Uncollectible",$S318="No Charge Due"),"Closed",IF($AK318&lt;TODAY(),"Overdue",IF($AK318=TODAY(),"Due","Open")))),"")</f>
        <v/>
      </c>
      <c r="AM318" s="49">
        <f>IFERROR(IF($A318="","",IF(COUNTIF($A$5:$A$504,$A318)&gt;1,"Duplicate reservation ID",IF($C318&lt;=$B318,"Check stay dates",IF($G318&gt;$F318,"Resold nights exceed booked nights",IF($M318+$N318&gt;$AA318+0.01,"Collection exceeds expected amount",IF(AND($S318="Collected",$M318=0),"Collected status has no amount",IF($AJ318&gt;='Assumptions'!$B$10,"High-cost review","OK"))))))),"")</f>
        <v/>
      </c>
    </row>
    <row r="319">
      <c r="A319" s="38" t="n"/>
      <c r="B319" s="39" t="n"/>
      <c r="C319" s="39" t="n"/>
      <c r="D319" s="38" t="n"/>
      <c r="E319" s="38" t="n"/>
      <c r="F319" s="40" t="n"/>
      <c r="G319" s="40" t="n"/>
      <c r="H319" s="41" t="n"/>
      <c r="I319" s="41" t="n"/>
      <c r="J319" s="42" t="n"/>
      <c r="K319" s="42" t="n"/>
      <c r="L319" s="42" t="n"/>
      <c r="M319" s="41" t="n"/>
      <c r="N319" s="41" t="n"/>
      <c r="O319" s="41" t="n"/>
      <c r="P319" s="41" t="n"/>
      <c r="Q319" s="40" t="n"/>
      <c r="R319" s="38" t="n"/>
      <c r="S319" s="38" t="n"/>
      <c r="T319" s="39" t="n"/>
      <c r="U319" s="43" t="n"/>
      <c r="V319" s="44">
        <f>IFERROR(IF($A319="","",MAX($F319-$G319,0)),"")</f>
        <v/>
      </c>
      <c r="W319" s="45">
        <f>IFERROR(IF($A319="","",$H319+$I319),"")</f>
        <v/>
      </c>
      <c r="X319" s="45">
        <f>IFERROR(IF($A319="","",$H319*IF($J319="",'Assumptions'!$B$4,$J319)),"")</f>
        <v/>
      </c>
      <c r="Y319" s="45">
        <f>IFERROR(IF($A319="","",$X319*IF($K319="",'Assumptions'!$B$12,$K319)),"")</f>
        <v/>
      </c>
      <c r="Z319" s="45">
        <f>IFERROR(IF($A319="","",($X319+$Y319)*IF($L319="",'Assumptions'!$B$13,$L319)),"")</f>
        <v/>
      </c>
      <c r="AA319" s="45">
        <f>IFERROR(IF($A319="","",$X319+$Y319+$Z319),"")</f>
        <v/>
      </c>
      <c r="AB319" s="45">
        <f>IFERROR(IF($A319="","",$V319*'Assumptions'!$B$5),"")</f>
        <v/>
      </c>
      <c r="AC319" s="45">
        <f>IFERROR(IF($A319="","",$I319*'Assumptions'!$B$6),"")</f>
        <v/>
      </c>
      <c r="AD319" s="45">
        <f>IFERROR(IF($A319="","",$AB319+$AC319),"")</f>
        <v/>
      </c>
      <c r="AE319" s="45">
        <f>IFERROR(IF($A319="","",($M319+$N319)*'Assumptions'!$B$7),"")</f>
        <v/>
      </c>
      <c r="AF319" s="45">
        <f>IFERROR(IF($A319="","",($Q319/60)*'Assumptions'!$B$8),"")</f>
        <v/>
      </c>
      <c r="AG319" s="45">
        <f>IFERROR(IF($A319="","",$P319+$AE319+$AF319),"")</f>
        <v/>
      </c>
      <c r="AH319" s="45">
        <f>IFERROR(IF($A319="","",$M319+$O319),"")</f>
        <v/>
      </c>
      <c r="AI319" s="46">
        <f>IFERROR(IF($A319="","",IFERROR($AH319/$W319,0)),"")</f>
        <v/>
      </c>
      <c r="AJ319" s="45">
        <f>IFERROR(IF($A319="","",$W319-$AH319-$AD319+$AG319),"")</f>
        <v/>
      </c>
      <c r="AK319" s="47">
        <f>IFERROR(IF($A319="","",IF(OR($S319="Collected",$S319="Waived",$S319="Uncollectible",$S319="No Charge Due"),"",IF($T319="",$B319+'Assumptions'!$B$9,$T319+'Assumptions'!$B$9))),"")</f>
        <v/>
      </c>
      <c r="AL319" s="48">
        <f>IFERROR(IF($A319="","",IF(OR($S319="Collected",$S319="Waived",$S319="Uncollectible",$S319="No Charge Due"),"Closed",IF($AK319&lt;TODAY(),"Overdue",IF($AK319=TODAY(),"Due","Open")))),"")</f>
        <v/>
      </c>
      <c r="AM319" s="49">
        <f>IFERROR(IF($A319="","",IF(COUNTIF($A$5:$A$504,$A319)&gt;1,"Duplicate reservation ID",IF($C319&lt;=$B319,"Check stay dates",IF($G319&gt;$F319,"Resold nights exceed booked nights",IF($M319+$N319&gt;$AA319+0.01,"Collection exceeds expected amount",IF(AND($S319="Collected",$M319=0),"Collected status has no amount",IF($AJ319&gt;='Assumptions'!$B$10,"High-cost review","OK"))))))),"")</f>
        <v/>
      </c>
    </row>
    <row r="320">
      <c r="A320" s="38" t="n"/>
      <c r="B320" s="39" t="n"/>
      <c r="C320" s="39" t="n"/>
      <c r="D320" s="38" t="n"/>
      <c r="E320" s="38" t="n"/>
      <c r="F320" s="40" t="n"/>
      <c r="G320" s="40" t="n"/>
      <c r="H320" s="41" t="n"/>
      <c r="I320" s="41" t="n"/>
      <c r="J320" s="42" t="n"/>
      <c r="K320" s="42" t="n"/>
      <c r="L320" s="42" t="n"/>
      <c r="M320" s="41" t="n"/>
      <c r="N320" s="41" t="n"/>
      <c r="O320" s="41" t="n"/>
      <c r="P320" s="41" t="n"/>
      <c r="Q320" s="40" t="n"/>
      <c r="R320" s="38" t="n"/>
      <c r="S320" s="38" t="n"/>
      <c r="T320" s="39" t="n"/>
      <c r="U320" s="43" t="n"/>
      <c r="V320" s="44">
        <f>IFERROR(IF($A320="","",MAX($F320-$G320,0)),"")</f>
        <v/>
      </c>
      <c r="W320" s="45">
        <f>IFERROR(IF($A320="","",$H320+$I320),"")</f>
        <v/>
      </c>
      <c r="X320" s="45">
        <f>IFERROR(IF($A320="","",$H320*IF($J320="",'Assumptions'!$B$4,$J320)),"")</f>
        <v/>
      </c>
      <c r="Y320" s="45">
        <f>IFERROR(IF($A320="","",$X320*IF($K320="",'Assumptions'!$B$12,$K320)),"")</f>
        <v/>
      </c>
      <c r="Z320" s="45">
        <f>IFERROR(IF($A320="","",($X320+$Y320)*IF($L320="",'Assumptions'!$B$13,$L320)),"")</f>
        <v/>
      </c>
      <c r="AA320" s="45">
        <f>IFERROR(IF($A320="","",$X320+$Y320+$Z320),"")</f>
        <v/>
      </c>
      <c r="AB320" s="45">
        <f>IFERROR(IF($A320="","",$V320*'Assumptions'!$B$5),"")</f>
        <v/>
      </c>
      <c r="AC320" s="45">
        <f>IFERROR(IF($A320="","",$I320*'Assumptions'!$B$6),"")</f>
        <v/>
      </c>
      <c r="AD320" s="45">
        <f>IFERROR(IF($A320="","",$AB320+$AC320),"")</f>
        <v/>
      </c>
      <c r="AE320" s="45">
        <f>IFERROR(IF($A320="","",($M320+$N320)*'Assumptions'!$B$7),"")</f>
        <v/>
      </c>
      <c r="AF320" s="45">
        <f>IFERROR(IF($A320="","",($Q320/60)*'Assumptions'!$B$8),"")</f>
        <v/>
      </c>
      <c r="AG320" s="45">
        <f>IFERROR(IF($A320="","",$P320+$AE320+$AF320),"")</f>
        <v/>
      </c>
      <c r="AH320" s="45">
        <f>IFERROR(IF($A320="","",$M320+$O320),"")</f>
        <v/>
      </c>
      <c r="AI320" s="46">
        <f>IFERROR(IF($A320="","",IFERROR($AH320/$W320,0)),"")</f>
        <v/>
      </c>
      <c r="AJ320" s="45">
        <f>IFERROR(IF($A320="","",$W320-$AH320-$AD320+$AG320),"")</f>
        <v/>
      </c>
      <c r="AK320" s="47">
        <f>IFERROR(IF($A320="","",IF(OR($S320="Collected",$S320="Waived",$S320="Uncollectible",$S320="No Charge Due"),"",IF($T320="",$B320+'Assumptions'!$B$9,$T320+'Assumptions'!$B$9))),"")</f>
        <v/>
      </c>
      <c r="AL320" s="48">
        <f>IFERROR(IF($A320="","",IF(OR($S320="Collected",$S320="Waived",$S320="Uncollectible",$S320="No Charge Due"),"Closed",IF($AK320&lt;TODAY(),"Overdue",IF($AK320=TODAY(),"Due","Open")))),"")</f>
        <v/>
      </c>
      <c r="AM320" s="49">
        <f>IFERROR(IF($A320="","",IF(COUNTIF($A$5:$A$504,$A320)&gt;1,"Duplicate reservation ID",IF($C320&lt;=$B320,"Check stay dates",IF($G320&gt;$F320,"Resold nights exceed booked nights",IF($M320+$N320&gt;$AA320+0.01,"Collection exceeds expected amount",IF(AND($S320="Collected",$M320=0),"Collected status has no amount",IF($AJ320&gt;='Assumptions'!$B$10,"High-cost review","OK"))))))),"")</f>
        <v/>
      </c>
    </row>
    <row r="321">
      <c r="A321" s="38" t="n"/>
      <c r="B321" s="39" t="n"/>
      <c r="C321" s="39" t="n"/>
      <c r="D321" s="38" t="n"/>
      <c r="E321" s="38" t="n"/>
      <c r="F321" s="40" t="n"/>
      <c r="G321" s="40" t="n"/>
      <c r="H321" s="41" t="n"/>
      <c r="I321" s="41" t="n"/>
      <c r="J321" s="42" t="n"/>
      <c r="K321" s="42" t="n"/>
      <c r="L321" s="42" t="n"/>
      <c r="M321" s="41" t="n"/>
      <c r="N321" s="41" t="n"/>
      <c r="O321" s="41" t="n"/>
      <c r="P321" s="41" t="n"/>
      <c r="Q321" s="40" t="n"/>
      <c r="R321" s="38" t="n"/>
      <c r="S321" s="38" t="n"/>
      <c r="T321" s="39" t="n"/>
      <c r="U321" s="43" t="n"/>
      <c r="V321" s="44">
        <f>IFERROR(IF($A321="","",MAX($F321-$G321,0)),"")</f>
        <v/>
      </c>
      <c r="W321" s="45">
        <f>IFERROR(IF($A321="","",$H321+$I321),"")</f>
        <v/>
      </c>
      <c r="X321" s="45">
        <f>IFERROR(IF($A321="","",$H321*IF($J321="",'Assumptions'!$B$4,$J321)),"")</f>
        <v/>
      </c>
      <c r="Y321" s="45">
        <f>IFERROR(IF($A321="","",$X321*IF($K321="",'Assumptions'!$B$12,$K321)),"")</f>
        <v/>
      </c>
      <c r="Z321" s="45">
        <f>IFERROR(IF($A321="","",($X321+$Y321)*IF($L321="",'Assumptions'!$B$13,$L321)),"")</f>
        <v/>
      </c>
      <c r="AA321" s="45">
        <f>IFERROR(IF($A321="","",$X321+$Y321+$Z321),"")</f>
        <v/>
      </c>
      <c r="AB321" s="45">
        <f>IFERROR(IF($A321="","",$V321*'Assumptions'!$B$5),"")</f>
        <v/>
      </c>
      <c r="AC321" s="45">
        <f>IFERROR(IF($A321="","",$I321*'Assumptions'!$B$6),"")</f>
        <v/>
      </c>
      <c r="AD321" s="45">
        <f>IFERROR(IF($A321="","",$AB321+$AC321),"")</f>
        <v/>
      </c>
      <c r="AE321" s="45">
        <f>IFERROR(IF($A321="","",($M321+$N321)*'Assumptions'!$B$7),"")</f>
        <v/>
      </c>
      <c r="AF321" s="45">
        <f>IFERROR(IF($A321="","",($Q321/60)*'Assumptions'!$B$8),"")</f>
        <v/>
      </c>
      <c r="AG321" s="45">
        <f>IFERROR(IF($A321="","",$P321+$AE321+$AF321),"")</f>
        <v/>
      </c>
      <c r="AH321" s="45">
        <f>IFERROR(IF($A321="","",$M321+$O321),"")</f>
        <v/>
      </c>
      <c r="AI321" s="46">
        <f>IFERROR(IF($A321="","",IFERROR($AH321/$W321,0)),"")</f>
        <v/>
      </c>
      <c r="AJ321" s="45">
        <f>IFERROR(IF($A321="","",$W321-$AH321-$AD321+$AG321),"")</f>
        <v/>
      </c>
      <c r="AK321" s="47">
        <f>IFERROR(IF($A321="","",IF(OR($S321="Collected",$S321="Waived",$S321="Uncollectible",$S321="No Charge Due"),"",IF($T321="",$B321+'Assumptions'!$B$9,$T321+'Assumptions'!$B$9))),"")</f>
        <v/>
      </c>
      <c r="AL321" s="48">
        <f>IFERROR(IF($A321="","",IF(OR($S321="Collected",$S321="Waived",$S321="Uncollectible",$S321="No Charge Due"),"Closed",IF($AK321&lt;TODAY(),"Overdue",IF($AK321=TODAY(),"Due","Open")))),"")</f>
        <v/>
      </c>
      <c r="AM321" s="49">
        <f>IFERROR(IF($A321="","",IF(COUNTIF($A$5:$A$504,$A321)&gt;1,"Duplicate reservation ID",IF($C321&lt;=$B321,"Check stay dates",IF($G321&gt;$F321,"Resold nights exceed booked nights",IF($M321+$N321&gt;$AA321+0.01,"Collection exceeds expected amount",IF(AND($S321="Collected",$M321=0),"Collected status has no amount",IF($AJ321&gt;='Assumptions'!$B$10,"High-cost review","OK"))))))),"")</f>
        <v/>
      </c>
    </row>
    <row r="322">
      <c r="A322" s="38" t="n"/>
      <c r="B322" s="39" t="n"/>
      <c r="C322" s="39" t="n"/>
      <c r="D322" s="38" t="n"/>
      <c r="E322" s="38" t="n"/>
      <c r="F322" s="40" t="n"/>
      <c r="G322" s="40" t="n"/>
      <c r="H322" s="41" t="n"/>
      <c r="I322" s="41" t="n"/>
      <c r="J322" s="42" t="n"/>
      <c r="K322" s="42" t="n"/>
      <c r="L322" s="42" t="n"/>
      <c r="M322" s="41" t="n"/>
      <c r="N322" s="41" t="n"/>
      <c r="O322" s="41" t="n"/>
      <c r="P322" s="41" t="n"/>
      <c r="Q322" s="40" t="n"/>
      <c r="R322" s="38" t="n"/>
      <c r="S322" s="38" t="n"/>
      <c r="T322" s="39" t="n"/>
      <c r="U322" s="43" t="n"/>
      <c r="V322" s="44">
        <f>IFERROR(IF($A322="","",MAX($F322-$G322,0)),"")</f>
        <v/>
      </c>
      <c r="W322" s="45">
        <f>IFERROR(IF($A322="","",$H322+$I322),"")</f>
        <v/>
      </c>
      <c r="X322" s="45">
        <f>IFERROR(IF($A322="","",$H322*IF($J322="",'Assumptions'!$B$4,$J322)),"")</f>
        <v/>
      </c>
      <c r="Y322" s="45">
        <f>IFERROR(IF($A322="","",$X322*IF($K322="",'Assumptions'!$B$12,$K322)),"")</f>
        <v/>
      </c>
      <c r="Z322" s="45">
        <f>IFERROR(IF($A322="","",($X322+$Y322)*IF($L322="",'Assumptions'!$B$13,$L322)),"")</f>
        <v/>
      </c>
      <c r="AA322" s="45">
        <f>IFERROR(IF($A322="","",$X322+$Y322+$Z322),"")</f>
        <v/>
      </c>
      <c r="AB322" s="45">
        <f>IFERROR(IF($A322="","",$V322*'Assumptions'!$B$5),"")</f>
        <v/>
      </c>
      <c r="AC322" s="45">
        <f>IFERROR(IF($A322="","",$I322*'Assumptions'!$B$6),"")</f>
        <v/>
      </c>
      <c r="AD322" s="45">
        <f>IFERROR(IF($A322="","",$AB322+$AC322),"")</f>
        <v/>
      </c>
      <c r="AE322" s="45">
        <f>IFERROR(IF($A322="","",($M322+$N322)*'Assumptions'!$B$7),"")</f>
        <v/>
      </c>
      <c r="AF322" s="45">
        <f>IFERROR(IF($A322="","",($Q322/60)*'Assumptions'!$B$8),"")</f>
        <v/>
      </c>
      <c r="AG322" s="45">
        <f>IFERROR(IF($A322="","",$P322+$AE322+$AF322),"")</f>
        <v/>
      </c>
      <c r="AH322" s="45">
        <f>IFERROR(IF($A322="","",$M322+$O322),"")</f>
        <v/>
      </c>
      <c r="AI322" s="46">
        <f>IFERROR(IF($A322="","",IFERROR($AH322/$W322,0)),"")</f>
        <v/>
      </c>
      <c r="AJ322" s="45">
        <f>IFERROR(IF($A322="","",$W322-$AH322-$AD322+$AG322),"")</f>
        <v/>
      </c>
      <c r="AK322" s="47">
        <f>IFERROR(IF($A322="","",IF(OR($S322="Collected",$S322="Waived",$S322="Uncollectible",$S322="No Charge Due"),"",IF($T322="",$B322+'Assumptions'!$B$9,$T322+'Assumptions'!$B$9))),"")</f>
        <v/>
      </c>
      <c r="AL322" s="48">
        <f>IFERROR(IF($A322="","",IF(OR($S322="Collected",$S322="Waived",$S322="Uncollectible",$S322="No Charge Due"),"Closed",IF($AK322&lt;TODAY(),"Overdue",IF($AK322=TODAY(),"Due","Open")))),"")</f>
        <v/>
      </c>
      <c r="AM322" s="49">
        <f>IFERROR(IF($A322="","",IF(COUNTIF($A$5:$A$504,$A322)&gt;1,"Duplicate reservation ID",IF($C322&lt;=$B322,"Check stay dates",IF($G322&gt;$F322,"Resold nights exceed booked nights",IF($M322+$N322&gt;$AA322+0.01,"Collection exceeds expected amount",IF(AND($S322="Collected",$M322=0),"Collected status has no amount",IF($AJ322&gt;='Assumptions'!$B$10,"High-cost review","OK"))))))),"")</f>
        <v/>
      </c>
    </row>
    <row r="323">
      <c r="A323" s="38" t="n"/>
      <c r="B323" s="39" t="n"/>
      <c r="C323" s="39" t="n"/>
      <c r="D323" s="38" t="n"/>
      <c r="E323" s="38" t="n"/>
      <c r="F323" s="40" t="n"/>
      <c r="G323" s="40" t="n"/>
      <c r="H323" s="41" t="n"/>
      <c r="I323" s="41" t="n"/>
      <c r="J323" s="42" t="n"/>
      <c r="K323" s="42" t="n"/>
      <c r="L323" s="42" t="n"/>
      <c r="M323" s="41" t="n"/>
      <c r="N323" s="41" t="n"/>
      <c r="O323" s="41" t="n"/>
      <c r="P323" s="41" t="n"/>
      <c r="Q323" s="40" t="n"/>
      <c r="R323" s="38" t="n"/>
      <c r="S323" s="38" t="n"/>
      <c r="T323" s="39" t="n"/>
      <c r="U323" s="43" t="n"/>
      <c r="V323" s="44">
        <f>IFERROR(IF($A323="","",MAX($F323-$G323,0)),"")</f>
        <v/>
      </c>
      <c r="W323" s="45">
        <f>IFERROR(IF($A323="","",$H323+$I323),"")</f>
        <v/>
      </c>
      <c r="X323" s="45">
        <f>IFERROR(IF($A323="","",$H323*IF($J323="",'Assumptions'!$B$4,$J323)),"")</f>
        <v/>
      </c>
      <c r="Y323" s="45">
        <f>IFERROR(IF($A323="","",$X323*IF($K323="",'Assumptions'!$B$12,$K323)),"")</f>
        <v/>
      </c>
      <c r="Z323" s="45">
        <f>IFERROR(IF($A323="","",($X323+$Y323)*IF($L323="",'Assumptions'!$B$13,$L323)),"")</f>
        <v/>
      </c>
      <c r="AA323" s="45">
        <f>IFERROR(IF($A323="","",$X323+$Y323+$Z323),"")</f>
        <v/>
      </c>
      <c r="AB323" s="45">
        <f>IFERROR(IF($A323="","",$V323*'Assumptions'!$B$5),"")</f>
        <v/>
      </c>
      <c r="AC323" s="45">
        <f>IFERROR(IF($A323="","",$I323*'Assumptions'!$B$6),"")</f>
        <v/>
      </c>
      <c r="AD323" s="45">
        <f>IFERROR(IF($A323="","",$AB323+$AC323),"")</f>
        <v/>
      </c>
      <c r="AE323" s="45">
        <f>IFERROR(IF($A323="","",($M323+$N323)*'Assumptions'!$B$7),"")</f>
        <v/>
      </c>
      <c r="AF323" s="45">
        <f>IFERROR(IF($A323="","",($Q323/60)*'Assumptions'!$B$8),"")</f>
        <v/>
      </c>
      <c r="AG323" s="45">
        <f>IFERROR(IF($A323="","",$P323+$AE323+$AF323),"")</f>
        <v/>
      </c>
      <c r="AH323" s="45">
        <f>IFERROR(IF($A323="","",$M323+$O323),"")</f>
        <v/>
      </c>
      <c r="AI323" s="46">
        <f>IFERROR(IF($A323="","",IFERROR($AH323/$W323,0)),"")</f>
        <v/>
      </c>
      <c r="AJ323" s="45">
        <f>IFERROR(IF($A323="","",$W323-$AH323-$AD323+$AG323),"")</f>
        <v/>
      </c>
      <c r="AK323" s="47">
        <f>IFERROR(IF($A323="","",IF(OR($S323="Collected",$S323="Waived",$S323="Uncollectible",$S323="No Charge Due"),"",IF($T323="",$B323+'Assumptions'!$B$9,$T323+'Assumptions'!$B$9))),"")</f>
        <v/>
      </c>
      <c r="AL323" s="48">
        <f>IFERROR(IF($A323="","",IF(OR($S323="Collected",$S323="Waived",$S323="Uncollectible",$S323="No Charge Due"),"Closed",IF($AK323&lt;TODAY(),"Overdue",IF($AK323=TODAY(),"Due","Open")))),"")</f>
        <v/>
      </c>
      <c r="AM323" s="49">
        <f>IFERROR(IF($A323="","",IF(COUNTIF($A$5:$A$504,$A323)&gt;1,"Duplicate reservation ID",IF($C323&lt;=$B323,"Check stay dates",IF($G323&gt;$F323,"Resold nights exceed booked nights",IF($M323+$N323&gt;$AA323+0.01,"Collection exceeds expected amount",IF(AND($S323="Collected",$M323=0),"Collected status has no amount",IF($AJ323&gt;='Assumptions'!$B$10,"High-cost review","OK"))))))),"")</f>
        <v/>
      </c>
    </row>
    <row r="324">
      <c r="A324" s="38" t="n"/>
      <c r="B324" s="39" t="n"/>
      <c r="C324" s="39" t="n"/>
      <c r="D324" s="38" t="n"/>
      <c r="E324" s="38" t="n"/>
      <c r="F324" s="40" t="n"/>
      <c r="G324" s="40" t="n"/>
      <c r="H324" s="41" t="n"/>
      <c r="I324" s="41" t="n"/>
      <c r="J324" s="42" t="n"/>
      <c r="K324" s="42" t="n"/>
      <c r="L324" s="42" t="n"/>
      <c r="M324" s="41" t="n"/>
      <c r="N324" s="41" t="n"/>
      <c r="O324" s="41" t="n"/>
      <c r="P324" s="41" t="n"/>
      <c r="Q324" s="40" t="n"/>
      <c r="R324" s="38" t="n"/>
      <c r="S324" s="38" t="n"/>
      <c r="T324" s="39" t="n"/>
      <c r="U324" s="43" t="n"/>
      <c r="V324" s="44">
        <f>IFERROR(IF($A324="","",MAX($F324-$G324,0)),"")</f>
        <v/>
      </c>
      <c r="W324" s="45">
        <f>IFERROR(IF($A324="","",$H324+$I324),"")</f>
        <v/>
      </c>
      <c r="X324" s="45">
        <f>IFERROR(IF($A324="","",$H324*IF($J324="",'Assumptions'!$B$4,$J324)),"")</f>
        <v/>
      </c>
      <c r="Y324" s="45">
        <f>IFERROR(IF($A324="","",$X324*IF($K324="",'Assumptions'!$B$12,$K324)),"")</f>
        <v/>
      </c>
      <c r="Z324" s="45">
        <f>IFERROR(IF($A324="","",($X324+$Y324)*IF($L324="",'Assumptions'!$B$13,$L324)),"")</f>
        <v/>
      </c>
      <c r="AA324" s="45">
        <f>IFERROR(IF($A324="","",$X324+$Y324+$Z324),"")</f>
        <v/>
      </c>
      <c r="AB324" s="45">
        <f>IFERROR(IF($A324="","",$V324*'Assumptions'!$B$5),"")</f>
        <v/>
      </c>
      <c r="AC324" s="45">
        <f>IFERROR(IF($A324="","",$I324*'Assumptions'!$B$6),"")</f>
        <v/>
      </c>
      <c r="AD324" s="45">
        <f>IFERROR(IF($A324="","",$AB324+$AC324),"")</f>
        <v/>
      </c>
      <c r="AE324" s="45">
        <f>IFERROR(IF($A324="","",($M324+$N324)*'Assumptions'!$B$7),"")</f>
        <v/>
      </c>
      <c r="AF324" s="45">
        <f>IFERROR(IF($A324="","",($Q324/60)*'Assumptions'!$B$8),"")</f>
        <v/>
      </c>
      <c r="AG324" s="45">
        <f>IFERROR(IF($A324="","",$P324+$AE324+$AF324),"")</f>
        <v/>
      </c>
      <c r="AH324" s="45">
        <f>IFERROR(IF($A324="","",$M324+$O324),"")</f>
        <v/>
      </c>
      <c r="AI324" s="46">
        <f>IFERROR(IF($A324="","",IFERROR($AH324/$W324,0)),"")</f>
        <v/>
      </c>
      <c r="AJ324" s="45">
        <f>IFERROR(IF($A324="","",$W324-$AH324-$AD324+$AG324),"")</f>
        <v/>
      </c>
      <c r="AK324" s="47">
        <f>IFERROR(IF($A324="","",IF(OR($S324="Collected",$S324="Waived",$S324="Uncollectible",$S324="No Charge Due"),"",IF($T324="",$B324+'Assumptions'!$B$9,$T324+'Assumptions'!$B$9))),"")</f>
        <v/>
      </c>
      <c r="AL324" s="48">
        <f>IFERROR(IF($A324="","",IF(OR($S324="Collected",$S324="Waived",$S324="Uncollectible",$S324="No Charge Due"),"Closed",IF($AK324&lt;TODAY(),"Overdue",IF($AK324=TODAY(),"Due","Open")))),"")</f>
        <v/>
      </c>
      <c r="AM324" s="49">
        <f>IFERROR(IF($A324="","",IF(COUNTIF($A$5:$A$504,$A324)&gt;1,"Duplicate reservation ID",IF($C324&lt;=$B324,"Check stay dates",IF($G324&gt;$F324,"Resold nights exceed booked nights",IF($M324+$N324&gt;$AA324+0.01,"Collection exceeds expected amount",IF(AND($S324="Collected",$M324=0),"Collected status has no amount",IF($AJ324&gt;='Assumptions'!$B$10,"High-cost review","OK"))))))),"")</f>
        <v/>
      </c>
    </row>
    <row r="325">
      <c r="A325" s="38" t="n"/>
      <c r="B325" s="39" t="n"/>
      <c r="C325" s="39" t="n"/>
      <c r="D325" s="38" t="n"/>
      <c r="E325" s="38" t="n"/>
      <c r="F325" s="40" t="n"/>
      <c r="G325" s="40" t="n"/>
      <c r="H325" s="41" t="n"/>
      <c r="I325" s="41" t="n"/>
      <c r="J325" s="42" t="n"/>
      <c r="K325" s="42" t="n"/>
      <c r="L325" s="42" t="n"/>
      <c r="M325" s="41" t="n"/>
      <c r="N325" s="41" t="n"/>
      <c r="O325" s="41" t="n"/>
      <c r="P325" s="41" t="n"/>
      <c r="Q325" s="40" t="n"/>
      <c r="R325" s="38" t="n"/>
      <c r="S325" s="38" t="n"/>
      <c r="T325" s="39" t="n"/>
      <c r="U325" s="43" t="n"/>
      <c r="V325" s="44">
        <f>IFERROR(IF($A325="","",MAX($F325-$G325,0)),"")</f>
        <v/>
      </c>
      <c r="W325" s="45">
        <f>IFERROR(IF($A325="","",$H325+$I325),"")</f>
        <v/>
      </c>
      <c r="X325" s="45">
        <f>IFERROR(IF($A325="","",$H325*IF($J325="",'Assumptions'!$B$4,$J325)),"")</f>
        <v/>
      </c>
      <c r="Y325" s="45">
        <f>IFERROR(IF($A325="","",$X325*IF($K325="",'Assumptions'!$B$12,$K325)),"")</f>
        <v/>
      </c>
      <c r="Z325" s="45">
        <f>IFERROR(IF($A325="","",($X325+$Y325)*IF($L325="",'Assumptions'!$B$13,$L325)),"")</f>
        <v/>
      </c>
      <c r="AA325" s="45">
        <f>IFERROR(IF($A325="","",$X325+$Y325+$Z325),"")</f>
        <v/>
      </c>
      <c r="AB325" s="45">
        <f>IFERROR(IF($A325="","",$V325*'Assumptions'!$B$5),"")</f>
        <v/>
      </c>
      <c r="AC325" s="45">
        <f>IFERROR(IF($A325="","",$I325*'Assumptions'!$B$6),"")</f>
        <v/>
      </c>
      <c r="AD325" s="45">
        <f>IFERROR(IF($A325="","",$AB325+$AC325),"")</f>
        <v/>
      </c>
      <c r="AE325" s="45">
        <f>IFERROR(IF($A325="","",($M325+$N325)*'Assumptions'!$B$7),"")</f>
        <v/>
      </c>
      <c r="AF325" s="45">
        <f>IFERROR(IF($A325="","",($Q325/60)*'Assumptions'!$B$8),"")</f>
        <v/>
      </c>
      <c r="AG325" s="45">
        <f>IFERROR(IF($A325="","",$P325+$AE325+$AF325),"")</f>
        <v/>
      </c>
      <c r="AH325" s="45">
        <f>IFERROR(IF($A325="","",$M325+$O325),"")</f>
        <v/>
      </c>
      <c r="AI325" s="46">
        <f>IFERROR(IF($A325="","",IFERROR($AH325/$W325,0)),"")</f>
        <v/>
      </c>
      <c r="AJ325" s="45">
        <f>IFERROR(IF($A325="","",$W325-$AH325-$AD325+$AG325),"")</f>
        <v/>
      </c>
      <c r="AK325" s="47">
        <f>IFERROR(IF($A325="","",IF(OR($S325="Collected",$S325="Waived",$S325="Uncollectible",$S325="No Charge Due"),"",IF($T325="",$B325+'Assumptions'!$B$9,$T325+'Assumptions'!$B$9))),"")</f>
        <v/>
      </c>
      <c r="AL325" s="48">
        <f>IFERROR(IF($A325="","",IF(OR($S325="Collected",$S325="Waived",$S325="Uncollectible",$S325="No Charge Due"),"Closed",IF($AK325&lt;TODAY(),"Overdue",IF($AK325=TODAY(),"Due","Open")))),"")</f>
        <v/>
      </c>
      <c r="AM325" s="49">
        <f>IFERROR(IF($A325="","",IF(COUNTIF($A$5:$A$504,$A325)&gt;1,"Duplicate reservation ID",IF($C325&lt;=$B325,"Check stay dates",IF($G325&gt;$F325,"Resold nights exceed booked nights",IF($M325+$N325&gt;$AA325+0.01,"Collection exceeds expected amount",IF(AND($S325="Collected",$M325=0),"Collected status has no amount",IF($AJ325&gt;='Assumptions'!$B$10,"High-cost review","OK"))))))),"")</f>
        <v/>
      </c>
    </row>
    <row r="326">
      <c r="A326" s="38" t="n"/>
      <c r="B326" s="39" t="n"/>
      <c r="C326" s="39" t="n"/>
      <c r="D326" s="38" t="n"/>
      <c r="E326" s="38" t="n"/>
      <c r="F326" s="40" t="n"/>
      <c r="G326" s="40" t="n"/>
      <c r="H326" s="41" t="n"/>
      <c r="I326" s="41" t="n"/>
      <c r="J326" s="42" t="n"/>
      <c r="K326" s="42" t="n"/>
      <c r="L326" s="42" t="n"/>
      <c r="M326" s="41" t="n"/>
      <c r="N326" s="41" t="n"/>
      <c r="O326" s="41" t="n"/>
      <c r="P326" s="41" t="n"/>
      <c r="Q326" s="40" t="n"/>
      <c r="R326" s="38" t="n"/>
      <c r="S326" s="38" t="n"/>
      <c r="T326" s="39" t="n"/>
      <c r="U326" s="43" t="n"/>
      <c r="V326" s="44">
        <f>IFERROR(IF($A326="","",MAX($F326-$G326,0)),"")</f>
        <v/>
      </c>
      <c r="W326" s="45">
        <f>IFERROR(IF($A326="","",$H326+$I326),"")</f>
        <v/>
      </c>
      <c r="X326" s="45">
        <f>IFERROR(IF($A326="","",$H326*IF($J326="",'Assumptions'!$B$4,$J326)),"")</f>
        <v/>
      </c>
      <c r="Y326" s="45">
        <f>IFERROR(IF($A326="","",$X326*IF($K326="",'Assumptions'!$B$12,$K326)),"")</f>
        <v/>
      </c>
      <c r="Z326" s="45">
        <f>IFERROR(IF($A326="","",($X326+$Y326)*IF($L326="",'Assumptions'!$B$13,$L326)),"")</f>
        <v/>
      </c>
      <c r="AA326" s="45">
        <f>IFERROR(IF($A326="","",$X326+$Y326+$Z326),"")</f>
        <v/>
      </c>
      <c r="AB326" s="45">
        <f>IFERROR(IF($A326="","",$V326*'Assumptions'!$B$5),"")</f>
        <v/>
      </c>
      <c r="AC326" s="45">
        <f>IFERROR(IF($A326="","",$I326*'Assumptions'!$B$6),"")</f>
        <v/>
      </c>
      <c r="AD326" s="45">
        <f>IFERROR(IF($A326="","",$AB326+$AC326),"")</f>
        <v/>
      </c>
      <c r="AE326" s="45">
        <f>IFERROR(IF($A326="","",($M326+$N326)*'Assumptions'!$B$7),"")</f>
        <v/>
      </c>
      <c r="AF326" s="45">
        <f>IFERROR(IF($A326="","",($Q326/60)*'Assumptions'!$B$8),"")</f>
        <v/>
      </c>
      <c r="AG326" s="45">
        <f>IFERROR(IF($A326="","",$P326+$AE326+$AF326),"")</f>
        <v/>
      </c>
      <c r="AH326" s="45">
        <f>IFERROR(IF($A326="","",$M326+$O326),"")</f>
        <v/>
      </c>
      <c r="AI326" s="46">
        <f>IFERROR(IF($A326="","",IFERROR($AH326/$W326,0)),"")</f>
        <v/>
      </c>
      <c r="AJ326" s="45">
        <f>IFERROR(IF($A326="","",$W326-$AH326-$AD326+$AG326),"")</f>
        <v/>
      </c>
      <c r="AK326" s="47">
        <f>IFERROR(IF($A326="","",IF(OR($S326="Collected",$S326="Waived",$S326="Uncollectible",$S326="No Charge Due"),"",IF($T326="",$B326+'Assumptions'!$B$9,$T326+'Assumptions'!$B$9))),"")</f>
        <v/>
      </c>
      <c r="AL326" s="48">
        <f>IFERROR(IF($A326="","",IF(OR($S326="Collected",$S326="Waived",$S326="Uncollectible",$S326="No Charge Due"),"Closed",IF($AK326&lt;TODAY(),"Overdue",IF($AK326=TODAY(),"Due","Open")))),"")</f>
        <v/>
      </c>
      <c r="AM326" s="49">
        <f>IFERROR(IF($A326="","",IF(COUNTIF($A$5:$A$504,$A326)&gt;1,"Duplicate reservation ID",IF($C326&lt;=$B326,"Check stay dates",IF($G326&gt;$F326,"Resold nights exceed booked nights",IF($M326+$N326&gt;$AA326+0.01,"Collection exceeds expected amount",IF(AND($S326="Collected",$M326=0),"Collected status has no amount",IF($AJ326&gt;='Assumptions'!$B$10,"High-cost review","OK"))))))),"")</f>
        <v/>
      </c>
    </row>
    <row r="327">
      <c r="A327" s="38" t="n"/>
      <c r="B327" s="39" t="n"/>
      <c r="C327" s="39" t="n"/>
      <c r="D327" s="38" t="n"/>
      <c r="E327" s="38" t="n"/>
      <c r="F327" s="40" t="n"/>
      <c r="G327" s="40" t="n"/>
      <c r="H327" s="41" t="n"/>
      <c r="I327" s="41" t="n"/>
      <c r="J327" s="42" t="n"/>
      <c r="K327" s="42" t="n"/>
      <c r="L327" s="42" t="n"/>
      <c r="M327" s="41" t="n"/>
      <c r="N327" s="41" t="n"/>
      <c r="O327" s="41" t="n"/>
      <c r="P327" s="41" t="n"/>
      <c r="Q327" s="40" t="n"/>
      <c r="R327" s="38" t="n"/>
      <c r="S327" s="38" t="n"/>
      <c r="T327" s="39" t="n"/>
      <c r="U327" s="43" t="n"/>
      <c r="V327" s="44">
        <f>IFERROR(IF($A327="","",MAX($F327-$G327,0)),"")</f>
        <v/>
      </c>
      <c r="W327" s="45">
        <f>IFERROR(IF($A327="","",$H327+$I327),"")</f>
        <v/>
      </c>
      <c r="X327" s="45">
        <f>IFERROR(IF($A327="","",$H327*IF($J327="",'Assumptions'!$B$4,$J327)),"")</f>
        <v/>
      </c>
      <c r="Y327" s="45">
        <f>IFERROR(IF($A327="","",$X327*IF($K327="",'Assumptions'!$B$12,$K327)),"")</f>
        <v/>
      </c>
      <c r="Z327" s="45">
        <f>IFERROR(IF($A327="","",($X327+$Y327)*IF($L327="",'Assumptions'!$B$13,$L327)),"")</f>
        <v/>
      </c>
      <c r="AA327" s="45">
        <f>IFERROR(IF($A327="","",$X327+$Y327+$Z327),"")</f>
        <v/>
      </c>
      <c r="AB327" s="45">
        <f>IFERROR(IF($A327="","",$V327*'Assumptions'!$B$5),"")</f>
        <v/>
      </c>
      <c r="AC327" s="45">
        <f>IFERROR(IF($A327="","",$I327*'Assumptions'!$B$6),"")</f>
        <v/>
      </c>
      <c r="AD327" s="45">
        <f>IFERROR(IF($A327="","",$AB327+$AC327),"")</f>
        <v/>
      </c>
      <c r="AE327" s="45">
        <f>IFERROR(IF($A327="","",($M327+$N327)*'Assumptions'!$B$7),"")</f>
        <v/>
      </c>
      <c r="AF327" s="45">
        <f>IFERROR(IF($A327="","",($Q327/60)*'Assumptions'!$B$8),"")</f>
        <v/>
      </c>
      <c r="AG327" s="45">
        <f>IFERROR(IF($A327="","",$P327+$AE327+$AF327),"")</f>
        <v/>
      </c>
      <c r="AH327" s="45">
        <f>IFERROR(IF($A327="","",$M327+$O327),"")</f>
        <v/>
      </c>
      <c r="AI327" s="46">
        <f>IFERROR(IF($A327="","",IFERROR($AH327/$W327,0)),"")</f>
        <v/>
      </c>
      <c r="AJ327" s="45">
        <f>IFERROR(IF($A327="","",$W327-$AH327-$AD327+$AG327),"")</f>
        <v/>
      </c>
      <c r="AK327" s="47">
        <f>IFERROR(IF($A327="","",IF(OR($S327="Collected",$S327="Waived",$S327="Uncollectible",$S327="No Charge Due"),"",IF($T327="",$B327+'Assumptions'!$B$9,$T327+'Assumptions'!$B$9))),"")</f>
        <v/>
      </c>
      <c r="AL327" s="48">
        <f>IFERROR(IF($A327="","",IF(OR($S327="Collected",$S327="Waived",$S327="Uncollectible",$S327="No Charge Due"),"Closed",IF($AK327&lt;TODAY(),"Overdue",IF($AK327=TODAY(),"Due","Open")))),"")</f>
        <v/>
      </c>
      <c r="AM327" s="49">
        <f>IFERROR(IF($A327="","",IF(COUNTIF($A$5:$A$504,$A327)&gt;1,"Duplicate reservation ID",IF($C327&lt;=$B327,"Check stay dates",IF($G327&gt;$F327,"Resold nights exceed booked nights",IF($M327+$N327&gt;$AA327+0.01,"Collection exceeds expected amount",IF(AND($S327="Collected",$M327=0),"Collected status has no amount",IF($AJ327&gt;='Assumptions'!$B$10,"High-cost review","OK"))))))),"")</f>
        <v/>
      </c>
    </row>
    <row r="328">
      <c r="A328" s="38" t="n"/>
      <c r="B328" s="39" t="n"/>
      <c r="C328" s="39" t="n"/>
      <c r="D328" s="38" t="n"/>
      <c r="E328" s="38" t="n"/>
      <c r="F328" s="40" t="n"/>
      <c r="G328" s="40" t="n"/>
      <c r="H328" s="41" t="n"/>
      <c r="I328" s="41" t="n"/>
      <c r="J328" s="42" t="n"/>
      <c r="K328" s="42" t="n"/>
      <c r="L328" s="42" t="n"/>
      <c r="M328" s="41" t="n"/>
      <c r="N328" s="41" t="n"/>
      <c r="O328" s="41" t="n"/>
      <c r="P328" s="41" t="n"/>
      <c r="Q328" s="40" t="n"/>
      <c r="R328" s="38" t="n"/>
      <c r="S328" s="38" t="n"/>
      <c r="T328" s="39" t="n"/>
      <c r="U328" s="43" t="n"/>
      <c r="V328" s="44">
        <f>IFERROR(IF($A328="","",MAX($F328-$G328,0)),"")</f>
        <v/>
      </c>
      <c r="W328" s="45">
        <f>IFERROR(IF($A328="","",$H328+$I328),"")</f>
        <v/>
      </c>
      <c r="X328" s="45">
        <f>IFERROR(IF($A328="","",$H328*IF($J328="",'Assumptions'!$B$4,$J328)),"")</f>
        <v/>
      </c>
      <c r="Y328" s="45">
        <f>IFERROR(IF($A328="","",$X328*IF($K328="",'Assumptions'!$B$12,$K328)),"")</f>
        <v/>
      </c>
      <c r="Z328" s="45">
        <f>IFERROR(IF($A328="","",($X328+$Y328)*IF($L328="",'Assumptions'!$B$13,$L328)),"")</f>
        <v/>
      </c>
      <c r="AA328" s="45">
        <f>IFERROR(IF($A328="","",$X328+$Y328+$Z328),"")</f>
        <v/>
      </c>
      <c r="AB328" s="45">
        <f>IFERROR(IF($A328="","",$V328*'Assumptions'!$B$5),"")</f>
        <v/>
      </c>
      <c r="AC328" s="45">
        <f>IFERROR(IF($A328="","",$I328*'Assumptions'!$B$6),"")</f>
        <v/>
      </c>
      <c r="AD328" s="45">
        <f>IFERROR(IF($A328="","",$AB328+$AC328),"")</f>
        <v/>
      </c>
      <c r="AE328" s="45">
        <f>IFERROR(IF($A328="","",($M328+$N328)*'Assumptions'!$B$7),"")</f>
        <v/>
      </c>
      <c r="AF328" s="45">
        <f>IFERROR(IF($A328="","",($Q328/60)*'Assumptions'!$B$8),"")</f>
        <v/>
      </c>
      <c r="AG328" s="45">
        <f>IFERROR(IF($A328="","",$P328+$AE328+$AF328),"")</f>
        <v/>
      </c>
      <c r="AH328" s="45">
        <f>IFERROR(IF($A328="","",$M328+$O328),"")</f>
        <v/>
      </c>
      <c r="AI328" s="46">
        <f>IFERROR(IF($A328="","",IFERROR($AH328/$W328,0)),"")</f>
        <v/>
      </c>
      <c r="AJ328" s="45">
        <f>IFERROR(IF($A328="","",$W328-$AH328-$AD328+$AG328),"")</f>
        <v/>
      </c>
      <c r="AK328" s="47">
        <f>IFERROR(IF($A328="","",IF(OR($S328="Collected",$S328="Waived",$S328="Uncollectible",$S328="No Charge Due"),"",IF($T328="",$B328+'Assumptions'!$B$9,$T328+'Assumptions'!$B$9))),"")</f>
        <v/>
      </c>
      <c r="AL328" s="48">
        <f>IFERROR(IF($A328="","",IF(OR($S328="Collected",$S328="Waived",$S328="Uncollectible",$S328="No Charge Due"),"Closed",IF($AK328&lt;TODAY(),"Overdue",IF($AK328=TODAY(),"Due","Open")))),"")</f>
        <v/>
      </c>
      <c r="AM328" s="49">
        <f>IFERROR(IF($A328="","",IF(COUNTIF($A$5:$A$504,$A328)&gt;1,"Duplicate reservation ID",IF($C328&lt;=$B328,"Check stay dates",IF($G328&gt;$F328,"Resold nights exceed booked nights",IF($M328+$N328&gt;$AA328+0.01,"Collection exceeds expected amount",IF(AND($S328="Collected",$M328=0),"Collected status has no amount",IF($AJ328&gt;='Assumptions'!$B$10,"High-cost review","OK"))))))),"")</f>
        <v/>
      </c>
    </row>
    <row r="329">
      <c r="A329" s="38" t="n"/>
      <c r="B329" s="39" t="n"/>
      <c r="C329" s="39" t="n"/>
      <c r="D329" s="38" t="n"/>
      <c r="E329" s="38" t="n"/>
      <c r="F329" s="40" t="n"/>
      <c r="G329" s="40" t="n"/>
      <c r="H329" s="41" t="n"/>
      <c r="I329" s="41" t="n"/>
      <c r="J329" s="42" t="n"/>
      <c r="K329" s="42" t="n"/>
      <c r="L329" s="42" t="n"/>
      <c r="M329" s="41" t="n"/>
      <c r="N329" s="41" t="n"/>
      <c r="O329" s="41" t="n"/>
      <c r="P329" s="41" t="n"/>
      <c r="Q329" s="40" t="n"/>
      <c r="R329" s="38" t="n"/>
      <c r="S329" s="38" t="n"/>
      <c r="T329" s="39" t="n"/>
      <c r="U329" s="43" t="n"/>
      <c r="V329" s="44">
        <f>IFERROR(IF($A329="","",MAX($F329-$G329,0)),"")</f>
        <v/>
      </c>
      <c r="W329" s="45">
        <f>IFERROR(IF($A329="","",$H329+$I329),"")</f>
        <v/>
      </c>
      <c r="X329" s="45">
        <f>IFERROR(IF($A329="","",$H329*IF($J329="",'Assumptions'!$B$4,$J329)),"")</f>
        <v/>
      </c>
      <c r="Y329" s="45">
        <f>IFERROR(IF($A329="","",$X329*IF($K329="",'Assumptions'!$B$12,$K329)),"")</f>
        <v/>
      </c>
      <c r="Z329" s="45">
        <f>IFERROR(IF($A329="","",($X329+$Y329)*IF($L329="",'Assumptions'!$B$13,$L329)),"")</f>
        <v/>
      </c>
      <c r="AA329" s="45">
        <f>IFERROR(IF($A329="","",$X329+$Y329+$Z329),"")</f>
        <v/>
      </c>
      <c r="AB329" s="45">
        <f>IFERROR(IF($A329="","",$V329*'Assumptions'!$B$5),"")</f>
        <v/>
      </c>
      <c r="AC329" s="45">
        <f>IFERROR(IF($A329="","",$I329*'Assumptions'!$B$6),"")</f>
        <v/>
      </c>
      <c r="AD329" s="45">
        <f>IFERROR(IF($A329="","",$AB329+$AC329),"")</f>
        <v/>
      </c>
      <c r="AE329" s="45">
        <f>IFERROR(IF($A329="","",($M329+$N329)*'Assumptions'!$B$7),"")</f>
        <v/>
      </c>
      <c r="AF329" s="45">
        <f>IFERROR(IF($A329="","",($Q329/60)*'Assumptions'!$B$8),"")</f>
        <v/>
      </c>
      <c r="AG329" s="45">
        <f>IFERROR(IF($A329="","",$P329+$AE329+$AF329),"")</f>
        <v/>
      </c>
      <c r="AH329" s="45">
        <f>IFERROR(IF($A329="","",$M329+$O329),"")</f>
        <v/>
      </c>
      <c r="AI329" s="46">
        <f>IFERROR(IF($A329="","",IFERROR($AH329/$W329,0)),"")</f>
        <v/>
      </c>
      <c r="AJ329" s="45">
        <f>IFERROR(IF($A329="","",$W329-$AH329-$AD329+$AG329),"")</f>
        <v/>
      </c>
      <c r="AK329" s="47">
        <f>IFERROR(IF($A329="","",IF(OR($S329="Collected",$S329="Waived",$S329="Uncollectible",$S329="No Charge Due"),"",IF($T329="",$B329+'Assumptions'!$B$9,$T329+'Assumptions'!$B$9))),"")</f>
        <v/>
      </c>
      <c r="AL329" s="48">
        <f>IFERROR(IF($A329="","",IF(OR($S329="Collected",$S329="Waived",$S329="Uncollectible",$S329="No Charge Due"),"Closed",IF($AK329&lt;TODAY(),"Overdue",IF($AK329=TODAY(),"Due","Open")))),"")</f>
        <v/>
      </c>
      <c r="AM329" s="49">
        <f>IFERROR(IF($A329="","",IF(COUNTIF($A$5:$A$504,$A329)&gt;1,"Duplicate reservation ID",IF($C329&lt;=$B329,"Check stay dates",IF($G329&gt;$F329,"Resold nights exceed booked nights",IF($M329+$N329&gt;$AA329+0.01,"Collection exceeds expected amount",IF(AND($S329="Collected",$M329=0),"Collected status has no amount",IF($AJ329&gt;='Assumptions'!$B$10,"High-cost review","OK"))))))),"")</f>
        <v/>
      </c>
    </row>
    <row r="330">
      <c r="A330" s="38" t="n"/>
      <c r="B330" s="39" t="n"/>
      <c r="C330" s="39" t="n"/>
      <c r="D330" s="38" t="n"/>
      <c r="E330" s="38" t="n"/>
      <c r="F330" s="40" t="n"/>
      <c r="G330" s="40" t="n"/>
      <c r="H330" s="41" t="n"/>
      <c r="I330" s="41" t="n"/>
      <c r="J330" s="42" t="n"/>
      <c r="K330" s="42" t="n"/>
      <c r="L330" s="42" t="n"/>
      <c r="M330" s="41" t="n"/>
      <c r="N330" s="41" t="n"/>
      <c r="O330" s="41" t="n"/>
      <c r="P330" s="41" t="n"/>
      <c r="Q330" s="40" t="n"/>
      <c r="R330" s="38" t="n"/>
      <c r="S330" s="38" t="n"/>
      <c r="T330" s="39" t="n"/>
      <c r="U330" s="43" t="n"/>
      <c r="V330" s="44">
        <f>IFERROR(IF($A330="","",MAX($F330-$G330,0)),"")</f>
        <v/>
      </c>
      <c r="W330" s="45">
        <f>IFERROR(IF($A330="","",$H330+$I330),"")</f>
        <v/>
      </c>
      <c r="X330" s="45">
        <f>IFERROR(IF($A330="","",$H330*IF($J330="",'Assumptions'!$B$4,$J330)),"")</f>
        <v/>
      </c>
      <c r="Y330" s="45">
        <f>IFERROR(IF($A330="","",$X330*IF($K330="",'Assumptions'!$B$12,$K330)),"")</f>
        <v/>
      </c>
      <c r="Z330" s="45">
        <f>IFERROR(IF($A330="","",($X330+$Y330)*IF($L330="",'Assumptions'!$B$13,$L330)),"")</f>
        <v/>
      </c>
      <c r="AA330" s="45">
        <f>IFERROR(IF($A330="","",$X330+$Y330+$Z330),"")</f>
        <v/>
      </c>
      <c r="AB330" s="45">
        <f>IFERROR(IF($A330="","",$V330*'Assumptions'!$B$5),"")</f>
        <v/>
      </c>
      <c r="AC330" s="45">
        <f>IFERROR(IF($A330="","",$I330*'Assumptions'!$B$6),"")</f>
        <v/>
      </c>
      <c r="AD330" s="45">
        <f>IFERROR(IF($A330="","",$AB330+$AC330),"")</f>
        <v/>
      </c>
      <c r="AE330" s="45">
        <f>IFERROR(IF($A330="","",($M330+$N330)*'Assumptions'!$B$7),"")</f>
        <v/>
      </c>
      <c r="AF330" s="45">
        <f>IFERROR(IF($A330="","",($Q330/60)*'Assumptions'!$B$8),"")</f>
        <v/>
      </c>
      <c r="AG330" s="45">
        <f>IFERROR(IF($A330="","",$P330+$AE330+$AF330),"")</f>
        <v/>
      </c>
      <c r="AH330" s="45">
        <f>IFERROR(IF($A330="","",$M330+$O330),"")</f>
        <v/>
      </c>
      <c r="AI330" s="46">
        <f>IFERROR(IF($A330="","",IFERROR($AH330/$W330,0)),"")</f>
        <v/>
      </c>
      <c r="AJ330" s="45">
        <f>IFERROR(IF($A330="","",$W330-$AH330-$AD330+$AG330),"")</f>
        <v/>
      </c>
      <c r="AK330" s="47">
        <f>IFERROR(IF($A330="","",IF(OR($S330="Collected",$S330="Waived",$S330="Uncollectible",$S330="No Charge Due"),"",IF($T330="",$B330+'Assumptions'!$B$9,$T330+'Assumptions'!$B$9))),"")</f>
        <v/>
      </c>
      <c r="AL330" s="48">
        <f>IFERROR(IF($A330="","",IF(OR($S330="Collected",$S330="Waived",$S330="Uncollectible",$S330="No Charge Due"),"Closed",IF($AK330&lt;TODAY(),"Overdue",IF($AK330=TODAY(),"Due","Open")))),"")</f>
        <v/>
      </c>
      <c r="AM330" s="49">
        <f>IFERROR(IF($A330="","",IF(COUNTIF($A$5:$A$504,$A330)&gt;1,"Duplicate reservation ID",IF($C330&lt;=$B330,"Check stay dates",IF($G330&gt;$F330,"Resold nights exceed booked nights",IF($M330+$N330&gt;$AA330+0.01,"Collection exceeds expected amount",IF(AND($S330="Collected",$M330=0),"Collected status has no amount",IF($AJ330&gt;='Assumptions'!$B$10,"High-cost review","OK"))))))),"")</f>
        <v/>
      </c>
    </row>
    <row r="331">
      <c r="A331" s="38" t="n"/>
      <c r="B331" s="39" t="n"/>
      <c r="C331" s="39" t="n"/>
      <c r="D331" s="38" t="n"/>
      <c r="E331" s="38" t="n"/>
      <c r="F331" s="40" t="n"/>
      <c r="G331" s="40" t="n"/>
      <c r="H331" s="41" t="n"/>
      <c r="I331" s="41" t="n"/>
      <c r="J331" s="42" t="n"/>
      <c r="K331" s="42" t="n"/>
      <c r="L331" s="42" t="n"/>
      <c r="M331" s="41" t="n"/>
      <c r="N331" s="41" t="n"/>
      <c r="O331" s="41" t="n"/>
      <c r="P331" s="41" t="n"/>
      <c r="Q331" s="40" t="n"/>
      <c r="R331" s="38" t="n"/>
      <c r="S331" s="38" t="n"/>
      <c r="T331" s="39" t="n"/>
      <c r="U331" s="43" t="n"/>
      <c r="V331" s="44">
        <f>IFERROR(IF($A331="","",MAX($F331-$G331,0)),"")</f>
        <v/>
      </c>
      <c r="W331" s="45">
        <f>IFERROR(IF($A331="","",$H331+$I331),"")</f>
        <v/>
      </c>
      <c r="X331" s="45">
        <f>IFERROR(IF($A331="","",$H331*IF($J331="",'Assumptions'!$B$4,$J331)),"")</f>
        <v/>
      </c>
      <c r="Y331" s="45">
        <f>IFERROR(IF($A331="","",$X331*IF($K331="",'Assumptions'!$B$12,$K331)),"")</f>
        <v/>
      </c>
      <c r="Z331" s="45">
        <f>IFERROR(IF($A331="","",($X331+$Y331)*IF($L331="",'Assumptions'!$B$13,$L331)),"")</f>
        <v/>
      </c>
      <c r="AA331" s="45">
        <f>IFERROR(IF($A331="","",$X331+$Y331+$Z331),"")</f>
        <v/>
      </c>
      <c r="AB331" s="45">
        <f>IFERROR(IF($A331="","",$V331*'Assumptions'!$B$5),"")</f>
        <v/>
      </c>
      <c r="AC331" s="45">
        <f>IFERROR(IF($A331="","",$I331*'Assumptions'!$B$6),"")</f>
        <v/>
      </c>
      <c r="AD331" s="45">
        <f>IFERROR(IF($A331="","",$AB331+$AC331),"")</f>
        <v/>
      </c>
      <c r="AE331" s="45">
        <f>IFERROR(IF($A331="","",($M331+$N331)*'Assumptions'!$B$7),"")</f>
        <v/>
      </c>
      <c r="AF331" s="45">
        <f>IFERROR(IF($A331="","",($Q331/60)*'Assumptions'!$B$8),"")</f>
        <v/>
      </c>
      <c r="AG331" s="45">
        <f>IFERROR(IF($A331="","",$P331+$AE331+$AF331),"")</f>
        <v/>
      </c>
      <c r="AH331" s="45">
        <f>IFERROR(IF($A331="","",$M331+$O331),"")</f>
        <v/>
      </c>
      <c r="AI331" s="46">
        <f>IFERROR(IF($A331="","",IFERROR($AH331/$W331,0)),"")</f>
        <v/>
      </c>
      <c r="AJ331" s="45">
        <f>IFERROR(IF($A331="","",$W331-$AH331-$AD331+$AG331),"")</f>
        <v/>
      </c>
      <c r="AK331" s="47">
        <f>IFERROR(IF($A331="","",IF(OR($S331="Collected",$S331="Waived",$S331="Uncollectible",$S331="No Charge Due"),"",IF($T331="",$B331+'Assumptions'!$B$9,$T331+'Assumptions'!$B$9))),"")</f>
        <v/>
      </c>
      <c r="AL331" s="48">
        <f>IFERROR(IF($A331="","",IF(OR($S331="Collected",$S331="Waived",$S331="Uncollectible",$S331="No Charge Due"),"Closed",IF($AK331&lt;TODAY(),"Overdue",IF($AK331=TODAY(),"Due","Open")))),"")</f>
        <v/>
      </c>
      <c r="AM331" s="49">
        <f>IFERROR(IF($A331="","",IF(COUNTIF($A$5:$A$504,$A331)&gt;1,"Duplicate reservation ID",IF($C331&lt;=$B331,"Check stay dates",IF($G331&gt;$F331,"Resold nights exceed booked nights",IF($M331+$N331&gt;$AA331+0.01,"Collection exceeds expected amount",IF(AND($S331="Collected",$M331=0),"Collected status has no amount",IF($AJ331&gt;='Assumptions'!$B$10,"High-cost review","OK"))))))),"")</f>
        <v/>
      </c>
    </row>
    <row r="332">
      <c r="A332" s="38" t="n"/>
      <c r="B332" s="39" t="n"/>
      <c r="C332" s="39" t="n"/>
      <c r="D332" s="38" t="n"/>
      <c r="E332" s="38" t="n"/>
      <c r="F332" s="40" t="n"/>
      <c r="G332" s="40" t="n"/>
      <c r="H332" s="41" t="n"/>
      <c r="I332" s="41" t="n"/>
      <c r="J332" s="42" t="n"/>
      <c r="K332" s="42" t="n"/>
      <c r="L332" s="42" t="n"/>
      <c r="M332" s="41" t="n"/>
      <c r="N332" s="41" t="n"/>
      <c r="O332" s="41" t="n"/>
      <c r="P332" s="41" t="n"/>
      <c r="Q332" s="40" t="n"/>
      <c r="R332" s="38" t="n"/>
      <c r="S332" s="38" t="n"/>
      <c r="T332" s="39" t="n"/>
      <c r="U332" s="43" t="n"/>
      <c r="V332" s="44">
        <f>IFERROR(IF($A332="","",MAX($F332-$G332,0)),"")</f>
        <v/>
      </c>
      <c r="W332" s="45">
        <f>IFERROR(IF($A332="","",$H332+$I332),"")</f>
        <v/>
      </c>
      <c r="X332" s="45">
        <f>IFERROR(IF($A332="","",$H332*IF($J332="",'Assumptions'!$B$4,$J332)),"")</f>
        <v/>
      </c>
      <c r="Y332" s="45">
        <f>IFERROR(IF($A332="","",$X332*IF($K332="",'Assumptions'!$B$12,$K332)),"")</f>
        <v/>
      </c>
      <c r="Z332" s="45">
        <f>IFERROR(IF($A332="","",($X332+$Y332)*IF($L332="",'Assumptions'!$B$13,$L332)),"")</f>
        <v/>
      </c>
      <c r="AA332" s="45">
        <f>IFERROR(IF($A332="","",$X332+$Y332+$Z332),"")</f>
        <v/>
      </c>
      <c r="AB332" s="45">
        <f>IFERROR(IF($A332="","",$V332*'Assumptions'!$B$5),"")</f>
        <v/>
      </c>
      <c r="AC332" s="45">
        <f>IFERROR(IF($A332="","",$I332*'Assumptions'!$B$6),"")</f>
        <v/>
      </c>
      <c r="AD332" s="45">
        <f>IFERROR(IF($A332="","",$AB332+$AC332),"")</f>
        <v/>
      </c>
      <c r="AE332" s="45">
        <f>IFERROR(IF($A332="","",($M332+$N332)*'Assumptions'!$B$7),"")</f>
        <v/>
      </c>
      <c r="AF332" s="45">
        <f>IFERROR(IF($A332="","",($Q332/60)*'Assumptions'!$B$8),"")</f>
        <v/>
      </c>
      <c r="AG332" s="45">
        <f>IFERROR(IF($A332="","",$P332+$AE332+$AF332),"")</f>
        <v/>
      </c>
      <c r="AH332" s="45">
        <f>IFERROR(IF($A332="","",$M332+$O332),"")</f>
        <v/>
      </c>
      <c r="AI332" s="46">
        <f>IFERROR(IF($A332="","",IFERROR($AH332/$W332,0)),"")</f>
        <v/>
      </c>
      <c r="AJ332" s="45">
        <f>IFERROR(IF($A332="","",$W332-$AH332-$AD332+$AG332),"")</f>
        <v/>
      </c>
      <c r="AK332" s="47">
        <f>IFERROR(IF($A332="","",IF(OR($S332="Collected",$S332="Waived",$S332="Uncollectible",$S332="No Charge Due"),"",IF($T332="",$B332+'Assumptions'!$B$9,$T332+'Assumptions'!$B$9))),"")</f>
        <v/>
      </c>
      <c r="AL332" s="48">
        <f>IFERROR(IF($A332="","",IF(OR($S332="Collected",$S332="Waived",$S332="Uncollectible",$S332="No Charge Due"),"Closed",IF($AK332&lt;TODAY(),"Overdue",IF($AK332=TODAY(),"Due","Open")))),"")</f>
        <v/>
      </c>
      <c r="AM332" s="49">
        <f>IFERROR(IF($A332="","",IF(COUNTIF($A$5:$A$504,$A332)&gt;1,"Duplicate reservation ID",IF($C332&lt;=$B332,"Check stay dates",IF($G332&gt;$F332,"Resold nights exceed booked nights",IF($M332+$N332&gt;$AA332+0.01,"Collection exceeds expected amount",IF(AND($S332="Collected",$M332=0),"Collected status has no amount",IF($AJ332&gt;='Assumptions'!$B$10,"High-cost review","OK"))))))),"")</f>
        <v/>
      </c>
    </row>
    <row r="333">
      <c r="A333" s="38" t="n"/>
      <c r="B333" s="39" t="n"/>
      <c r="C333" s="39" t="n"/>
      <c r="D333" s="38" t="n"/>
      <c r="E333" s="38" t="n"/>
      <c r="F333" s="40" t="n"/>
      <c r="G333" s="40" t="n"/>
      <c r="H333" s="41" t="n"/>
      <c r="I333" s="41" t="n"/>
      <c r="J333" s="42" t="n"/>
      <c r="K333" s="42" t="n"/>
      <c r="L333" s="42" t="n"/>
      <c r="M333" s="41" t="n"/>
      <c r="N333" s="41" t="n"/>
      <c r="O333" s="41" t="n"/>
      <c r="P333" s="41" t="n"/>
      <c r="Q333" s="40" t="n"/>
      <c r="R333" s="38" t="n"/>
      <c r="S333" s="38" t="n"/>
      <c r="T333" s="39" t="n"/>
      <c r="U333" s="43" t="n"/>
      <c r="V333" s="44">
        <f>IFERROR(IF($A333="","",MAX($F333-$G333,0)),"")</f>
        <v/>
      </c>
      <c r="W333" s="45">
        <f>IFERROR(IF($A333="","",$H333+$I333),"")</f>
        <v/>
      </c>
      <c r="X333" s="45">
        <f>IFERROR(IF($A333="","",$H333*IF($J333="",'Assumptions'!$B$4,$J333)),"")</f>
        <v/>
      </c>
      <c r="Y333" s="45">
        <f>IFERROR(IF($A333="","",$X333*IF($K333="",'Assumptions'!$B$12,$K333)),"")</f>
        <v/>
      </c>
      <c r="Z333" s="45">
        <f>IFERROR(IF($A333="","",($X333+$Y333)*IF($L333="",'Assumptions'!$B$13,$L333)),"")</f>
        <v/>
      </c>
      <c r="AA333" s="45">
        <f>IFERROR(IF($A333="","",$X333+$Y333+$Z333),"")</f>
        <v/>
      </c>
      <c r="AB333" s="45">
        <f>IFERROR(IF($A333="","",$V333*'Assumptions'!$B$5),"")</f>
        <v/>
      </c>
      <c r="AC333" s="45">
        <f>IFERROR(IF($A333="","",$I333*'Assumptions'!$B$6),"")</f>
        <v/>
      </c>
      <c r="AD333" s="45">
        <f>IFERROR(IF($A333="","",$AB333+$AC333),"")</f>
        <v/>
      </c>
      <c r="AE333" s="45">
        <f>IFERROR(IF($A333="","",($M333+$N333)*'Assumptions'!$B$7),"")</f>
        <v/>
      </c>
      <c r="AF333" s="45">
        <f>IFERROR(IF($A333="","",($Q333/60)*'Assumptions'!$B$8),"")</f>
        <v/>
      </c>
      <c r="AG333" s="45">
        <f>IFERROR(IF($A333="","",$P333+$AE333+$AF333),"")</f>
        <v/>
      </c>
      <c r="AH333" s="45">
        <f>IFERROR(IF($A333="","",$M333+$O333),"")</f>
        <v/>
      </c>
      <c r="AI333" s="46">
        <f>IFERROR(IF($A333="","",IFERROR($AH333/$W333,0)),"")</f>
        <v/>
      </c>
      <c r="AJ333" s="45">
        <f>IFERROR(IF($A333="","",$W333-$AH333-$AD333+$AG333),"")</f>
        <v/>
      </c>
      <c r="AK333" s="47">
        <f>IFERROR(IF($A333="","",IF(OR($S333="Collected",$S333="Waived",$S333="Uncollectible",$S333="No Charge Due"),"",IF($T333="",$B333+'Assumptions'!$B$9,$T333+'Assumptions'!$B$9))),"")</f>
        <v/>
      </c>
      <c r="AL333" s="48">
        <f>IFERROR(IF($A333="","",IF(OR($S333="Collected",$S333="Waived",$S333="Uncollectible",$S333="No Charge Due"),"Closed",IF($AK333&lt;TODAY(),"Overdue",IF($AK333=TODAY(),"Due","Open")))),"")</f>
        <v/>
      </c>
      <c r="AM333" s="49">
        <f>IFERROR(IF($A333="","",IF(COUNTIF($A$5:$A$504,$A333)&gt;1,"Duplicate reservation ID",IF($C333&lt;=$B333,"Check stay dates",IF($G333&gt;$F333,"Resold nights exceed booked nights",IF($M333+$N333&gt;$AA333+0.01,"Collection exceeds expected amount",IF(AND($S333="Collected",$M333=0),"Collected status has no amount",IF($AJ333&gt;='Assumptions'!$B$10,"High-cost review","OK"))))))),"")</f>
        <v/>
      </c>
    </row>
    <row r="334">
      <c r="A334" s="38" t="n"/>
      <c r="B334" s="39" t="n"/>
      <c r="C334" s="39" t="n"/>
      <c r="D334" s="38" t="n"/>
      <c r="E334" s="38" t="n"/>
      <c r="F334" s="40" t="n"/>
      <c r="G334" s="40" t="n"/>
      <c r="H334" s="41" t="n"/>
      <c r="I334" s="41" t="n"/>
      <c r="J334" s="42" t="n"/>
      <c r="K334" s="42" t="n"/>
      <c r="L334" s="42" t="n"/>
      <c r="M334" s="41" t="n"/>
      <c r="N334" s="41" t="n"/>
      <c r="O334" s="41" t="n"/>
      <c r="P334" s="41" t="n"/>
      <c r="Q334" s="40" t="n"/>
      <c r="R334" s="38" t="n"/>
      <c r="S334" s="38" t="n"/>
      <c r="T334" s="39" t="n"/>
      <c r="U334" s="43" t="n"/>
      <c r="V334" s="44">
        <f>IFERROR(IF($A334="","",MAX($F334-$G334,0)),"")</f>
        <v/>
      </c>
      <c r="W334" s="45">
        <f>IFERROR(IF($A334="","",$H334+$I334),"")</f>
        <v/>
      </c>
      <c r="X334" s="45">
        <f>IFERROR(IF($A334="","",$H334*IF($J334="",'Assumptions'!$B$4,$J334)),"")</f>
        <v/>
      </c>
      <c r="Y334" s="45">
        <f>IFERROR(IF($A334="","",$X334*IF($K334="",'Assumptions'!$B$12,$K334)),"")</f>
        <v/>
      </c>
      <c r="Z334" s="45">
        <f>IFERROR(IF($A334="","",($X334+$Y334)*IF($L334="",'Assumptions'!$B$13,$L334)),"")</f>
        <v/>
      </c>
      <c r="AA334" s="45">
        <f>IFERROR(IF($A334="","",$X334+$Y334+$Z334),"")</f>
        <v/>
      </c>
      <c r="AB334" s="45">
        <f>IFERROR(IF($A334="","",$V334*'Assumptions'!$B$5),"")</f>
        <v/>
      </c>
      <c r="AC334" s="45">
        <f>IFERROR(IF($A334="","",$I334*'Assumptions'!$B$6),"")</f>
        <v/>
      </c>
      <c r="AD334" s="45">
        <f>IFERROR(IF($A334="","",$AB334+$AC334),"")</f>
        <v/>
      </c>
      <c r="AE334" s="45">
        <f>IFERROR(IF($A334="","",($M334+$N334)*'Assumptions'!$B$7),"")</f>
        <v/>
      </c>
      <c r="AF334" s="45">
        <f>IFERROR(IF($A334="","",($Q334/60)*'Assumptions'!$B$8),"")</f>
        <v/>
      </c>
      <c r="AG334" s="45">
        <f>IFERROR(IF($A334="","",$P334+$AE334+$AF334),"")</f>
        <v/>
      </c>
      <c r="AH334" s="45">
        <f>IFERROR(IF($A334="","",$M334+$O334),"")</f>
        <v/>
      </c>
      <c r="AI334" s="46">
        <f>IFERROR(IF($A334="","",IFERROR($AH334/$W334,0)),"")</f>
        <v/>
      </c>
      <c r="AJ334" s="45">
        <f>IFERROR(IF($A334="","",$W334-$AH334-$AD334+$AG334),"")</f>
        <v/>
      </c>
      <c r="AK334" s="47">
        <f>IFERROR(IF($A334="","",IF(OR($S334="Collected",$S334="Waived",$S334="Uncollectible",$S334="No Charge Due"),"",IF($T334="",$B334+'Assumptions'!$B$9,$T334+'Assumptions'!$B$9))),"")</f>
        <v/>
      </c>
      <c r="AL334" s="48">
        <f>IFERROR(IF($A334="","",IF(OR($S334="Collected",$S334="Waived",$S334="Uncollectible",$S334="No Charge Due"),"Closed",IF($AK334&lt;TODAY(),"Overdue",IF($AK334=TODAY(),"Due","Open")))),"")</f>
        <v/>
      </c>
      <c r="AM334" s="49">
        <f>IFERROR(IF($A334="","",IF(COUNTIF($A$5:$A$504,$A334)&gt;1,"Duplicate reservation ID",IF($C334&lt;=$B334,"Check stay dates",IF($G334&gt;$F334,"Resold nights exceed booked nights",IF($M334+$N334&gt;$AA334+0.01,"Collection exceeds expected amount",IF(AND($S334="Collected",$M334=0),"Collected status has no amount",IF($AJ334&gt;='Assumptions'!$B$10,"High-cost review","OK"))))))),"")</f>
        <v/>
      </c>
    </row>
    <row r="335">
      <c r="A335" s="38" t="n"/>
      <c r="B335" s="39" t="n"/>
      <c r="C335" s="39" t="n"/>
      <c r="D335" s="38" t="n"/>
      <c r="E335" s="38" t="n"/>
      <c r="F335" s="40" t="n"/>
      <c r="G335" s="40" t="n"/>
      <c r="H335" s="41" t="n"/>
      <c r="I335" s="41" t="n"/>
      <c r="J335" s="42" t="n"/>
      <c r="K335" s="42" t="n"/>
      <c r="L335" s="42" t="n"/>
      <c r="M335" s="41" t="n"/>
      <c r="N335" s="41" t="n"/>
      <c r="O335" s="41" t="n"/>
      <c r="P335" s="41" t="n"/>
      <c r="Q335" s="40" t="n"/>
      <c r="R335" s="38" t="n"/>
      <c r="S335" s="38" t="n"/>
      <c r="T335" s="39" t="n"/>
      <c r="U335" s="43" t="n"/>
      <c r="V335" s="44">
        <f>IFERROR(IF($A335="","",MAX($F335-$G335,0)),"")</f>
        <v/>
      </c>
      <c r="W335" s="45">
        <f>IFERROR(IF($A335="","",$H335+$I335),"")</f>
        <v/>
      </c>
      <c r="X335" s="45">
        <f>IFERROR(IF($A335="","",$H335*IF($J335="",'Assumptions'!$B$4,$J335)),"")</f>
        <v/>
      </c>
      <c r="Y335" s="45">
        <f>IFERROR(IF($A335="","",$X335*IF($K335="",'Assumptions'!$B$12,$K335)),"")</f>
        <v/>
      </c>
      <c r="Z335" s="45">
        <f>IFERROR(IF($A335="","",($X335+$Y335)*IF($L335="",'Assumptions'!$B$13,$L335)),"")</f>
        <v/>
      </c>
      <c r="AA335" s="45">
        <f>IFERROR(IF($A335="","",$X335+$Y335+$Z335),"")</f>
        <v/>
      </c>
      <c r="AB335" s="45">
        <f>IFERROR(IF($A335="","",$V335*'Assumptions'!$B$5),"")</f>
        <v/>
      </c>
      <c r="AC335" s="45">
        <f>IFERROR(IF($A335="","",$I335*'Assumptions'!$B$6),"")</f>
        <v/>
      </c>
      <c r="AD335" s="45">
        <f>IFERROR(IF($A335="","",$AB335+$AC335),"")</f>
        <v/>
      </c>
      <c r="AE335" s="45">
        <f>IFERROR(IF($A335="","",($M335+$N335)*'Assumptions'!$B$7),"")</f>
        <v/>
      </c>
      <c r="AF335" s="45">
        <f>IFERROR(IF($A335="","",($Q335/60)*'Assumptions'!$B$8),"")</f>
        <v/>
      </c>
      <c r="AG335" s="45">
        <f>IFERROR(IF($A335="","",$P335+$AE335+$AF335),"")</f>
        <v/>
      </c>
      <c r="AH335" s="45">
        <f>IFERROR(IF($A335="","",$M335+$O335),"")</f>
        <v/>
      </c>
      <c r="AI335" s="46">
        <f>IFERROR(IF($A335="","",IFERROR($AH335/$W335,0)),"")</f>
        <v/>
      </c>
      <c r="AJ335" s="45">
        <f>IFERROR(IF($A335="","",$W335-$AH335-$AD335+$AG335),"")</f>
        <v/>
      </c>
      <c r="AK335" s="47">
        <f>IFERROR(IF($A335="","",IF(OR($S335="Collected",$S335="Waived",$S335="Uncollectible",$S335="No Charge Due"),"",IF($T335="",$B335+'Assumptions'!$B$9,$T335+'Assumptions'!$B$9))),"")</f>
        <v/>
      </c>
      <c r="AL335" s="48">
        <f>IFERROR(IF($A335="","",IF(OR($S335="Collected",$S335="Waived",$S335="Uncollectible",$S335="No Charge Due"),"Closed",IF($AK335&lt;TODAY(),"Overdue",IF($AK335=TODAY(),"Due","Open")))),"")</f>
        <v/>
      </c>
      <c r="AM335" s="49">
        <f>IFERROR(IF($A335="","",IF(COUNTIF($A$5:$A$504,$A335)&gt;1,"Duplicate reservation ID",IF($C335&lt;=$B335,"Check stay dates",IF($G335&gt;$F335,"Resold nights exceed booked nights",IF($M335+$N335&gt;$AA335+0.01,"Collection exceeds expected amount",IF(AND($S335="Collected",$M335=0),"Collected status has no amount",IF($AJ335&gt;='Assumptions'!$B$10,"High-cost review","OK"))))))),"")</f>
        <v/>
      </c>
    </row>
    <row r="336">
      <c r="A336" s="38" t="n"/>
      <c r="B336" s="39" t="n"/>
      <c r="C336" s="39" t="n"/>
      <c r="D336" s="38" t="n"/>
      <c r="E336" s="38" t="n"/>
      <c r="F336" s="40" t="n"/>
      <c r="G336" s="40" t="n"/>
      <c r="H336" s="41" t="n"/>
      <c r="I336" s="41" t="n"/>
      <c r="J336" s="42" t="n"/>
      <c r="K336" s="42" t="n"/>
      <c r="L336" s="42" t="n"/>
      <c r="M336" s="41" t="n"/>
      <c r="N336" s="41" t="n"/>
      <c r="O336" s="41" t="n"/>
      <c r="P336" s="41" t="n"/>
      <c r="Q336" s="40" t="n"/>
      <c r="R336" s="38" t="n"/>
      <c r="S336" s="38" t="n"/>
      <c r="T336" s="39" t="n"/>
      <c r="U336" s="43" t="n"/>
      <c r="V336" s="44">
        <f>IFERROR(IF($A336="","",MAX($F336-$G336,0)),"")</f>
        <v/>
      </c>
      <c r="W336" s="45">
        <f>IFERROR(IF($A336="","",$H336+$I336),"")</f>
        <v/>
      </c>
      <c r="X336" s="45">
        <f>IFERROR(IF($A336="","",$H336*IF($J336="",'Assumptions'!$B$4,$J336)),"")</f>
        <v/>
      </c>
      <c r="Y336" s="45">
        <f>IFERROR(IF($A336="","",$X336*IF($K336="",'Assumptions'!$B$12,$K336)),"")</f>
        <v/>
      </c>
      <c r="Z336" s="45">
        <f>IFERROR(IF($A336="","",($X336+$Y336)*IF($L336="",'Assumptions'!$B$13,$L336)),"")</f>
        <v/>
      </c>
      <c r="AA336" s="45">
        <f>IFERROR(IF($A336="","",$X336+$Y336+$Z336),"")</f>
        <v/>
      </c>
      <c r="AB336" s="45">
        <f>IFERROR(IF($A336="","",$V336*'Assumptions'!$B$5),"")</f>
        <v/>
      </c>
      <c r="AC336" s="45">
        <f>IFERROR(IF($A336="","",$I336*'Assumptions'!$B$6),"")</f>
        <v/>
      </c>
      <c r="AD336" s="45">
        <f>IFERROR(IF($A336="","",$AB336+$AC336),"")</f>
        <v/>
      </c>
      <c r="AE336" s="45">
        <f>IFERROR(IF($A336="","",($M336+$N336)*'Assumptions'!$B$7),"")</f>
        <v/>
      </c>
      <c r="AF336" s="45">
        <f>IFERROR(IF($A336="","",($Q336/60)*'Assumptions'!$B$8),"")</f>
        <v/>
      </c>
      <c r="AG336" s="45">
        <f>IFERROR(IF($A336="","",$P336+$AE336+$AF336),"")</f>
        <v/>
      </c>
      <c r="AH336" s="45">
        <f>IFERROR(IF($A336="","",$M336+$O336),"")</f>
        <v/>
      </c>
      <c r="AI336" s="46">
        <f>IFERROR(IF($A336="","",IFERROR($AH336/$W336,0)),"")</f>
        <v/>
      </c>
      <c r="AJ336" s="45">
        <f>IFERROR(IF($A336="","",$W336-$AH336-$AD336+$AG336),"")</f>
        <v/>
      </c>
      <c r="AK336" s="47">
        <f>IFERROR(IF($A336="","",IF(OR($S336="Collected",$S336="Waived",$S336="Uncollectible",$S336="No Charge Due"),"",IF($T336="",$B336+'Assumptions'!$B$9,$T336+'Assumptions'!$B$9))),"")</f>
        <v/>
      </c>
      <c r="AL336" s="48">
        <f>IFERROR(IF($A336="","",IF(OR($S336="Collected",$S336="Waived",$S336="Uncollectible",$S336="No Charge Due"),"Closed",IF($AK336&lt;TODAY(),"Overdue",IF($AK336=TODAY(),"Due","Open")))),"")</f>
        <v/>
      </c>
      <c r="AM336" s="49">
        <f>IFERROR(IF($A336="","",IF(COUNTIF($A$5:$A$504,$A336)&gt;1,"Duplicate reservation ID",IF($C336&lt;=$B336,"Check stay dates",IF($G336&gt;$F336,"Resold nights exceed booked nights",IF($M336+$N336&gt;$AA336+0.01,"Collection exceeds expected amount",IF(AND($S336="Collected",$M336=0),"Collected status has no amount",IF($AJ336&gt;='Assumptions'!$B$10,"High-cost review","OK"))))))),"")</f>
        <v/>
      </c>
    </row>
    <row r="337">
      <c r="A337" s="38" t="n"/>
      <c r="B337" s="39" t="n"/>
      <c r="C337" s="39" t="n"/>
      <c r="D337" s="38" t="n"/>
      <c r="E337" s="38" t="n"/>
      <c r="F337" s="40" t="n"/>
      <c r="G337" s="40" t="n"/>
      <c r="H337" s="41" t="n"/>
      <c r="I337" s="41" t="n"/>
      <c r="J337" s="42" t="n"/>
      <c r="K337" s="42" t="n"/>
      <c r="L337" s="42" t="n"/>
      <c r="M337" s="41" t="n"/>
      <c r="N337" s="41" t="n"/>
      <c r="O337" s="41" t="n"/>
      <c r="P337" s="41" t="n"/>
      <c r="Q337" s="40" t="n"/>
      <c r="R337" s="38" t="n"/>
      <c r="S337" s="38" t="n"/>
      <c r="T337" s="39" t="n"/>
      <c r="U337" s="43" t="n"/>
      <c r="V337" s="44">
        <f>IFERROR(IF($A337="","",MAX($F337-$G337,0)),"")</f>
        <v/>
      </c>
      <c r="W337" s="45">
        <f>IFERROR(IF($A337="","",$H337+$I337),"")</f>
        <v/>
      </c>
      <c r="X337" s="45">
        <f>IFERROR(IF($A337="","",$H337*IF($J337="",'Assumptions'!$B$4,$J337)),"")</f>
        <v/>
      </c>
      <c r="Y337" s="45">
        <f>IFERROR(IF($A337="","",$X337*IF($K337="",'Assumptions'!$B$12,$K337)),"")</f>
        <v/>
      </c>
      <c r="Z337" s="45">
        <f>IFERROR(IF($A337="","",($X337+$Y337)*IF($L337="",'Assumptions'!$B$13,$L337)),"")</f>
        <v/>
      </c>
      <c r="AA337" s="45">
        <f>IFERROR(IF($A337="","",$X337+$Y337+$Z337),"")</f>
        <v/>
      </c>
      <c r="AB337" s="45">
        <f>IFERROR(IF($A337="","",$V337*'Assumptions'!$B$5),"")</f>
        <v/>
      </c>
      <c r="AC337" s="45">
        <f>IFERROR(IF($A337="","",$I337*'Assumptions'!$B$6),"")</f>
        <v/>
      </c>
      <c r="AD337" s="45">
        <f>IFERROR(IF($A337="","",$AB337+$AC337),"")</f>
        <v/>
      </c>
      <c r="AE337" s="45">
        <f>IFERROR(IF($A337="","",($M337+$N337)*'Assumptions'!$B$7),"")</f>
        <v/>
      </c>
      <c r="AF337" s="45">
        <f>IFERROR(IF($A337="","",($Q337/60)*'Assumptions'!$B$8),"")</f>
        <v/>
      </c>
      <c r="AG337" s="45">
        <f>IFERROR(IF($A337="","",$P337+$AE337+$AF337),"")</f>
        <v/>
      </c>
      <c r="AH337" s="45">
        <f>IFERROR(IF($A337="","",$M337+$O337),"")</f>
        <v/>
      </c>
      <c r="AI337" s="46">
        <f>IFERROR(IF($A337="","",IFERROR($AH337/$W337,0)),"")</f>
        <v/>
      </c>
      <c r="AJ337" s="45">
        <f>IFERROR(IF($A337="","",$W337-$AH337-$AD337+$AG337),"")</f>
        <v/>
      </c>
      <c r="AK337" s="47">
        <f>IFERROR(IF($A337="","",IF(OR($S337="Collected",$S337="Waived",$S337="Uncollectible",$S337="No Charge Due"),"",IF($T337="",$B337+'Assumptions'!$B$9,$T337+'Assumptions'!$B$9))),"")</f>
        <v/>
      </c>
      <c r="AL337" s="48">
        <f>IFERROR(IF($A337="","",IF(OR($S337="Collected",$S337="Waived",$S337="Uncollectible",$S337="No Charge Due"),"Closed",IF($AK337&lt;TODAY(),"Overdue",IF($AK337=TODAY(),"Due","Open")))),"")</f>
        <v/>
      </c>
      <c r="AM337" s="49">
        <f>IFERROR(IF($A337="","",IF(COUNTIF($A$5:$A$504,$A337)&gt;1,"Duplicate reservation ID",IF($C337&lt;=$B337,"Check stay dates",IF($G337&gt;$F337,"Resold nights exceed booked nights",IF($M337+$N337&gt;$AA337+0.01,"Collection exceeds expected amount",IF(AND($S337="Collected",$M337=0),"Collected status has no amount",IF($AJ337&gt;='Assumptions'!$B$10,"High-cost review","OK"))))))),"")</f>
        <v/>
      </c>
    </row>
    <row r="338">
      <c r="A338" s="38" t="n"/>
      <c r="B338" s="39" t="n"/>
      <c r="C338" s="39" t="n"/>
      <c r="D338" s="38" t="n"/>
      <c r="E338" s="38" t="n"/>
      <c r="F338" s="40" t="n"/>
      <c r="G338" s="40" t="n"/>
      <c r="H338" s="41" t="n"/>
      <c r="I338" s="41" t="n"/>
      <c r="J338" s="42" t="n"/>
      <c r="K338" s="42" t="n"/>
      <c r="L338" s="42" t="n"/>
      <c r="M338" s="41" t="n"/>
      <c r="N338" s="41" t="n"/>
      <c r="O338" s="41" t="n"/>
      <c r="P338" s="41" t="n"/>
      <c r="Q338" s="40" t="n"/>
      <c r="R338" s="38" t="n"/>
      <c r="S338" s="38" t="n"/>
      <c r="T338" s="39" t="n"/>
      <c r="U338" s="43" t="n"/>
      <c r="V338" s="44">
        <f>IFERROR(IF($A338="","",MAX($F338-$G338,0)),"")</f>
        <v/>
      </c>
      <c r="W338" s="45">
        <f>IFERROR(IF($A338="","",$H338+$I338),"")</f>
        <v/>
      </c>
      <c r="X338" s="45">
        <f>IFERROR(IF($A338="","",$H338*IF($J338="",'Assumptions'!$B$4,$J338)),"")</f>
        <v/>
      </c>
      <c r="Y338" s="45">
        <f>IFERROR(IF($A338="","",$X338*IF($K338="",'Assumptions'!$B$12,$K338)),"")</f>
        <v/>
      </c>
      <c r="Z338" s="45">
        <f>IFERROR(IF($A338="","",($X338+$Y338)*IF($L338="",'Assumptions'!$B$13,$L338)),"")</f>
        <v/>
      </c>
      <c r="AA338" s="45">
        <f>IFERROR(IF($A338="","",$X338+$Y338+$Z338),"")</f>
        <v/>
      </c>
      <c r="AB338" s="45">
        <f>IFERROR(IF($A338="","",$V338*'Assumptions'!$B$5),"")</f>
        <v/>
      </c>
      <c r="AC338" s="45">
        <f>IFERROR(IF($A338="","",$I338*'Assumptions'!$B$6),"")</f>
        <v/>
      </c>
      <c r="AD338" s="45">
        <f>IFERROR(IF($A338="","",$AB338+$AC338),"")</f>
        <v/>
      </c>
      <c r="AE338" s="45">
        <f>IFERROR(IF($A338="","",($M338+$N338)*'Assumptions'!$B$7),"")</f>
        <v/>
      </c>
      <c r="AF338" s="45">
        <f>IFERROR(IF($A338="","",($Q338/60)*'Assumptions'!$B$8),"")</f>
        <v/>
      </c>
      <c r="AG338" s="45">
        <f>IFERROR(IF($A338="","",$P338+$AE338+$AF338),"")</f>
        <v/>
      </c>
      <c r="AH338" s="45">
        <f>IFERROR(IF($A338="","",$M338+$O338),"")</f>
        <v/>
      </c>
      <c r="AI338" s="46">
        <f>IFERROR(IF($A338="","",IFERROR($AH338/$W338,0)),"")</f>
        <v/>
      </c>
      <c r="AJ338" s="45">
        <f>IFERROR(IF($A338="","",$W338-$AH338-$AD338+$AG338),"")</f>
        <v/>
      </c>
      <c r="AK338" s="47">
        <f>IFERROR(IF($A338="","",IF(OR($S338="Collected",$S338="Waived",$S338="Uncollectible",$S338="No Charge Due"),"",IF($T338="",$B338+'Assumptions'!$B$9,$T338+'Assumptions'!$B$9))),"")</f>
        <v/>
      </c>
      <c r="AL338" s="48">
        <f>IFERROR(IF($A338="","",IF(OR($S338="Collected",$S338="Waived",$S338="Uncollectible",$S338="No Charge Due"),"Closed",IF($AK338&lt;TODAY(),"Overdue",IF($AK338=TODAY(),"Due","Open")))),"")</f>
        <v/>
      </c>
      <c r="AM338" s="49">
        <f>IFERROR(IF($A338="","",IF(COUNTIF($A$5:$A$504,$A338)&gt;1,"Duplicate reservation ID",IF($C338&lt;=$B338,"Check stay dates",IF($G338&gt;$F338,"Resold nights exceed booked nights",IF($M338+$N338&gt;$AA338+0.01,"Collection exceeds expected amount",IF(AND($S338="Collected",$M338=0),"Collected status has no amount",IF($AJ338&gt;='Assumptions'!$B$10,"High-cost review","OK"))))))),"")</f>
        <v/>
      </c>
    </row>
    <row r="339">
      <c r="A339" s="38" t="n"/>
      <c r="B339" s="39" t="n"/>
      <c r="C339" s="39" t="n"/>
      <c r="D339" s="38" t="n"/>
      <c r="E339" s="38" t="n"/>
      <c r="F339" s="40" t="n"/>
      <c r="G339" s="40" t="n"/>
      <c r="H339" s="41" t="n"/>
      <c r="I339" s="41" t="n"/>
      <c r="J339" s="42" t="n"/>
      <c r="K339" s="42" t="n"/>
      <c r="L339" s="42" t="n"/>
      <c r="M339" s="41" t="n"/>
      <c r="N339" s="41" t="n"/>
      <c r="O339" s="41" t="n"/>
      <c r="P339" s="41" t="n"/>
      <c r="Q339" s="40" t="n"/>
      <c r="R339" s="38" t="n"/>
      <c r="S339" s="38" t="n"/>
      <c r="T339" s="39" t="n"/>
      <c r="U339" s="43" t="n"/>
      <c r="V339" s="44">
        <f>IFERROR(IF($A339="","",MAX($F339-$G339,0)),"")</f>
        <v/>
      </c>
      <c r="W339" s="45">
        <f>IFERROR(IF($A339="","",$H339+$I339),"")</f>
        <v/>
      </c>
      <c r="X339" s="45">
        <f>IFERROR(IF($A339="","",$H339*IF($J339="",'Assumptions'!$B$4,$J339)),"")</f>
        <v/>
      </c>
      <c r="Y339" s="45">
        <f>IFERROR(IF($A339="","",$X339*IF($K339="",'Assumptions'!$B$12,$K339)),"")</f>
        <v/>
      </c>
      <c r="Z339" s="45">
        <f>IFERROR(IF($A339="","",($X339+$Y339)*IF($L339="",'Assumptions'!$B$13,$L339)),"")</f>
        <v/>
      </c>
      <c r="AA339" s="45">
        <f>IFERROR(IF($A339="","",$X339+$Y339+$Z339),"")</f>
        <v/>
      </c>
      <c r="AB339" s="45">
        <f>IFERROR(IF($A339="","",$V339*'Assumptions'!$B$5),"")</f>
        <v/>
      </c>
      <c r="AC339" s="45">
        <f>IFERROR(IF($A339="","",$I339*'Assumptions'!$B$6),"")</f>
        <v/>
      </c>
      <c r="AD339" s="45">
        <f>IFERROR(IF($A339="","",$AB339+$AC339),"")</f>
        <v/>
      </c>
      <c r="AE339" s="45">
        <f>IFERROR(IF($A339="","",($M339+$N339)*'Assumptions'!$B$7),"")</f>
        <v/>
      </c>
      <c r="AF339" s="45">
        <f>IFERROR(IF($A339="","",($Q339/60)*'Assumptions'!$B$8),"")</f>
        <v/>
      </c>
      <c r="AG339" s="45">
        <f>IFERROR(IF($A339="","",$P339+$AE339+$AF339),"")</f>
        <v/>
      </c>
      <c r="AH339" s="45">
        <f>IFERROR(IF($A339="","",$M339+$O339),"")</f>
        <v/>
      </c>
      <c r="AI339" s="46">
        <f>IFERROR(IF($A339="","",IFERROR($AH339/$W339,0)),"")</f>
        <v/>
      </c>
      <c r="AJ339" s="45">
        <f>IFERROR(IF($A339="","",$W339-$AH339-$AD339+$AG339),"")</f>
        <v/>
      </c>
      <c r="AK339" s="47">
        <f>IFERROR(IF($A339="","",IF(OR($S339="Collected",$S339="Waived",$S339="Uncollectible",$S339="No Charge Due"),"",IF($T339="",$B339+'Assumptions'!$B$9,$T339+'Assumptions'!$B$9))),"")</f>
        <v/>
      </c>
      <c r="AL339" s="48">
        <f>IFERROR(IF($A339="","",IF(OR($S339="Collected",$S339="Waived",$S339="Uncollectible",$S339="No Charge Due"),"Closed",IF($AK339&lt;TODAY(),"Overdue",IF($AK339=TODAY(),"Due","Open")))),"")</f>
        <v/>
      </c>
      <c r="AM339" s="49">
        <f>IFERROR(IF($A339="","",IF(COUNTIF($A$5:$A$504,$A339)&gt;1,"Duplicate reservation ID",IF($C339&lt;=$B339,"Check stay dates",IF($G339&gt;$F339,"Resold nights exceed booked nights",IF($M339+$N339&gt;$AA339+0.01,"Collection exceeds expected amount",IF(AND($S339="Collected",$M339=0),"Collected status has no amount",IF($AJ339&gt;='Assumptions'!$B$10,"High-cost review","OK"))))))),"")</f>
        <v/>
      </c>
    </row>
    <row r="340">
      <c r="A340" s="38" t="n"/>
      <c r="B340" s="39" t="n"/>
      <c r="C340" s="39" t="n"/>
      <c r="D340" s="38" t="n"/>
      <c r="E340" s="38" t="n"/>
      <c r="F340" s="40" t="n"/>
      <c r="G340" s="40" t="n"/>
      <c r="H340" s="41" t="n"/>
      <c r="I340" s="41" t="n"/>
      <c r="J340" s="42" t="n"/>
      <c r="K340" s="42" t="n"/>
      <c r="L340" s="42" t="n"/>
      <c r="M340" s="41" t="n"/>
      <c r="N340" s="41" t="n"/>
      <c r="O340" s="41" t="n"/>
      <c r="P340" s="41" t="n"/>
      <c r="Q340" s="40" t="n"/>
      <c r="R340" s="38" t="n"/>
      <c r="S340" s="38" t="n"/>
      <c r="T340" s="39" t="n"/>
      <c r="U340" s="43" t="n"/>
      <c r="V340" s="44">
        <f>IFERROR(IF($A340="","",MAX($F340-$G340,0)),"")</f>
        <v/>
      </c>
      <c r="W340" s="45">
        <f>IFERROR(IF($A340="","",$H340+$I340),"")</f>
        <v/>
      </c>
      <c r="X340" s="45">
        <f>IFERROR(IF($A340="","",$H340*IF($J340="",'Assumptions'!$B$4,$J340)),"")</f>
        <v/>
      </c>
      <c r="Y340" s="45">
        <f>IFERROR(IF($A340="","",$X340*IF($K340="",'Assumptions'!$B$12,$K340)),"")</f>
        <v/>
      </c>
      <c r="Z340" s="45">
        <f>IFERROR(IF($A340="","",($X340+$Y340)*IF($L340="",'Assumptions'!$B$13,$L340)),"")</f>
        <v/>
      </c>
      <c r="AA340" s="45">
        <f>IFERROR(IF($A340="","",$X340+$Y340+$Z340),"")</f>
        <v/>
      </c>
      <c r="AB340" s="45">
        <f>IFERROR(IF($A340="","",$V340*'Assumptions'!$B$5),"")</f>
        <v/>
      </c>
      <c r="AC340" s="45">
        <f>IFERROR(IF($A340="","",$I340*'Assumptions'!$B$6),"")</f>
        <v/>
      </c>
      <c r="AD340" s="45">
        <f>IFERROR(IF($A340="","",$AB340+$AC340),"")</f>
        <v/>
      </c>
      <c r="AE340" s="45">
        <f>IFERROR(IF($A340="","",($M340+$N340)*'Assumptions'!$B$7),"")</f>
        <v/>
      </c>
      <c r="AF340" s="45">
        <f>IFERROR(IF($A340="","",($Q340/60)*'Assumptions'!$B$8),"")</f>
        <v/>
      </c>
      <c r="AG340" s="45">
        <f>IFERROR(IF($A340="","",$P340+$AE340+$AF340),"")</f>
        <v/>
      </c>
      <c r="AH340" s="45">
        <f>IFERROR(IF($A340="","",$M340+$O340),"")</f>
        <v/>
      </c>
      <c r="AI340" s="46">
        <f>IFERROR(IF($A340="","",IFERROR($AH340/$W340,0)),"")</f>
        <v/>
      </c>
      <c r="AJ340" s="45">
        <f>IFERROR(IF($A340="","",$W340-$AH340-$AD340+$AG340),"")</f>
        <v/>
      </c>
      <c r="AK340" s="47">
        <f>IFERROR(IF($A340="","",IF(OR($S340="Collected",$S340="Waived",$S340="Uncollectible",$S340="No Charge Due"),"",IF($T340="",$B340+'Assumptions'!$B$9,$T340+'Assumptions'!$B$9))),"")</f>
        <v/>
      </c>
      <c r="AL340" s="48">
        <f>IFERROR(IF($A340="","",IF(OR($S340="Collected",$S340="Waived",$S340="Uncollectible",$S340="No Charge Due"),"Closed",IF($AK340&lt;TODAY(),"Overdue",IF($AK340=TODAY(),"Due","Open")))),"")</f>
        <v/>
      </c>
      <c r="AM340" s="49">
        <f>IFERROR(IF($A340="","",IF(COUNTIF($A$5:$A$504,$A340)&gt;1,"Duplicate reservation ID",IF($C340&lt;=$B340,"Check stay dates",IF($G340&gt;$F340,"Resold nights exceed booked nights",IF($M340+$N340&gt;$AA340+0.01,"Collection exceeds expected amount",IF(AND($S340="Collected",$M340=0),"Collected status has no amount",IF($AJ340&gt;='Assumptions'!$B$10,"High-cost review","OK"))))))),"")</f>
        <v/>
      </c>
    </row>
    <row r="341">
      <c r="A341" s="38" t="n"/>
      <c r="B341" s="39" t="n"/>
      <c r="C341" s="39" t="n"/>
      <c r="D341" s="38" t="n"/>
      <c r="E341" s="38" t="n"/>
      <c r="F341" s="40" t="n"/>
      <c r="G341" s="40" t="n"/>
      <c r="H341" s="41" t="n"/>
      <c r="I341" s="41" t="n"/>
      <c r="J341" s="42" t="n"/>
      <c r="K341" s="42" t="n"/>
      <c r="L341" s="42" t="n"/>
      <c r="M341" s="41" t="n"/>
      <c r="N341" s="41" t="n"/>
      <c r="O341" s="41" t="n"/>
      <c r="P341" s="41" t="n"/>
      <c r="Q341" s="40" t="n"/>
      <c r="R341" s="38" t="n"/>
      <c r="S341" s="38" t="n"/>
      <c r="T341" s="39" t="n"/>
      <c r="U341" s="43" t="n"/>
      <c r="V341" s="44">
        <f>IFERROR(IF($A341="","",MAX($F341-$G341,0)),"")</f>
        <v/>
      </c>
      <c r="W341" s="45">
        <f>IFERROR(IF($A341="","",$H341+$I341),"")</f>
        <v/>
      </c>
      <c r="X341" s="45">
        <f>IFERROR(IF($A341="","",$H341*IF($J341="",'Assumptions'!$B$4,$J341)),"")</f>
        <v/>
      </c>
      <c r="Y341" s="45">
        <f>IFERROR(IF($A341="","",$X341*IF($K341="",'Assumptions'!$B$12,$K341)),"")</f>
        <v/>
      </c>
      <c r="Z341" s="45">
        <f>IFERROR(IF($A341="","",($X341+$Y341)*IF($L341="",'Assumptions'!$B$13,$L341)),"")</f>
        <v/>
      </c>
      <c r="AA341" s="45">
        <f>IFERROR(IF($A341="","",$X341+$Y341+$Z341),"")</f>
        <v/>
      </c>
      <c r="AB341" s="45">
        <f>IFERROR(IF($A341="","",$V341*'Assumptions'!$B$5),"")</f>
        <v/>
      </c>
      <c r="AC341" s="45">
        <f>IFERROR(IF($A341="","",$I341*'Assumptions'!$B$6),"")</f>
        <v/>
      </c>
      <c r="AD341" s="45">
        <f>IFERROR(IF($A341="","",$AB341+$AC341),"")</f>
        <v/>
      </c>
      <c r="AE341" s="45">
        <f>IFERROR(IF($A341="","",($M341+$N341)*'Assumptions'!$B$7),"")</f>
        <v/>
      </c>
      <c r="AF341" s="45">
        <f>IFERROR(IF($A341="","",($Q341/60)*'Assumptions'!$B$8),"")</f>
        <v/>
      </c>
      <c r="AG341" s="45">
        <f>IFERROR(IF($A341="","",$P341+$AE341+$AF341),"")</f>
        <v/>
      </c>
      <c r="AH341" s="45">
        <f>IFERROR(IF($A341="","",$M341+$O341),"")</f>
        <v/>
      </c>
      <c r="AI341" s="46">
        <f>IFERROR(IF($A341="","",IFERROR($AH341/$W341,0)),"")</f>
        <v/>
      </c>
      <c r="AJ341" s="45">
        <f>IFERROR(IF($A341="","",$W341-$AH341-$AD341+$AG341),"")</f>
        <v/>
      </c>
      <c r="AK341" s="47">
        <f>IFERROR(IF($A341="","",IF(OR($S341="Collected",$S341="Waived",$S341="Uncollectible",$S341="No Charge Due"),"",IF($T341="",$B341+'Assumptions'!$B$9,$T341+'Assumptions'!$B$9))),"")</f>
        <v/>
      </c>
      <c r="AL341" s="48">
        <f>IFERROR(IF($A341="","",IF(OR($S341="Collected",$S341="Waived",$S341="Uncollectible",$S341="No Charge Due"),"Closed",IF($AK341&lt;TODAY(),"Overdue",IF($AK341=TODAY(),"Due","Open")))),"")</f>
        <v/>
      </c>
      <c r="AM341" s="49">
        <f>IFERROR(IF($A341="","",IF(COUNTIF($A$5:$A$504,$A341)&gt;1,"Duplicate reservation ID",IF($C341&lt;=$B341,"Check stay dates",IF($G341&gt;$F341,"Resold nights exceed booked nights",IF($M341+$N341&gt;$AA341+0.01,"Collection exceeds expected amount",IF(AND($S341="Collected",$M341=0),"Collected status has no amount",IF($AJ341&gt;='Assumptions'!$B$10,"High-cost review","OK"))))))),"")</f>
        <v/>
      </c>
    </row>
    <row r="342">
      <c r="A342" s="38" t="n"/>
      <c r="B342" s="39" t="n"/>
      <c r="C342" s="39" t="n"/>
      <c r="D342" s="38" t="n"/>
      <c r="E342" s="38" t="n"/>
      <c r="F342" s="40" t="n"/>
      <c r="G342" s="40" t="n"/>
      <c r="H342" s="41" t="n"/>
      <c r="I342" s="41" t="n"/>
      <c r="J342" s="42" t="n"/>
      <c r="K342" s="42" t="n"/>
      <c r="L342" s="42" t="n"/>
      <c r="M342" s="41" t="n"/>
      <c r="N342" s="41" t="n"/>
      <c r="O342" s="41" t="n"/>
      <c r="P342" s="41" t="n"/>
      <c r="Q342" s="40" t="n"/>
      <c r="R342" s="38" t="n"/>
      <c r="S342" s="38" t="n"/>
      <c r="T342" s="39" t="n"/>
      <c r="U342" s="43" t="n"/>
      <c r="V342" s="44">
        <f>IFERROR(IF($A342="","",MAX($F342-$G342,0)),"")</f>
        <v/>
      </c>
      <c r="W342" s="45">
        <f>IFERROR(IF($A342="","",$H342+$I342),"")</f>
        <v/>
      </c>
      <c r="X342" s="45">
        <f>IFERROR(IF($A342="","",$H342*IF($J342="",'Assumptions'!$B$4,$J342)),"")</f>
        <v/>
      </c>
      <c r="Y342" s="45">
        <f>IFERROR(IF($A342="","",$X342*IF($K342="",'Assumptions'!$B$12,$K342)),"")</f>
        <v/>
      </c>
      <c r="Z342" s="45">
        <f>IFERROR(IF($A342="","",($X342+$Y342)*IF($L342="",'Assumptions'!$B$13,$L342)),"")</f>
        <v/>
      </c>
      <c r="AA342" s="45">
        <f>IFERROR(IF($A342="","",$X342+$Y342+$Z342),"")</f>
        <v/>
      </c>
      <c r="AB342" s="45">
        <f>IFERROR(IF($A342="","",$V342*'Assumptions'!$B$5),"")</f>
        <v/>
      </c>
      <c r="AC342" s="45">
        <f>IFERROR(IF($A342="","",$I342*'Assumptions'!$B$6),"")</f>
        <v/>
      </c>
      <c r="AD342" s="45">
        <f>IFERROR(IF($A342="","",$AB342+$AC342),"")</f>
        <v/>
      </c>
      <c r="AE342" s="45">
        <f>IFERROR(IF($A342="","",($M342+$N342)*'Assumptions'!$B$7),"")</f>
        <v/>
      </c>
      <c r="AF342" s="45">
        <f>IFERROR(IF($A342="","",($Q342/60)*'Assumptions'!$B$8),"")</f>
        <v/>
      </c>
      <c r="AG342" s="45">
        <f>IFERROR(IF($A342="","",$P342+$AE342+$AF342),"")</f>
        <v/>
      </c>
      <c r="AH342" s="45">
        <f>IFERROR(IF($A342="","",$M342+$O342),"")</f>
        <v/>
      </c>
      <c r="AI342" s="46">
        <f>IFERROR(IF($A342="","",IFERROR($AH342/$W342,0)),"")</f>
        <v/>
      </c>
      <c r="AJ342" s="45">
        <f>IFERROR(IF($A342="","",$W342-$AH342-$AD342+$AG342),"")</f>
        <v/>
      </c>
      <c r="AK342" s="47">
        <f>IFERROR(IF($A342="","",IF(OR($S342="Collected",$S342="Waived",$S342="Uncollectible",$S342="No Charge Due"),"",IF($T342="",$B342+'Assumptions'!$B$9,$T342+'Assumptions'!$B$9))),"")</f>
        <v/>
      </c>
      <c r="AL342" s="48">
        <f>IFERROR(IF($A342="","",IF(OR($S342="Collected",$S342="Waived",$S342="Uncollectible",$S342="No Charge Due"),"Closed",IF($AK342&lt;TODAY(),"Overdue",IF($AK342=TODAY(),"Due","Open")))),"")</f>
        <v/>
      </c>
      <c r="AM342" s="49">
        <f>IFERROR(IF($A342="","",IF(COUNTIF($A$5:$A$504,$A342)&gt;1,"Duplicate reservation ID",IF($C342&lt;=$B342,"Check stay dates",IF($G342&gt;$F342,"Resold nights exceed booked nights",IF($M342+$N342&gt;$AA342+0.01,"Collection exceeds expected amount",IF(AND($S342="Collected",$M342=0),"Collected status has no amount",IF($AJ342&gt;='Assumptions'!$B$10,"High-cost review","OK"))))))),"")</f>
        <v/>
      </c>
    </row>
    <row r="343">
      <c r="A343" s="38" t="n"/>
      <c r="B343" s="39" t="n"/>
      <c r="C343" s="39" t="n"/>
      <c r="D343" s="38" t="n"/>
      <c r="E343" s="38" t="n"/>
      <c r="F343" s="40" t="n"/>
      <c r="G343" s="40" t="n"/>
      <c r="H343" s="41" t="n"/>
      <c r="I343" s="41" t="n"/>
      <c r="J343" s="42" t="n"/>
      <c r="K343" s="42" t="n"/>
      <c r="L343" s="42" t="n"/>
      <c r="M343" s="41" t="n"/>
      <c r="N343" s="41" t="n"/>
      <c r="O343" s="41" t="n"/>
      <c r="P343" s="41" t="n"/>
      <c r="Q343" s="40" t="n"/>
      <c r="R343" s="38" t="n"/>
      <c r="S343" s="38" t="n"/>
      <c r="T343" s="39" t="n"/>
      <c r="U343" s="43" t="n"/>
      <c r="V343" s="44">
        <f>IFERROR(IF($A343="","",MAX($F343-$G343,0)),"")</f>
        <v/>
      </c>
      <c r="W343" s="45">
        <f>IFERROR(IF($A343="","",$H343+$I343),"")</f>
        <v/>
      </c>
      <c r="X343" s="45">
        <f>IFERROR(IF($A343="","",$H343*IF($J343="",'Assumptions'!$B$4,$J343)),"")</f>
        <v/>
      </c>
      <c r="Y343" s="45">
        <f>IFERROR(IF($A343="","",$X343*IF($K343="",'Assumptions'!$B$12,$K343)),"")</f>
        <v/>
      </c>
      <c r="Z343" s="45">
        <f>IFERROR(IF($A343="","",($X343+$Y343)*IF($L343="",'Assumptions'!$B$13,$L343)),"")</f>
        <v/>
      </c>
      <c r="AA343" s="45">
        <f>IFERROR(IF($A343="","",$X343+$Y343+$Z343),"")</f>
        <v/>
      </c>
      <c r="AB343" s="45">
        <f>IFERROR(IF($A343="","",$V343*'Assumptions'!$B$5),"")</f>
        <v/>
      </c>
      <c r="AC343" s="45">
        <f>IFERROR(IF($A343="","",$I343*'Assumptions'!$B$6),"")</f>
        <v/>
      </c>
      <c r="AD343" s="45">
        <f>IFERROR(IF($A343="","",$AB343+$AC343),"")</f>
        <v/>
      </c>
      <c r="AE343" s="45">
        <f>IFERROR(IF($A343="","",($M343+$N343)*'Assumptions'!$B$7),"")</f>
        <v/>
      </c>
      <c r="AF343" s="45">
        <f>IFERROR(IF($A343="","",($Q343/60)*'Assumptions'!$B$8),"")</f>
        <v/>
      </c>
      <c r="AG343" s="45">
        <f>IFERROR(IF($A343="","",$P343+$AE343+$AF343),"")</f>
        <v/>
      </c>
      <c r="AH343" s="45">
        <f>IFERROR(IF($A343="","",$M343+$O343),"")</f>
        <v/>
      </c>
      <c r="AI343" s="46">
        <f>IFERROR(IF($A343="","",IFERROR($AH343/$W343,0)),"")</f>
        <v/>
      </c>
      <c r="AJ343" s="45">
        <f>IFERROR(IF($A343="","",$W343-$AH343-$AD343+$AG343),"")</f>
        <v/>
      </c>
      <c r="AK343" s="47">
        <f>IFERROR(IF($A343="","",IF(OR($S343="Collected",$S343="Waived",$S343="Uncollectible",$S343="No Charge Due"),"",IF($T343="",$B343+'Assumptions'!$B$9,$T343+'Assumptions'!$B$9))),"")</f>
        <v/>
      </c>
      <c r="AL343" s="48">
        <f>IFERROR(IF($A343="","",IF(OR($S343="Collected",$S343="Waived",$S343="Uncollectible",$S343="No Charge Due"),"Closed",IF($AK343&lt;TODAY(),"Overdue",IF($AK343=TODAY(),"Due","Open")))),"")</f>
        <v/>
      </c>
      <c r="AM343" s="49">
        <f>IFERROR(IF($A343="","",IF(COUNTIF($A$5:$A$504,$A343)&gt;1,"Duplicate reservation ID",IF($C343&lt;=$B343,"Check stay dates",IF($G343&gt;$F343,"Resold nights exceed booked nights",IF($M343+$N343&gt;$AA343+0.01,"Collection exceeds expected amount",IF(AND($S343="Collected",$M343=0),"Collected status has no amount",IF($AJ343&gt;='Assumptions'!$B$10,"High-cost review","OK"))))))),"")</f>
        <v/>
      </c>
    </row>
    <row r="344">
      <c r="A344" s="38" t="n"/>
      <c r="B344" s="39" t="n"/>
      <c r="C344" s="39" t="n"/>
      <c r="D344" s="38" t="n"/>
      <c r="E344" s="38" t="n"/>
      <c r="F344" s="40" t="n"/>
      <c r="G344" s="40" t="n"/>
      <c r="H344" s="41" t="n"/>
      <c r="I344" s="41" t="n"/>
      <c r="J344" s="42" t="n"/>
      <c r="K344" s="42" t="n"/>
      <c r="L344" s="42" t="n"/>
      <c r="M344" s="41" t="n"/>
      <c r="N344" s="41" t="n"/>
      <c r="O344" s="41" t="n"/>
      <c r="P344" s="41" t="n"/>
      <c r="Q344" s="40" t="n"/>
      <c r="R344" s="38" t="n"/>
      <c r="S344" s="38" t="n"/>
      <c r="T344" s="39" t="n"/>
      <c r="U344" s="43" t="n"/>
      <c r="V344" s="44">
        <f>IFERROR(IF($A344="","",MAX($F344-$G344,0)),"")</f>
        <v/>
      </c>
      <c r="W344" s="45">
        <f>IFERROR(IF($A344="","",$H344+$I344),"")</f>
        <v/>
      </c>
      <c r="X344" s="45">
        <f>IFERROR(IF($A344="","",$H344*IF($J344="",'Assumptions'!$B$4,$J344)),"")</f>
        <v/>
      </c>
      <c r="Y344" s="45">
        <f>IFERROR(IF($A344="","",$X344*IF($K344="",'Assumptions'!$B$12,$K344)),"")</f>
        <v/>
      </c>
      <c r="Z344" s="45">
        <f>IFERROR(IF($A344="","",($X344+$Y344)*IF($L344="",'Assumptions'!$B$13,$L344)),"")</f>
        <v/>
      </c>
      <c r="AA344" s="45">
        <f>IFERROR(IF($A344="","",$X344+$Y344+$Z344),"")</f>
        <v/>
      </c>
      <c r="AB344" s="45">
        <f>IFERROR(IF($A344="","",$V344*'Assumptions'!$B$5),"")</f>
        <v/>
      </c>
      <c r="AC344" s="45">
        <f>IFERROR(IF($A344="","",$I344*'Assumptions'!$B$6),"")</f>
        <v/>
      </c>
      <c r="AD344" s="45">
        <f>IFERROR(IF($A344="","",$AB344+$AC344),"")</f>
        <v/>
      </c>
      <c r="AE344" s="45">
        <f>IFERROR(IF($A344="","",($M344+$N344)*'Assumptions'!$B$7),"")</f>
        <v/>
      </c>
      <c r="AF344" s="45">
        <f>IFERROR(IF($A344="","",($Q344/60)*'Assumptions'!$B$8),"")</f>
        <v/>
      </c>
      <c r="AG344" s="45">
        <f>IFERROR(IF($A344="","",$P344+$AE344+$AF344),"")</f>
        <v/>
      </c>
      <c r="AH344" s="45">
        <f>IFERROR(IF($A344="","",$M344+$O344),"")</f>
        <v/>
      </c>
      <c r="AI344" s="46">
        <f>IFERROR(IF($A344="","",IFERROR($AH344/$W344,0)),"")</f>
        <v/>
      </c>
      <c r="AJ344" s="45">
        <f>IFERROR(IF($A344="","",$W344-$AH344-$AD344+$AG344),"")</f>
        <v/>
      </c>
      <c r="AK344" s="47">
        <f>IFERROR(IF($A344="","",IF(OR($S344="Collected",$S344="Waived",$S344="Uncollectible",$S344="No Charge Due"),"",IF($T344="",$B344+'Assumptions'!$B$9,$T344+'Assumptions'!$B$9))),"")</f>
        <v/>
      </c>
      <c r="AL344" s="48">
        <f>IFERROR(IF($A344="","",IF(OR($S344="Collected",$S344="Waived",$S344="Uncollectible",$S344="No Charge Due"),"Closed",IF($AK344&lt;TODAY(),"Overdue",IF($AK344=TODAY(),"Due","Open")))),"")</f>
        <v/>
      </c>
      <c r="AM344" s="49">
        <f>IFERROR(IF($A344="","",IF(COUNTIF($A$5:$A$504,$A344)&gt;1,"Duplicate reservation ID",IF($C344&lt;=$B344,"Check stay dates",IF($G344&gt;$F344,"Resold nights exceed booked nights",IF($M344+$N344&gt;$AA344+0.01,"Collection exceeds expected amount",IF(AND($S344="Collected",$M344=0),"Collected status has no amount",IF($AJ344&gt;='Assumptions'!$B$10,"High-cost review","OK"))))))),"")</f>
        <v/>
      </c>
    </row>
    <row r="345">
      <c r="A345" s="38" t="n"/>
      <c r="B345" s="39" t="n"/>
      <c r="C345" s="39" t="n"/>
      <c r="D345" s="38" t="n"/>
      <c r="E345" s="38" t="n"/>
      <c r="F345" s="40" t="n"/>
      <c r="G345" s="40" t="n"/>
      <c r="H345" s="41" t="n"/>
      <c r="I345" s="41" t="n"/>
      <c r="J345" s="42" t="n"/>
      <c r="K345" s="42" t="n"/>
      <c r="L345" s="42" t="n"/>
      <c r="M345" s="41" t="n"/>
      <c r="N345" s="41" t="n"/>
      <c r="O345" s="41" t="n"/>
      <c r="P345" s="41" t="n"/>
      <c r="Q345" s="40" t="n"/>
      <c r="R345" s="38" t="n"/>
      <c r="S345" s="38" t="n"/>
      <c r="T345" s="39" t="n"/>
      <c r="U345" s="43" t="n"/>
      <c r="V345" s="44">
        <f>IFERROR(IF($A345="","",MAX($F345-$G345,0)),"")</f>
        <v/>
      </c>
      <c r="W345" s="45">
        <f>IFERROR(IF($A345="","",$H345+$I345),"")</f>
        <v/>
      </c>
      <c r="X345" s="45">
        <f>IFERROR(IF($A345="","",$H345*IF($J345="",'Assumptions'!$B$4,$J345)),"")</f>
        <v/>
      </c>
      <c r="Y345" s="45">
        <f>IFERROR(IF($A345="","",$X345*IF($K345="",'Assumptions'!$B$12,$K345)),"")</f>
        <v/>
      </c>
      <c r="Z345" s="45">
        <f>IFERROR(IF($A345="","",($X345+$Y345)*IF($L345="",'Assumptions'!$B$13,$L345)),"")</f>
        <v/>
      </c>
      <c r="AA345" s="45">
        <f>IFERROR(IF($A345="","",$X345+$Y345+$Z345),"")</f>
        <v/>
      </c>
      <c r="AB345" s="45">
        <f>IFERROR(IF($A345="","",$V345*'Assumptions'!$B$5),"")</f>
        <v/>
      </c>
      <c r="AC345" s="45">
        <f>IFERROR(IF($A345="","",$I345*'Assumptions'!$B$6),"")</f>
        <v/>
      </c>
      <c r="AD345" s="45">
        <f>IFERROR(IF($A345="","",$AB345+$AC345),"")</f>
        <v/>
      </c>
      <c r="AE345" s="45">
        <f>IFERROR(IF($A345="","",($M345+$N345)*'Assumptions'!$B$7),"")</f>
        <v/>
      </c>
      <c r="AF345" s="45">
        <f>IFERROR(IF($A345="","",($Q345/60)*'Assumptions'!$B$8),"")</f>
        <v/>
      </c>
      <c r="AG345" s="45">
        <f>IFERROR(IF($A345="","",$P345+$AE345+$AF345),"")</f>
        <v/>
      </c>
      <c r="AH345" s="45">
        <f>IFERROR(IF($A345="","",$M345+$O345),"")</f>
        <v/>
      </c>
      <c r="AI345" s="46">
        <f>IFERROR(IF($A345="","",IFERROR($AH345/$W345,0)),"")</f>
        <v/>
      </c>
      <c r="AJ345" s="45">
        <f>IFERROR(IF($A345="","",$W345-$AH345-$AD345+$AG345),"")</f>
        <v/>
      </c>
      <c r="AK345" s="47">
        <f>IFERROR(IF($A345="","",IF(OR($S345="Collected",$S345="Waived",$S345="Uncollectible",$S345="No Charge Due"),"",IF($T345="",$B345+'Assumptions'!$B$9,$T345+'Assumptions'!$B$9))),"")</f>
        <v/>
      </c>
      <c r="AL345" s="48">
        <f>IFERROR(IF($A345="","",IF(OR($S345="Collected",$S345="Waived",$S345="Uncollectible",$S345="No Charge Due"),"Closed",IF($AK345&lt;TODAY(),"Overdue",IF($AK345=TODAY(),"Due","Open")))),"")</f>
        <v/>
      </c>
      <c r="AM345" s="49">
        <f>IFERROR(IF($A345="","",IF(COUNTIF($A$5:$A$504,$A345)&gt;1,"Duplicate reservation ID",IF($C345&lt;=$B345,"Check stay dates",IF($G345&gt;$F345,"Resold nights exceed booked nights",IF($M345+$N345&gt;$AA345+0.01,"Collection exceeds expected amount",IF(AND($S345="Collected",$M345=0),"Collected status has no amount",IF($AJ345&gt;='Assumptions'!$B$10,"High-cost review","OK"))))))),"")</f>
        <v/>
      </c>
    </row>
    <row r="346">
      <c r="A346" s="38" t="n"/>
      <c r="B346" s="39" t="n"/>
      <c r="C346" s="39" t="n"/>
      <c r="D346" s="38" t="n"/>
      <c r="E346" s="38" t="n"/>
      <c r="F346" s="40" t="n"/>
      <c r="G346" s="40" t="n"/>
      <c r="H346" s="41" t="n"/>
      <c r="I346" s="41" t="n"/>
      <c r="J346" s="42" t="n"/>
      <c r="K346" s="42" t="n"/>
      <c r="L346" s="42" t="n"/>
      <c r="M346" s="41" t="n"/>
      <c r="N346" s="41" t="n"/>
      <c r="O346" s="41" t="n"/>
      <c r="P346" s="41" t="n"/>
      <c r="Q346" s="40" t="n"/>
      <c r="R346" s="38" t="n"/>
      <c r="S346" s="38" t="n"/>
      <c r="T346" s="39" t="n"/>
      <c r="U346" s="43" t="n"/>
      <c r="V346" s="44">
        <f>IFERROR(IF($A346="","",MAX($F346-$G346,0)),"")</f>
        <v/>
      </c>
      <c r="W346" s="45">
        <f>IFERROR(IF($A346="","",$H346+$I346),"")</f>
        <v/>
      </c>
      <c r="X346" s="45">
        <f>IFERROR(IF($A346="","",$H346*IF($J346="",'Assumptions'!$B$4,$J346)),"")</f>
        <v/>
      </c>
      <c r="Y346" s="45">
        <f>IFERROR(IF($A346="","",$X346*IF($K346="",'Assumptions'!$B$12,$K346)),"")</f>
        <v/>
      </c>
      <c r="Z346" s="45">
        <f>IFERROR(IF($A346="","",($X346+$Y346)*IF($L346="",'Assumptions'!$B$13,$L346)),"")</f>
        <v/>
      </c>
      <c r="AA346" s="45">
        <f>IFERROR(IF($A346="","",$X346+$Y346+$Z346),"")</f>
        <v/>
      </c>
      <c r="AB346" s="45">
        <f>IFERROR(IF($A346="","",$V346*'Assumptions'!$B$5),"")</f>
        <v/>
      </c>
      <c r="AC346" s="45">
        <f>IFERROR(IF($A346="","",$I346*'Assumptions'!$B$6),"")</f>
        <v/>
      </c>
      <c r="AD346" s="45">
        <f>IFERROR(IF($A346="","",$AB346+$AC346),"")</f>
        <v/>
      </c>
      <c r="AE346" s="45">
        <f>IFERROR(IF($A346="","",($M346+$N346)*'Assumptions'!$B$7),"")</f>
        <v/>
      </c>
      <c r="AF346" s="45">
        <f>IFERROR(IF($A346="","",($Q346/60)*'Assumptions'!$B$8),"")</f>
        <v/>
      </c>
      <c r="AG346" s="45">
        <f>IFERROR(IF($A346="","",$P346+$AE346+$AF346),"")</f>
        <v/>
      </c>
      <c r="AH346" s="45">
        <f>IFERROR(IF($A346="","",$M346+$O346),"")</f>
        <v/>
      </c>
      <c r="AI346" s="46">
        <f>IFERROR(IF($A346="","",IFERROR($AH346/$W346,0)),"")</f>
        <v/>
      </c>
      <c r="AJ346" s="45">
        <f>IFERROR(IF($A346="","",$W346-$AH346-$AD346+$AG346),"")</f>
        <v/>
      </c>
      <c r="AK346" s="47">
        <f>IFERROR(IF($A346="","",IF(OR($S346="Collected",$S346="Waived",$S346="Uncollectible",$S346="No Charge Due"),"",IF($T346="",$B346+'Assumptions'!$B$9,$T346+'Assumptions'!$B$9))),"")</f>
        <v/>
      </c>
      <c r="AL346" s="48">
        <f>IFERROR(IF($A346="","",IF(OR($S346="Collected",$S346="Waived",$S346="Uncollectible",$S346="No Charge Due"),"Closed",IF($AK346&lt;TODAY(),"Overdue",IF($AK346=TODAY(),"Due","Open")))),"")</f>
        <v/>
      </c>
      <c r="AM346" s="49">
        <f>IFERROR(IF($A346="","",IF(COUNTIF($A$5:$A$504,$A346)&gt;1,"Duplicate reservation ID",IF($C346&lt;=$B346,"Check stay dates",IF($G346&gt;$F346,"Resold nights exceed booked nights",IF($M346+$N346&gt;$AA346+0.01,"Collection exceeds expected amount",IF(AND($S346="Collected",$M346=0),"Collected status has no amount",IF($AJ346&gt;='Assumptions'!$B$10,"High-cost review","OK"))))))),"")</f>
        <v/>
      </c>
    </row>
    <row r="347">
      <c r="A347" s="38" t="n"/>
      <c r="B347" s="39" t="n"/>
      <c r="C347" s="39" t="n"/>
      <c r="D347" s="38" t="n"/>
      <c r="E347" s="38" t="n"/>
      <c r="F347" s="40" t="n"/>
      <c r="G347" s="40" t="n"/>
      <c r="H347" s="41" t="n"/>
      <c r="I347" s="41" t="n"/>
      <c r="J347" s="42" t="n"/>
      <c r="K347" s="42" t="n"/>
      <c r="L347" s="42" t="n"/>
      <c r="M347" s="41" t="n"/>
      <c r="N347" s="41" t="n"/>
      <c r="O347" s="41" t="n"/>
      <c r="P347" s="41" t="n"/>
      <c r="Q347" s="40" t="n"/>
      <c r="R347" s="38" t="n"/>
      <c r="S347" s="38" t="n"/>
      <c r="T347" s="39" t="n"/>
      <c r="U347" s="43" t="n"/>
      <c r="V347" s="44">
        <f>IFERROR(IF($A347="","",MAX($F347-$G347,0)),"")</f>
        <v/>
      </c>
      <c r="W347" s="45">
        <f>IFERROR(IF($A347="","",$H347+$I347),"")</f>
        <v/>
      </c>
      <c r="X347" s="45">
        <f>IFERROR(IF($A347="","",$H347*IF($J347="",'Assumptions'!$B$4,$J347)),"")</f>
        <v/>
      </c>
      <c r="Y347" s="45">
        <f>IFERROR(IF($A347="","",$X347*IF($K347="",'Assumptions'!$B$12,$K347)),"")</f>
        <v/>
      </c>
      <c r="Z347" s="45">
        <f>IFERROR(IF($A347="","",($X347+$Y347)*IF($L347="",'Assumptions'!$B$13,$L347)),"")</f>
        <v/>
      </c>
      <c r="AA347" s="45">
        <f>IFERROR(IF($A347="","",$X347+$Y347+$Z347),"")</f>
        <v/>
      </c>
      <c r="AB347" s="45">
        <f>IFERROR(IF($A347="","",$V347*'Assumptions'!$B$5),"")</f>
        <v/>
      </c>
      <c r="AC347" s="45">
        <f>IFERROR(IF($A347="","",$I347*'Assumptions'!$B$6),"")</f>
        <v/>
      </c>
      <c r="AD347" s="45">
        <f>IFERROR(IF($A347="","",$AB347+$AC347),"")</f>
        <v/>
      </c>
      <c r="AE347" s="45">
        <f>IFERROR(IF($A347="","",($M347+$N347)*'Assumptions'!$B$7),"")</f>
        <v/>
      </c>
      <c r="AF347" s="45">
        <f>IFERROR(IF($A347="","",($Q347/60)*'Assumptions'!$B$8),"")</f>
        <v/>
      </c>
      <c r="AG347" s="45">
        <f>IFERROR(IF($A347="","",$P347+$AE347+$AF347),"")</f>
        <v/>
      </c>
      <c r="AH347" s="45">
        <f>IFERROR(IF($A347="","",$M347+$O347),"")</f>
        <v/>
      </c>
      <c r="AI347" s="46">
        <f>IFERROR(IF($A347="","",IFERROR($AH347/$W347,0)),"")</f>
        <v/>
      </c>
      <c r="AJ347" s="45">
        <f>IFERROR(IF($A347="","",$W347-$AH347-$AD347+$AG347),"")</f>
        <v/>
      </c>
      <c r="AK347" s="47">
        <f>IFERROR(IF($A347="","",IF(OR($S347="Collected",$S347="Waived",$S347="Uncollectible",$S347="No Charge Due"),"",IF($T347="",$B347+'Assumptions'!$B$9,$T347+'Assumptions'!$B$9))),"")</f>
        <v/>
      </c>
      <c r="AL347" s="48">
        <f>IFERROR(IF($A347="","",IF(OR($S347="Collected",$S347="Waived",$S347="Uncollectible",$S347="No Charge Due"),"Closed",IF($AK347&lt;TODAY(),"Overdue",IF($AK347=TODAY(),"Due","Open")))),"")</f>
        <v/>
      </c>
      <c r="AM347" s="49">
        <f>IFERROR(IF($A347="","",IF(COUNTIF($A$5:$A$504,$A347)&gt;1,"Duplicate reservation ID",IF($C347&lt;=$B347,"Check stay dates",IF($G347&gt;$F347,"Resold nights exceed booked nights",IF($M347+$N347&gt;$AA347+0.01,"Collection exceeds expected amount",IF(AND($S347="Collected",$M347=0),"Collected status has no amount",IF($AJ347&gt;='Assumptions'!$B$10,"High-cost review","OK"))))))),"")</f>
        <v/>
      </c>
    </row>
    <row r="348">
      <c r="A348" s="38" t="n"/>
      <c r="B348" s="39" t="n"/>
      <c r="C348" s="39" t="n"/>
      <c r="D348" s="38" t="n"/>
      <c r="E348" s="38" t="n"/>
      <c r="F348" s="40" t="n"/>
      <c r="G348" s="40" t="n"/>
      <c r="H348" s="41" t="n"/>
      <c r="I348" s="41" t="n"/>
      <c r="J348" s="42" t="n"/>
      <c r="K348" s="42" t="n"/>
      <c r="L348" s="42" t="n"/>
      <c r="M348" s="41" t="n"/>
      <c r="N348" s="41" t="n"/>
      <c r="O348" s="41" t="n"/>
      <c r="P348" s="41" t="n"/>
      <c r="Q348" s="40" t="n"/>
      <c r="R348" s="38" t="n"/>
      <c r="S348" s="38" t="n"/>
      <c r="T348" s="39" t="n"/>
      <c r="U348" s="43" t="n"/>
      <c r="V348" s="44">
        <f>IFERROR(IF($A348="","",MAX($F348-$G348,0)),"")</f>
        <v/>
      </c>
      <c r="W348" s="45">
        <f>IFERROR(IF($A348="","",$H348+$I348),"")</f>
        <v/>
      </c>
      <c r="X348" s="45">
        <f>IFERROR(IF($A348="","",$H348*IF($J348="",'Assumptions'!$B$4,$J348)),"")</f>
        <v/>
      </c>
      <c r="Y348" s="45">
        <f>IFERROR(IF($A348="","",$X348*IF($K348="",'Assumptions'!$B$12,$K348)),"")</f>
        <v/>
      </c>
      <c r="Z348" s="45">
        <f>IFERROR(IF($A348="","",($X348+$Y348)*IF($L348="",'Assumptions'!$B$13,$L348)),"")</f>
        <v/>
      </c>
      <c r="AA348" s="45">
        <f>IFERROR(IF($A348="","",$X348+$Y348+$Z348),"")</f>
        <v/>
      </c>
      <c r="AB348" s="45">
        <f>IFERROR(IF($A348="","",$V348*'Assumptions'!$B$5),"")</f>
        <v/>
      </c>
      <c r="AC348" s="45">
        <f>IFERROR(IF($A348="","",$I348*'Assumptions'!$B$6),"")</f>
        <v/>
      </c>
      <c r="AD348" s="45">
        <f>IFERROR(IF($A348="","",$AB348+$AC348),"")</f>
        <v/>
      </c>
      <c r="AE348" s="45">
        <f>IFERROR(IF($A348="","",($M348+$N348)*'Assumptions'!$B$7),"")</f>
        <v/>
      </c>
      <c r="AF348" s="45">
        <f>IFERROR(IF($A348="","",($Q348/60)*'Assumptions'!$B$8),"")</f>
        <v/>
      </c>
      <c r="AG348" s="45">
        <f>IFERROR(IF($A348="","",$P348+$AE348+$AF348),"")</f>
        <v/>
      </c>
      <c r="AH348" s="45">
        <f>IFERROR(IF($A348="","",$M348+$O348),"")</f>
        <v/>
      </c>
      <c r="AI348" s="46">
        <f>IFERROR(IF($A348="","",IFERROR($AH348/$W348,0)),"")</f>
        <v/>
      </c>
      <c r="AJ348" s="45">
        <f>IFERROR(IF($A348="","",$W348-$AH348-$AD348+$AG348),"")</f>
        <v/>
      </c>
      <c r="AK348" s="47">
        <f>IFERROR(IF($A348="","",IF(OR($S348="Collected",$S348="Waived",$S348="Uncollectible",$S348="No Charge Due"),"",IF($T348="",$B348+'Assumptions'!$B$9,$T348+'Assumptions'!$B$9))),"")</f>
        <v/>
      </c>
      <c r="AL348" s="48">
        <f>IFERROR(IF($A348="","",IF(OR($S348="Collected",$S348="Waived",$S348="Uncollectible",$S348="No Charge Due"),"Closed",IF($AK348&lt;TODAY(),"Overdue",IF($AK348=TODAY(),"Due","Open")))),"")</f>
        <v/>
      </c>
      <c r="AM348" s="49">
        <f>IFERROR(IF($A348="","",IF(COUNTIF($A$5:$A$504,$A348)&gt;1,"Duplicate reservation ID",IF($C348&lt;=$B348,"Check stay dates",IF($G348&gt;$F348,"Resold nights exceed booked nights",IF($M348+$N348&gt;$AA348+0.01,"Collection exceeds expected amount",IF(AND($S348="Collected",$M348=0),"Collected status has no amount",IF($AJ348&gt;='Assumptions'!$B$10,"High-cost review","OK"))))))),"")</f>
        <v/>
      </c>
    </row>
    <row r="349">
      <c r="A349" s="38" t="n"/>
      <c r="B349" s="39" t="n"/>
      <c r="C349" s="39" t="n"/>
      <c r="D349" s="38" t="n"/>
      <c r="E349" s="38" t="n"/>
      <c r="F349" s="40" t="n"/>
      <c r="G349" s="40" t="n"/>
      <c r="H349" s="41" t="n"/>
      <c r="I349" s="41" t="n"/>
      <c r="J349" s="42" t="n"/>
      <c r="K349" s="42" t="n"/>
      <c r="L349" s="42" t="n"/>
      <c r="M349" s="41" t="n"/>
      <c r="N349" s="41" t="n"/>
      <c r="O349" s="41" t="n"/>
      <c r="P349" s="41" t="n"/>
      <c r="Q349" s="40" t="n"/>
      <c r="R349" s="38" t="n"/>
      <c r="S349" s="38" t="n"/>
      <c r="T349" s="39" t="n"/>
      <c r="U349" s="43" t="n"/>
      <c r="V349" s="44">
        <f>IFERROR(IF($A349="","",MAX($F349-$G349,0)),"")</f>
        <v/>
      </c>
      <c r="W349" s="45">
        <f>IFERROR(IF($A349="","",$H349+$I349),"")</f>
        <v/>
      </c>
      <c r="X349" s="45">
        <f>IFERROR(IF($A349="","",$H349*IF($J349="",'Assumptions'!$B$4,$J349)),"")</f>
        <v/>
      </c>
      <c r="Y349" s="45">
        <f>IFERROR(IF($A349="","",$X349*IF($K349="",'Assumptions'!$B$12,$K349)),"")</f>
        <v/>
      </c>
      <c r="Z349" s="45">
        <f>IFERROR(IF($A349="","",($X349+$Y349)*IF($L349="",'Assumptions'!$B$13,$L349)),"")</f>
        <v/>
      </c>
      <c r="AA349" s="45">
        <f>IFERROR(IF($A349="","",$X349+$Y349+$Z349),"")</f>
        <v/>
      </c>
      <c r="AB349" s="45">
        <f>IFERROR(IF($A349="","",$V349*'Assumptions'!$B$5),"")</f>
        <v/>
      </c>
      <c r="AC349" s="45">
        <f>IFERROR(IF($A349="","",$I349*'Assumptions'!$B$6),"")</f>
        <v/>
      </c>
      <c r="AD349" s="45">
        <f>IFERROR(IF($A349="","",$AB349+$AC349),"")</f>
        <v/>
      </c>
      <c r="AE349" s="45">
        <f>IFERROR(IF($A349="","",($M349+$N349)*'Assumptions'!$B$7),"")</f>
        <v/>
      </c>
      <c r="AF349" s="45">
        <f>IFERROR(IF($A349="","",($Q349/60)*'Assumptions'!$B$8),"")</f>
        <v/>
      </c>
      <c r="AG349" s="45">
        <f>IFERROR(IF($A349="","",$P349+$AE349+$AF349),"")</f>
        <v/>
      </c>
      <c r="AH349" s="45">
        <f>IFERROR(IF($A349="","",$M349+$O349),"")</f>
        <v/>
      </c>
      <c r="AI349" s="46">
        <f>IFERROR(IF($A349="","",IFERROR($AH349/$W349,0)),"")</f>
        <v/>
      </c>
      <c r="AJ349" s="45">
        <f>IFERROR(IF($A349="","",$W349-$AH349-$AD349+$AG349),"")</f>
        <v/>
      </c>
      <c r="AK349" s="47">
        <f>IFERROR(IF($A349="","",IF(OR($S349="Collected",$S349="Waived",$S349="Uncollectible",$S349="No Charge Due"),"",IF($T349="",$B349+'Assumptions'!$B$9,$T349+'Assumptions'!$B$9))),"")</f>
        <v/>
      </c>
      <c r="AL349" s="48">
        <f>IFERROR(IF($A349="","",IF(OR($S349="Collected",$S349="Waived",$S349="Uncollectible",$S349="No Charge Due"),"Closed",IF($AK349&lt;TODAY(),"Overdue",IF($AK349=TODAY(),"Due","Open")))),"")</f>
        <v/>
      </c>
      <c r="AM349" s="49">
        <f>IFERROR(IF($A349="","",IF(COUNTIF($A$5:$A$504,$A349)&gt;1,"Duplicate reservation ID",IF($C349&lt;=$B349,"Check stay dates",IF($G349&gt;$F349,"Resold nights exceed booked nights",IF($M349+$N349&gt;$AA349+0.01,"Collection exceeds expected amount",IF(AND($S349="Collected",$M349=0),"Collected status has no amount",IF($AJ349&gt;='Assumptions'!$B$10,"High-cost review","OK"))))))),"")</f>
        <v/>
      </c>
    </row>
    <row r="350">
      <c r="A350" s="38" t="n"/>
      <c r="B350" s="39" t="n"/>
      <c r="C350" s="39" t="n"/>
      <c r="D350" s="38" t="n"/>
      <c r="E350" s="38" t="n"/>
      <c r="F350" s="40" t="n"/>
      <c r="G350" s="40" t="n"/>
      <c r="H350" s="41" t="n"/>
      <c r="I350" s="41" t="n"/>
      <c r="J350" s="42" t="n"/>
      <c r="K350" s="42" t="n"/>
      <c r="L350" s="42" t="n"/>
      <c r="M350" s="41" t="n"/>
      <c r="N350" s="41" t="n"/>
      <c r="O350" s="41" t="n"/>
      <c r="P350" s="41" t="n"/>
      <c r="Q350" s="40" t="n"/>
      <c r="R350" s="38" t="n"/>
      <c r="S350" s="38" t="n"/>
      <c r="T350" s="39" t="n"/>
      <c r="U350" s="43" t="n"/>
      <c r="V350" s="44">
        <f>IFERROR(IF($A350="","",MAX($F350-$G350,0)),"")</f>
        <v/>
      </c>
      <c r="W350" s="45">
        <f>IFERROR(IF($A350="","",$H350+$I350),"")</f>
        <v/>
      </c>
      <c r="X350" s="45">
        <f>IFERROR(IF($A350="","",$H350*IF($J350="",'Assumptions'!$B$4,$J350)),"")</f>
        <v/>
      </c>
      <c r="Y350" s="45">
        <f>IFERROR(IF($A350="","",$X350*IF($K350="",'Assumptions'!$B$12,$K350)),"")</f>
        <v/>
      </c>
      <c r="Z350" s="45">
        <f>IFERROR(IF($A350="","",($X350+$Y350)*IF($L350="",'Assumptions'!$B$13,$L350)),"")</f>
        <v/>
      </c>
      <c r="AA350" s="45">
        <f>IFERROR(IF($A350="","",$X350+$Y350+$Z350),"")</f>
        <v/>
      </c>
      <c r="AB350" s="45">
        <f>IFERROR(IF($A350="","",$V350*'Assumptions'!$B$5),"")</f>
        <v/>
      </c>
      <c r="AC350" s="45">
        <f>IFERROR(IF($A350="","",$I350*'Assumptions'!$B$6),"")</f>
        <v/>
      </c>
      <c r="AD350" s="45">
        <f>IFERROR(IF($A350="","",$AB350+$AC350),"")</f>
        <v/>
      </c>
      <c r="AE350" s="45">
        <f>IFERROR(IF($A350="","",($M350+$N350)*'Assumptions'!$B$7),"")</f>
        <v/>
      </c>
      <c r="AF350" s="45">
        <f>IFERROR(IF($A350="","",($Q350/60)*'Assumptions'!$B$8),"")</f>
        <v/>
      </c>
      <c r="AG350" s="45">
        <f>IFERROR(IF($A350="","",$P350+$AE350+$AF350),"")</f>
        <v/>
      </c>
      <c r="AH350" s="45">
        <f>IFERROR(IF($A350="","",$M350+$O350),"")</f>
        <v/>
      </c>
      <c r="AI350" s="46">
        <f>IFERROR(IF($A350="","",IFERROR($AH350/$W350,0)),"")</f>
        <v/>
      </c>
      <c r="AJ350" s="45">
        <f>IFERROR(IF($A350="","",$W350-$AH350-$AD350+$AG350),"")</f>
        <v/>
      </c>
      <c r="AK350" s="47">
        <f>IFERROR(IF($A350="","",IF(OR($S350="Collected",$S350="Waived",$S350="Uncollectible",$S350="No Charge Due"),"",IF($T350="",$B350+'Assumptions'!$B$9,$T350+'Assumptions'!$B$9))),"")</f>
        <v/>
      </c>
      <c r="AL350" s="48">
        <f>IFERROR(IF($A350="","",IF(OR($S350="Collected",$S350="Waived",$S350="Uncollectible",$S350="No Charge Due"),"Closed",IF($AK350&lt;TODAY(),"Overdue",IF($AK350=TODAY(),"Due","Open")))),"")</f>
        <v/>
      </c>
      <c r="AM350" s="49">
        <f>IFERROR(IF($A350="","",IF(COUNTIF($A$5:$A$504,$A350)&gt;1,"Duplicate reservation ID",IF($C350&lt;=$B350,"Check stay dates",IF($G350&gt;$F350,"Resold nights exceed booked nights",IF($M350+$N350&gt;$AA350+0.01,"Collection exceeds expected amount",IF(AND($S350="Collected",$M350=0),"Collected status has no amount",IF($AJ350&gt;='Assumptions'!$B$10,"High-cost review","OK"))))))),"")</f>
        <v/>
      </c>
    </row>
    <row r="351">
      <c r="A351" s="38" t="n"/>
      <c r="B351" s="39" t="n"/>
      <c r="C351" s="39" t="n"/>
      <c r="D351" s="38" t="n"/>
      <c r="E351" s="38" t="n"/>
      <c r="F351" s="40" t="n"/>
      <c r="G351" s="40" t="n"/>
      <c r="H351" s="41" t="n"/>
      <c r="I351" s="41" t="n"/>
      <c r="J351" s="42" t="n"/>
      <c r="K351" s="42" t="n"/>
      <c r="L351" s="42" t="n"/>
      <c r="M351" s="41" t="n"/>
      <c r="N351" s="41" t="n"/>
      <c r="O351" s="41" t="n"/>
      <c r="P351" s="41" t="n"/>
      <c r="Q351" s="40" t="n"/>
      <c r="R351" s="38" t="n"/>
      <c r="S351" s="38" t="n"/>
      <c r="T351" s="39" t="n"/>
      <c r="U351" s="43" t="n"/>
      <c r="V351" s="44">
        <f>IFERROR(IF($A351="","",MAX($F351-$G351,0)),"")</f>
        <v/>
      </c>
      <c r="W351" s="45">
        <f>IFERROR(IF($A351="","",$H351+$I351),"")</f>
        <v/>
      </c>
      <c r="X351" s="45">
        <f>IFERROR(IF($A351="","",$H351*IF($J351="",'Assumptions'!$B$4,$J351)),"")</f>
        <v/>
      </c>
      <c r="Y351" s="45">
        <f>IFERROR(IF($A351="","",$X351*IF($K351="",'Assumptions'!$B$12,$K351)),"")</f>
        <v/>
      </c>
      <c r="Z351" s="45">
        <f>IFERROR(IF($A351="","",($X351+$Y351)*IF($L351="",'Assumptions'!$B$13,$L351)),"")</f>
        <v/>
      </c>
      <c r="AA351" s="45">
        <f>IFERROR(IF($A351="","",$X351+$Y351+$Z351),"")</f>
        <v/>
      </c>
      <c r="AB351" s="45">
        <f>IFERROR(IF($A351="","",$V351*'Assumptions'!$B$5),"")</f>
        <v/>
      </c>
      <c r="AC351" s="45">
        <f>IFERROR(IF($A351="","",$I351*'Assumptions'!$B$6),"")</f>
        <v/>
      </c>
      <c r="AD351" s="45">
        <f>IFERROR(IF($A351="","",$AB351+$AC351),"")</f>
        <v/>
      </c>
      <c r="AE351" s="45">
        <f>IFERROR(IF($A351="","",($M351+$N351)*'Assumptions'!$B$7),"")</f>
        <v/>
      </c>
      <c r="AF351" s="45">
        <f>IFERROR(IF($A351="","",($Q351/60)*'Assumptions'!$B$8),"")</f>
        <v/>
      </c>
      <c r="AG351" s="45">
        <f>IFERROR(IF($A351="","",$P351+$AE351+$AF351),"")</f>
        <v/>
      </c>
      <c r="AH351" s="45">
        <f>IFERROR(IF($A351="","",$M351+$O351),"")</f>
        <v/>
      </c>
      <c r="AI351" s="46">
        <f>IFERROR(IF($A351="","",IFERROR($AH351/$W351,0)),"")</f>
        <v/>
      </c>
      <c r="AJ351" s="45">
        <f>IFERROR(IF($A351="","",$W351-$AH351-$AD351+$AG351),"")</f>
        <v/>
      </c>
      <c r="AK351" s="47">
        <f>IFERROR(IF($A351="","",IF(OR($S351="Collected",$S351="Waived",$S351="Uncollectible",$S351="No Charge Due"),"",IF($T351="",$B351+'Assumptions'!$B$9,$T351+'Assumptions'!$B$9))),"")</f>
        <v/>
      </c>
      <c r="AL351" s="48">
        <f>IFERROR(IF($A351="","",IF(OR($S351="Collected",$S351="Waived",$S351="Uncollectible",$S351="No Charge Due"),"Closed",IF($AK351&lt;TODAY(),"Overdue",IF($AK351=TODAY(),"Due","Open")))),"")</f>
        <v/>
      </c>
      <c r="AM351" s="49">
        <f>IFERROR(IF($A351="","",IF(COUNTIF($A$5:$A$504,$A351)&gt;1,"Duplicate reservation ID",IF($C351&lt;=$B351,"Check stay dates",IF($G351&gt;$F351,"Resold nights exceed booked nights",IF($M351+$N351&gt;$AA351+0.01,"Collection exceeds expected amount",IF(AND($S351="Collected",$M351=0),"Collected status has no amount",IF($AJ351&gt;='Assumptions'!$B$10,"High-cost review","OK"))))))),"")</f>
        <v/>
      </c>
    </row>
    <row r="352">
      <c r="A352" s="38" t="n"/>
      <c r="B352" s="39" t="n"/>
      <c r="C352" s="39" t="n"/>
      <c r="D352" s="38" t="n"/>
      <c r="E352" s="38" t="n"/>
      <c r="F352" s="40" t="n"/>
      <c r="G352" s="40" t="n"/>
      <c r="H352" s="41" t="n"/>
      <c r="I352" s="41" t="n"/>
      <c r="J352" s="42" t="n"/>
      <c r="K352" s="42" t="n"/>
      <c r="L352" s="42" t="n"/>
      <c r="M352" s="41" t="n"/>
      <c r="N352" s="41" t="n"/>
      <c r="O352" s="41" t="n"/>
      <c r="P352" s="41" t="n"/>
      <c r="Q352" s="40" t="n"/>
      <c r="R352" s="38" t="n"/>
      <c r="S352" s="38" t="n"/>
      <c r="T352" s="39" t="n"/>
      <c r="U352" s="43" t="n"/>
      <c r="V352" s="44">
        <f>IFERROR(IF($A352="","",MAX($F352-$G352,0)),"")</f>
        <v/>
      </c>
      <c r="W352" s="45">
        <f>IFERROR(IF($A352="","",$H352+$I352),"")</f>
        <v/>
      </c>
      <c r="X352" s="45">
        <f>IFERROR(IF($A352="","",$H352*IF($J352="",'Assumptions'!$B$4,$J352)),"")</f>
        <v/>
      </c>
      <c r="Y352" s="45">
        <f>IFERROR(IF($A352="","",$X352*IF($K352="",'Assumptions'!$B$12,$K352)),"")</f>
        <v/>
      </c>
      <c r="Z352" s="45">
        <f>IFERROR(IF($A352="","",($X352+$Y352)*IF($L352="",'Assumptions'!$B$13,$L352)),"")</f>
        <v/>
      </c>
      <c r="AA352" s="45">
        <f>IFERROR(IF($A352="","",$X352+$Y352+$Z352),"")</f>
        <v/>
      </c>
      <c r="AB352" s="45">
        <f>IFERROR(IF($A352="","",$V352*'Assumptions'!$B$5),"")</f>
        <v/>
      </c>
      <c r="AC352" s="45">
        <f>IFERROR(IF($A352="","",$I352*'Assumptions'!$B$6),"")</f>
        <v/>
      </c>
      <c r="AD352" s="45">
        <f>IFERROR(IF($A352="","",$AB352+$AC352),"")</f>
        <v/>
      </c>
      <c r="AE352" s="45">
        <f>IFERROR(IF($A352="","",($M352+$N352)*'Assumptions'!$B$7),"")</f>
        <v/>
      </c>
      <c r="AF352" s="45">
        <f>IFERROR(IF($A352="","",($Q352/60)*'Assumptions'!$B$8),"")</f>
        <v/>
      </c>
      <c r="AG352" s="45">
        <f>IFERROR(IF($A352="","",$P352+$AE352+$AF352),"")</f>
        <v/>
      </c>
      <c r="AH352" s="45">
        <f>IFERROR(IF($A352="","",$M352+$O352),"")</f>
        <v/>
      </c>
      <c r="AI352" s="46">
        <f>IFERROR(IF($A352="","",IFERROR($AH352/$W352,0)),"")</f>
        <v/>
      </c>
      <c r="AJ352" s="45">
        <f>IFERROR(IF($A352="","",$W352-$AH352-$AD352+$AG352),"")</f>
        <v/>
      </c>
      <c r="AK352" s="47">
        <f>IFERROR(IF($A352="","",IF(OR($S352="Collected",$S352="Waived",$S352="Uncollectible",$S352="No Charge Due"),"",IF($T352="",$B352+'Assumptions'!$B$9,$T352+'Assumptions'!$B$9))),"")</f>
        <v/>
      </c>
      <c r="AL352" s="48">
        <f>IFERROR(IF($A352="","",IF(OR($S352="Collected",$S352="Waived",$S352="Uncollectible",$S352="No Charge Due"),"Closed",IF($AK352&lt;TODAY(),"Overdue",IF($AK352=TODAY(),"Due","Open")))),"")</f>
        <v/>
      </c>
      <c r="AM352" s="49">
        <f>IFERROR(IF($A352="","",IF(COUNTIF($A$5:$A$504,$A352)&gt;1,"Duplicate reservation ID",IF($C352&lt;=$B352,"Check stay dates",IF($G352&gt;$F352,"Resold nights exceed booked nights",IF($M352+$N352&gt;$AA352+0.01,"Collection exceeds expected amount",IF(AND($S352="Collected",$M352=0),"Collected status has no amount",IF($AJ352&gt;='Assumptions'!$B$10,"High-cost review","OK"))))))),"")</f>
        <v/>
      </c>
    </row>
    <row r="353">
      <c r="A353" s="38" t="n"/>
      <c r="B353" s="39" t="n"/>
      <c r="C353" s="39" t="n"/>
      <c r="D353" s="38" t="n"/>
      <c r="E353" s="38" t="n"/>
      <c r="F353" s="40" t="n"/>
      <c r="G353" s="40" t="n"/>
      <c r="H353" s="41" t="n"/>
      <c r="I353" s="41" t="n"/>
      <c r="J353" s="42" t="n"/>
      <c r="K353" s="42" t="n"/>
      <c r="L353" s="42" t="n"/>
      <c r="M353" s="41" t="n"/>
      <c r="N353" s="41" t="n"/>
      <c r="O353" s="41" t="n"/>
      <c r="P353" s="41" t="n"/>
      <c r="Q353" s="40" t="n"/>
      <c r="R353" s="38" t="n"/>
      <c r="S353" s="38" t="n"/>
      <c r="T353" s="39" t="n"/>
      <c r="U353" s="43" t="n"/>
      <c r="V353" s="44">
        <f>IFERROR(IF($A353="","",MAX($F353-$G353,0)),"")</f>
        <v/>
      </c>
      <c r="W353" s="45">
        <f>IFERROR(IF($A353="","",$H353+$I353),"")</f>
        <v/>
      </c>
      <c r="X353" s="45">
        <f>IFERROR(IF($A353="","",$H353*IF($J353="",'Assumptions'!$B$4,$J353)),"")</f>
        <v/>
      </c>
      <c r="Y353" s="45">
        <f>IFERROR(IF($A353="","",$X353*IF($K353="",'Assumptions'!$B$12,$K353)),"")</f>
        <v/>
      </c>
      <c r="Z353" s="45">
        <f>IFERROR(IF($A353="","",($X353+$Y353)*IF($L353="",'Assumptions'!$B$13,$L353)),"")</f>
        <v/>
      </c>
      <c r="AA353" s="45">
        <f>IFERROR(IF($A353="","",$X353+$Y353+$Z353),"")</f>
        <v/>
      </c>
      <c r="AB353" s="45">
        <f>IFERROR(IF($A353="","",$V353*'Assumptions'!$B$5),"")</f>
        <v/>
      </c>
      <c r="AC353" s="45">
        <f>IFERROR(IF($A353="","",$I353*'Assumptions'!$B$6),"")</f>
        <v/>
      </c>
      <c r="AD353" s="45">
        <f>IFERROR(IF($A353="","",$AB353+$AC353),"")</f>
        <v/>
      </c>
      <c r="AE353" s="45">
        <f>IFERROR(IF($A353="","",($M353+$N353)*'Assumptions'!$B$7),"")</f>
        <v/>
      </c>
      <c r="AF353" s="45">
        <f>IFERROR(IF($A353="","",($Q353/60)*'Assumptions'!$B$8),"")</f>
        <v/>
      </c>
      <c r="AG353" s="45">
        <f>IFERROR(IF($A353="","",$P353+$AE353+$AF353),"")</f>
        <v/>
      </c>
      <c r="AH353" s="45">
        <f>IFERROR(IF($A353="","",$M353+$O353),"")</f>
        <v/>
      </c>
      <c r="AI353" s="46">
        <f>IFERROR(IF($A353="","",IFERROR($AH353/$W353,0)),"")</f>
        <v/>
      </c>
      <c r="AJ353" s="45">
        <f>IFERROR(IF($A353="","",$W353-$AH353-$AD353+$AG353),"")</f>
        <v/>
      </c>
      <c r="AK353" s="47">
        <f>IFERROR(IF($A353="","",IF(OR($S353="Collected",$S353="Waived",$S353="Uncollectible",$S353="No Charge Due"),"",IF($T353="",$B353+'Assumptions'!$B$9,$T353+'Assumptions'!$B$9))),"")</f>
        <v/>
      </c>
      <c r="AL353" s="48">
        <f>IFERROR(IF($A353="","",IF(OR($S353="Collected",$S353="Waived",$S353="Uncollectible",$S353="No Charge Due"),"Closed",IF($AK353&lt;TODAY(),"Overdue",IF($AK353=TODAY(),"Due","Open")))),"")</f>
        <v/>
      </c>
      <c r="AM353" s="49">
        <f>IFERROR(IF($A353="","",IF(COUNTIF($A$5:$A$504,$A353)&gt;1,"Duplicate reservation ID",IF($C353&lt;=$B353,"Check stay dates",IF($G353&gt;$F353,"Resold nights exceed booked nights",IF($M353+$N353&gt;$AA353+0.01,"Collection exceeds expected amount",IF(AND($S353="Collected",$M353=0),"Collected status has no amount",IF($AJ353&gt;='Assumptions'!$B$10,"High-cost review","OK"))))))),"")</f>
        <v/>
      </c>
    </row>
    <row r="354">
      <c r="A354" s="38" t="n"/>
      <c r="B354" s="39" t="n"/>
      <c r="C354" s="39" t="n"/>
      <c r="D354" s="38" t="n"/>
      <c r="E354" s="38" t="n"/>
      <c r="F354" s="40" t="n"/>
      <c r="G354" s="40" t="n"/>
      <c r="H354" s="41" t="n"/>
      <c r="I354" s="41" t="n"/>
      <c r="J354" s="42" t="n"/>
      <c r="K354" s="42" t="n"/>
      <c r="L354" s="42" t="n"/>
      <c r="M354" s="41" t="n"/>
      <c r="N354" s="41" t="n"/>
      <c r="O354" s="41" t="n"/>
      <c r="P354" s="41" t="n"/>
      <c r="Q354" s="40" t="n"/>
      <c r="R354" s="38" t="n"/>
      <c r="S354" s="38" t="n"/>
      <c r="T354" s="39" t="n"/>
      <c r="U354" s="43" t="n"/>
      <c r="V354" s="44">
        <f>IFERROR(IF($A354="","",MAX($F354-$G354,0)),"")</f>
        <v/>
      </c>
      <c r="W354" s="45">
        <f>IFERROR(IF($A354="","",$H354+$I354),"")</f>
        <v/>
      </c>
      <c r="X354" s="45">
        <f>IFERROR(IF($A354="","",$H354*IF($J354="",'Assumptions'!$B$4,$J354)),"")</f>
        <v/>
      </c>
      <c r="Y354" s="45">
        <f>IFERROR(IF($A354="","",$X354*IF($K354="",'Assumptions'!$B$12,$K354)),"")</f>
        <v/>
      </c>
      <c r="Z354" s="45">
        <f>IFERROR(IF($A354="","",($X354+$Y354)*IF($L354="",'Assumptions'!$B$13,$L354)),"")</f>
        <v/>
      </c>
      <c r="AA354" s="45">
        <f>IFERROR(IF($A354="","",$X354+$Y354+$Z354),"")</f>
        <v/>
      </c>
      <c r="AB354" s="45">
        <f>IFERROR(IF($A354="","",$V354*'Assumptions'!$B$5),"")</f>
        <v/>
      </c>
      <c r="AC354" s="45">
        <f>IFERROR(IF($A354="","",$I354*'Assumptions'!$B$6),"")</f>
        <v/>
      </c>
      <c r="AD354" s="45">
        <f>IFERROR(IF($A354="","",$AB354+$AC354),"")</f>
        <v/>
      </c>
      <c r="AE354" s="45">
        <f>IFERROR(IF($A354="","",($M354+$N354)*'Assumptions'!$B$7),"")</f>
        <v/>
      </c>
      <c r="AF354" s="45">
        <f>IFERROR(IF($A354="","",($Q354/60)*'Assumptions'!$B$8),"")</f>
        <v/>
      </c>
      <c r="AG354" s="45">
        <f>IFERROR(IF($A354="","",$P354+$AE354+$AF354),"")</f>
        <v/>
      </c>
      <c r="AH354" s="45">
        <f>IFERROR(IF($A354="","",$M354+$O354),"")</f>
        <v/>
      </c>
      <c r="AI354" s="46">
        <f>IFERROR(IF($A354="","",IFERROR($AH354/$W354,0)),"")</f>
        <v/>
      </c>
      <c r="AJ354" s="45">
        <f>IFERROR(IF($A354="","",$W354-$AH354-$AD354+$AG354),"")</f>
        <v/>
      </c>
      <c r="AK354" s="47">
        <f>IFERROR(IF($A354="","",IF(OR($S354="Collected",$S354="Waived",$S354="Uncollectible",$S354="No Charge Due"),"",IF($T354="",$B354+'Assumptions'!$B$9,$T354+'Assumptions'!$B$9))),"")</f>
        <v/>
      </c>
      <c r="AL354" s="48">
        <f>IFERROR(IF($A354="","",IF(OR($S354="Collected",$S354="Waived",$S354="Uncollectible",$S354="No Charge Due"),"Closed",IF($AK354&lt;TODAY(),"Overdue",IF($AK354=TODAY(),"Due","Open")))),"")</f>
        <v/>
      </c>
      <c r="AM354" s="49">
        <f>IFERROR(IF($A354="","",IF(COUNTIF($A$5:$A$504,$A354)&gt;1,"Duplicate reservation ID",IF($C354&lt;=$B354,"Check stay dates",IF($G354&gt;$F354,"Resold nights exceed booked nights",IF($M354+$N354&gt;$AA354+0.01,"Collection exceeds expected amount",IF(AND($S354="Collected",$M354=0),"Collected status has no amount",IF($AJ354&gt;='Assumptions'!$B$10,"High-cost review","OK"))))))),"")</f>
        <v/>
      </c>
    </row>
    <row r="355">
      <c r="A355" s="38" t="n"/>
      <c r="B355" s="39" t="n"/>
      <c r="C355" s="39" t="n"/>
      <c r="D355" s="38" t="n"/>
      <c r="E355" s="38" t="n"/>
      <c r="F355" s="40" t="n"/>
      <c r="G355" s="40" t="n"/>
      <c r="H355" s="41" t="n"/>
      <c r="I355" s="41" t="n"/>
      <c r="J355" s="42" t="n"/>
      <c r="K355" s="42" t="n"/>
      <c r="L355" s="42" t="n"/>
      <c r="M355" s="41" t="n"/>
      <c r="N355" s="41" t="n"/>
      <c r="O355" s="41" t="n"/>
      <c r="P355" s="41" t="n"/>
      <c r="Q355" s="40" t="n"/>
      <c r="R355" s="38" t="n"/>
      <c r="S355" s="38" t="n"/>
      <c r="T355" s="39" t="n"/>
      <c r="U355" s="43" t="n"/>
      <c r="V355" s="44">
        <f>IFERROR(IF($A355="","",MAX($F355-$G355,0)),"")</f>
        <v/>
      </c>
      <c r="W355" s="45">
        <f>IFERROR(IF($A355="","",$H355+$I355),"")</f>
        <v/>
      </c>
      <c r="X355" s="45">
        <f>IFERROR(IF($A355="","",$H355*IF($J355="",'Assumptions'!$B$4,$J355)),"")</f>
        <v/>
      </c>
      <c r="Y355" s="45">
        <f>IFERROR(IF($A355="","",$X355*IF($K355="",'Assumptions'!$B$12,$K355)),"")</f>
        <v/>
      </c>
      <c r="Z355" s="45">
        <f>IFERROR(IF($A355="","",($X355+$Y355)*IF($L355="",'Assumptions'!$B$13,$L355)),"")</f>
        <v/>
      </c>
      <c r="AA355" s="45">
        <f>IFERROR(IF($A355="","",$X355+$Y355+$Z355),"")</f>
        <v/>
      </c>
      <c r="AB355" s="45">
        <f>IFERROR(IF($A355="","",$V355*'Assumptions'!$B$5),"")</f>
        <v/>
      </c>
      <c r="AC355" s="45">
        <f>IFERROR(IF($A355="","",$I355*'Assumptions'!$B$6),"")</f>
        <v/>
      </c>
      <c r="AD355" s="45">
        <f>IFERROR(IF($A355="","",$AB355+$AC355),"")</f>
        <v/>
      </c>
      <c r="AE355" s="45">
        <f>IFERROR(IF($A355="","",($M355+$N355)*'Assumptions'!$B$7),"")</f>
        <v/>
      </c>
      <c r="AF355" s="45">
        <f>IFERROR(IF($A355="","",($Q355/60)*'Assumptions'!$B$8),"")</f>
        <v/>
      </c>
      <c r="AG355" s="45">
        <f>IFERROR(IF($A355="","",$P355+$AE355+$AF355),"")</f>
        <v/>
      </c>
      <c r="AH355" s="45">
        <f>IFERROR(IF($A355="","",$M355+$O355),"")</f>
        <v/>
      </c>
      <c r="AI355" s="46">
        <f>IFERROR(IF($A355="","",IFERROR($AH355/$W355,0)),"")</f>
        <v/>
      </c>
      <c r="AJ355" s="45">
        <f>IFERROR(IF($A355="","",$W355-$AH355-$AD355+$AG355),"")</f>
        <v/>
      </c>
      <c r="AK355" s="47">
        <f>IFERROR(IF($A355="","",IF(OR($S355="Collected",$S355="Waived",$S355="Uncollectible",$S355="No Charge Due"),"",IF($T355="",$B355+'Assumptions'!$B$9,$T355+'Assumptions'!$B$9))),"")</f>
        <v/>
      </c>
      <c r="AL355" s="48">
        <f>IFERROR(IF($A355="","",IF(OR($S355="Collected",$S355="Waived",$S355="Uncollectible",$S355="No Charge Due"),"Closed",IF($AK355&lt;TODAY(),"Overdue",IF($AK355=TODAY(),"Due","Open")))),"")</f>
        <v/>
      </c>
      <c r="AM355" s="49">
        <f>IFERROR(IF($A355="","",IF(COUNTIF($A$5:$A$504,$A355)&gt;1,"Duplicate reservation ID",IF($C355&lt;=$B355,"Check stay dates",IF($G355&gt;$F355,"Resold nights exceed booked nights",IF($M355+$N355&gt;$AA355+0.01,"Collection exceeds expected amount",IF(AND($S355="Collected",$M355=0),"Collected status has no amount",IF($AJ355&gt;='Assumptions'!$B$10,"High-cost review","OK"))))))),"")</f>
        <v/>
      </c>
    </row>
    <row r="356">
      <c r="A356" s="38" t="n"/>
      <c r="B356" s="39" t="n"/>
      <c r="C356" s="39" t="n"/>
      <c r="D356" s="38" t="n"/>
      <c r="E356" s="38" t="n"/>
      <c r="F356" s="40" t="n"/>
      <c r="G356" s="40" t="n"/>
      <c r="H356" s="41" t="n"/>
      <c r="I356" s="41" t="n"/>
      <c r="J356" s="42" t="n"/>
      <c r="K356" s="42" t="n"/>
      <c r="L356" s="42" t="n"/>
      <c r="M356" s="41" t="n"/>
      <c r="N356" s="41" t="n"/>
      <c r="O356" s="41" t="n"/>
      <c r="P356" s="41" t="n"/>
      <c r="Q356" s="40" t="n"/>
      <c r="R356" s="38" t="n"/>
      <c r="S356" s="38" t="n"/>
      <c r="T356" s="39" t="n"/>
      <c r="U356" s="43" t="n"/>
      <c r="V356" s="44">
        <f>IFERROR(IF($A356="","",MAX($F356-$G356,0)),"")</f>
        <v/>
      </c>
      <c r="W356" s="45">
        <f>IFERROR(IF($A356="","",$H356+$I356),"")</f>
        <v/>
      </c>
      <c r="X356" s="45">
        <f>IFERROR(IF($A356="","",$H356*IF($J356="",'Assumptions'!$B$4,$J356)),"")</f>
        <v/>
      </c>
      <c r="Y356" s="45">
        <f>IFERROR(IF($A356="","",$X356*IF($K356="",'Assumptions'!$B$12,$K356)),"")</f>
        <v/>
      </c>
      <c r="Z356" s="45">
        <f>IFERROR(IF($A356="","",($X356+$Y356)*IF($L356="",'Assumptions'!$B$13,$L356)),"")</f>
        <v/>
      </c>
      <c r="AA356" s="45">
        <f>IFERROR(IF($A356="","",$X356+$Y356+$Z356),"")</f>
        <v/>
      </c>
      <c r="AB356" s="45">
        <f>IFERROR(IF($A356="","",$V356*'Assumptions'!$B$5),"")</f>
        <v/>
      </c>
      <c r="AC356" s="45">
        <f>IFERROR(IF($A356="","",$I356*'Assumptions'!$B$6),"")</f>
        <v/>
      </c>
      <c r="AD356" s="45">
        <f>IFERROR(IF($A356="","",$AB356+$AC356),"")</f>
        <v/>
      </c>
      <c r="AE356" s="45">
        <f>IFERROR(IF($A356="","",($M356+$N356)*'Assumptions'!$B$7),"")</f>
        <v/>
      </c>
      <c r="AF356" s="45">
        <f>IFERROR(IF($A356="","",($Q356/60)*'Assumptions'!$B$8),"")</f>
        <v/>
      </c>
      <c r="AG356" s="45">
        <f>IFERROR(IF($A356="","",$P356+$AE356+$AF356),"")</f>
        <v/>
      </c>
      <c r="AH356" s="45">
        <f>IFERROR(IF($A356="","",$M356+$O356),"")</f>
        <v/>
      </c>
      <c r="AI356" s="46">
        <f>IFERROR(IF($A356="","",IFERROR($AH356/$W356,0)),"")</f>
        <v/>
      </c>
      <c r="AJ356" s="45">
        <f>IFERROR(IF($A356="","",$W356-$AH356-$AD356+$AG356),"")</f>
        <v/>
      </c>
      <c r="AK356" s="47">
        <f>IFERROR(IF($A356="","",IF(OR($S356="Collected",$S356="Waived",$S356="Uncollectible",$S356="No Charge Due"),"",IF($T356="",$B356+'Assumptions'!$B$9,$T356+'Assumptions'!$B$9))),"")</f>
        <v/>
      </c>
      <c r="AL356" s="48">
        <f>IFERROR(IF($A356="","",IF(OR($S356="Collected",$S356="Waived",$S356="Uncollectible",$S356="No Charge Due"),"Closed",IF($AK356&lt;TODAY(),"Overdue",IF($AK356=TODAY(),"Due","Open")))),"")</f>
        <v/>
      </c>
      <c r="AM356" s="49">
        <f>IFERROR(IF($A356="","",IF(COUNTIF($A$5:$A$504,$A356)&gt;1,"Duplicate reservation ID",IF($C356&lt;=$B356,"Check stay dates",IF($G356&gt;$F356,"Resold nights exceed booked nights",IF($M356+$N356&gt;$AA356+0.01,"Collection exceeds expected amount",IF(AND($S356="Collected",$M356=0),"Collected status has no amount",IF($AJ356&gt;='Assumptions'!$B$10,"High-cost review","OK"))))))),"")</f>
        <v/>
      </c>
    </row>
    <row r="357">
      <c r="A357" s="38" t="n"/>
      <c r="B357" s="39" t="n"/>
      <c r="C357" s="39" t="n"/>
      <c r="D357" s="38" t="n"/>
      <c r="E357" s="38" t="n"/>
      <c r="F357" s="40" t="n"/>
      <c r="G357" s="40" t="n"/>
      <c r="H357" s="41" t="n"/>
      <c r="I357" s="41" t="n"/>
      <c r="J357" s="42" t="n"/>
      <c r="K357" s="42" t="n"/>
      <c r="L357" s="42" t="n"/>
      <c r="M357" s="41" t="n"/>
      <c r="N357" s="41" t="n"/>
      <c r="O357" s="41" t="n"/>
      <c r="P357" s="41" t="n"/>
      <c r="Q357" s="40" t="n"/>
      <c r="R357" s="38" t="n"/>
      <c r="S357" s="38" t="n"/>
      <c r="T357" s="39" t="n"/>
      <c r="U357" s="43" t="n"/>
      <c r="V357" s="44">
        <f>IFERROR(IF($A357="","",MAX($F357-$G357,0)),"")</f>
        <v/>
      </c>
      <c r="W357" s="45">
        <f>IFERROR(IF($A357="","",$H357+$I357),"")</f>
        <v/>
      </c>
      <c r="X357" s="45">
        <f>IFERROR(IF($A357="","",$H357*IF($J357="",'Assumptions'!$B$4,$J357)),"")</f>
        <v/>
      </c>
      <c r="Y357" s="45">
        <f>IFERROR(IF($A357="","",$X357*IF($K357="",'Assumptions'!$B$12,$K357)),"")</f>
        <v/>
      </c>
      <c r="Z357" s="45">
        <f>IFERROR(IF($A357="","",($X357+$Y357)*IF($L357="",'Assumptions'!$B$13,$L357)),"")</f>
        <v/>
      </c>
      <c r="AA357" s="45">
        <f>IFERROR(IF($A357="","",$X357+$Y357+$Z357),"")</f>
        <v/>
      </c>
      <c r="AB357" s="45">
        <f>IFERROR(IF($A357="","",$V357*'Assumptions'!$B$5),"")</f>
        <v/>
      </c>
      <c r="AC357" s="45">
        <f>IFERROR(IF($A357="","",$I357*'Assumptions'!$B$6),"")</f>
        <v/>
      </c>
      <c r="AD357" s="45">
        <f>IFERROR(IF($A357="","",$AB357+$AC357),"")</f>
        <v/>
      </c>
      <c r="AE357" s="45">
        <f>IFERROR(IF($A357="","",($M357+$N357)*'Assumptions'!$B$7),"")</f>
        <v/>
      </c>
      <c r="AF357" s="45">
        <f>IFERROR(IF($A357="","",($Q357/60)*'Assumptions'!$B$8),"")</f>
        <v/>
      </c>
      <c r="AG357" s="45">
        <f>IFERROR(IF($A357="","",$P357+$AE357+$AF357),"")</f>
        <v/>
      </c>
      <c r="AH357" s="45">
        <f>IFERROR(IF($A357="","",$M357+$O357),"")</f>
        <v/>
      </c>
      <c r="AI357" s="46">
        <f>IFERROR(IF($A357="","",IFERROR($AH357/$W357,0)),"")</f>
        <v/>
      </c>
      <c r="AJ357" s="45">
        <f>IFERROR(IF($A357="","",$W357-$AH357-$AD357+$AG357),"")</f>
        <v/>
      </c>
      <c r="AK357" s="47">
        <f>IFERROR(IF($A357="","",IF(OR($S357="Collected",$S357="Waived",$S357="Uncollectible",$S357="No Charge Due"),"",IF($T357="",$B357+'Assumptions'!$B$9,$T357+'Assumptions'!$B$9))),"")</f>
        <v/>
      </c>
      <c r="AL357" s="48">
        <f>IFERROR(IF($A357="","",IF(OR($S357="Collected",$S357="Waived",$S357="Uncollectible",$S357="No Charge Due"),"Closed",IF($AK357&lt;TODAY(),"Overdue",IF($AK357=TODAY(),"Due","Open")))),"")</f>
        <v/>
      </c>
      <c r="AM357" s="49">
        <f>IFERROR(IF($A357="","",IF(COUNTIF($A$5:$A$504,$A357)&gt;1,"Duplicate reservation ID",IF($C357&lt;=$B357,"Check stay dates",IF($G357&gt;$F357,"Resold nights exceed booked nights",IF($M357+$N357&gt;$AA357+0.01,"Collection exceeds expected amount",IF(AND($S357="Collected",$M357=0),"Collected status has no amount",IF($AJ357&gt;='Assumptions'!$B$10,"High-cost review","OK"))))))),"")</f>
        <v/>
      </c>
    </row>
    <row r="358">
      <c r="A358" s="38" t="n"/>
      <c r="B358" s="39" t="n"/>
      <c r="C358" s="39" t="n"/>
      <c r="D358" s="38" t="n"/>
      <c r="E358" s="38" t="n"/>
      <c r="F358" s="40" t="n"/>
      <c r="G358" s="40" t="n"/>
      <c r="H358" s="41" t="n"/>
      <c r="I358" s="41" t="n"/>
      <c r="J358" s="42" t="n"/>
      <c r="K358" s="42" t="n"/>
      <c r="L358" s="42" t="n"/>
      <c r="M358" s="41" t="n"/>
      <c r="N358" s="41" t="n"/>
      <c r="O358" s="41" t="n"/>
      <c r="P358" s="41" t="n"/>
      <c r="Q358" s="40" t="n"/>
      <c r="R358" s="38" t="n"/>
      <c r="S358" s="38" t="n"/>
      <c r="T358" s="39" t="n"/>
      <c r="U358" s="43" t="n"/>
      <c r="V358" s="44">
        <f>IFERROR(IF($A358="","",MAX($F358-$G358,0)),"")</f>
        <v/>
      </c>
      <c r="W358" s="45">
        <f>IFERROR(IF($A358="","",$H358+$I358),"")</f>
        <v/>
      </c>
      <c r="X358" s="45">
        <f>IFERROR(IF($A358="","",$H358*IF($J358="",'Assumptions'!$B$4,$J358)),"")</f>
        <v/>
      </c>
      <c r="Y358" s="45">
        <f>IFERROR(IF($A358="","",$X358*IF($K358="",'Assumptions'!$B$12,$K358)),"")</f>
        <v/>
      </c>
      <c r="Z358" s="45">
        <f>IFERROR(IF($A358="","",($X358+$Y358)*IF($L358="",'Assumptions'!$B$13,$L358)),"")</f>
        <v/>
      </c>
      <c r="AA358" s="45">
        <f>IFERROR(IF($A358="","",$X358+$Y358+$Z358),"")</f>
        <v/>
      </c>
      <c r="AB358" s="45">
        <f>IFERROR(IF($A358="","",$V358*'Assumptions'!$B$5),"")</f>
        <v/>
      </c>
      <c r="AC358" s="45">
        <f>IFERROR(IF($A358="","",$I358*'Assumptions'!$B$6),"")</f>
        <v/>
      </c>
      <c r="AD358" s="45">
        <f>IFERROR(IF($A358="","",$AB358+$AC358),"")</f>
        <v/>
      </c>
      <c r="AE358" s="45">
        <f>IFERROR(IF($A358="","",($M358+$N358)*'Assumptions'!$B$7),"")</f>
        <v/>
      </c>
      <c r="AF358" s="45">
        <f>IFERROR(IF($A358="","",($Q358/60)*'Assumptions'!$B$8),"")</f>
        <v/>
      </c>
      <c r="AG358" s="45">
        <f>IFERROR(IF($A358="","",$P358+$AE358+$AF358),"")</f>
        <v/>
      </c>
      <c r="AH358" s="45">
        <f>IFERROR(IF($A358="","",$M358+$O358),"")</f>
        <v/>
      </c>
      <c r="AI358" s="46">
        <f>IFERROR(IF($A358="","",IFERROR($AH358/$W358,0)),"")</f>
        <v/>
      </c>
      <c r="AJ358" s="45">
        <f>IFERROR(IF($A358="","",$W358-$AH358-$AD358+$AG358),"")</f>
        <v/>
      </c>
      <c r="AK358" s="47">
        <f>IFERROR(IF($A358="","",IF(OR($S358="Collected",$S358="Waived",$S358="Uncollectible",$S358="No Charge Due"),"",IF($T358="",$B358+'Assumptions'!$B$9,$T358+'Assumptions'!$B$9))),"")</f>
        <v/>
      </c>
      <c r="AL358" s="48">
        <f>IFERROR(IF($A358="","",IF(OR($S358="Collected",$S358="Waived",$S358="Uncollectible",$S358="No Charge Due"),"Closed",IF($AK358&lt;TODAY(),"Overdue",IF($AK358=TODAY(),"Due","Open")))),"")</f>
        <v/>
      </c>
      <c r="AM358" s="49">
        <f>IFERROR(IF($A358="","",IF(COUNTIF($A$5:$A$504,$A358)&gt;1,"Duplicate reservation ID",IF($C358&lt;=$B358,"Check stay dates",IF($G358&gt;$F358,"Resold nights exceed booked nights",IF($M358+$N358&gt;$AA358+0.01,"Collection exceeds expected amount",IF(AND($S358="Collected",$M358=0),"Collected status has no amount",IF($AJ358&gt;='Assumptions'!$B$10,"High-cost review","OK"))))))),"")</f>
        <v/>
      </c>
    </row>
    <row r="359">
      <c r="A359" s="38" t="n"/>
      <c r="B359" s="39" t="n"/>
      <c r="C359" s="39" t="n"/>
      <c r="D359" s="38" t="n"/>
      <c r="E359" s="38" t="n"/>
      <c r="F359" s="40" t="n"/>
      <c r="G359" s="40" t="n"/>
      <c r="H359" s="41" t="n"/>
      <c r="I359" s="41" t="n"/>
      <c r="J359" s="42" t="n"/>
      <c r="K359" s="42" t="n"/>
      <c r="L359" s="42" t="n"/>
      <c r="M359" s="41" t="n"/>
      <c r="N359" s="41" t="n"/>
      <c r="O359" s="41" t="n"/>
      <c r="P359" s="41" t="n"/>
      <c r="Q359" s="40" t="n"/>
      <c r="R359" s="38" t="n"/>
      <c r="S359" s="38" t="n"/>
      <c r="T359" s="39" t="n"/>
      <c r="U359" s="43" t="n"/>
      <c r="V359" s="44">
        <f>IFERROR(IF($A359="","",MAX($F359-$G359,0)),"")</f>
        <v/>
      </c>
      <c r="W359" s="45">
        <f>IFERROR(IF($A359="","",$H359+$I359),"")</f>
        <v/>
      </c>
      <c r="X359" s="45">
        <f>IFERROR(IF($A359="","",$H359*IF($J359="",'Assumptions'!$B$4,$J359)),"")</f>
        <v/>
      </c>
      <c r="Y359" s="45">
        <f>IFERROR(IF($A359="","",$X359*IF($K359="",'Assumptions'!$B$12,$K359)),"")</f>
        <v/>
      </c>
      <c r="Z359" s="45">
        <f>IFERROR(IF($A359="","",($X359+$Y359)*IF($L359="",'Assumptions'!$B$13,$L359)),"")</f>
        <v/>
      </c>
      <c r="AA359" s="45">
        <f>IFERROR(IF($A359="","",$X359+$Y359+$Z359),"")</f>
        <v/>
      </c>
      <c r="AB359" s="45">
        <f>IFERROR(IF($A359="","",$V359*'Assumptions'!$B$5),"")</f>
        <v/>
      </c>
      <c r="AC359" s="45">
        <f>IFERROR(IF($A359="","",$I359*'Assumptions'!$B$6),"")</f>
        <v/>
      </c>
      <c r="AD359" s="45">
        <f>IFERROR(IF($A359="","",$AB359+$AC359),"")</f>
        <v/>
      </c>
      <c r="AE359" s="45">
        <f>IFERROR(IF($A359="","",($M359+$N359)*'Assumptions'!$B$7),"")</f>
        <v/>
      </c>
      <c r="AF359" s="45">
        <f>IFERROR(IF($A359="","",($Q359/60)*'Assumptions'!$B$8),"")</f>
        <v/>
      </c>
      <c r="AG359" s="45">
        <f>IFERROR(IF($A359="","",$P359+$AE359+$AF359),"")</f>
        <v/>
      </c>
      <c r="AH359" s="45">
        <f>IFERROR(IF($A359="","",$M359+$O359),"")</f>
        <v/>
      </c>
      <c r="AI359" s="46">
        <f>IFERROR(IF($A359="","",IFERROR($AH359/$W359,0)),"")</f>
        <v/>
      </c>
      <c r="AJ359" s="45">
        <f>IFERROR(IF($A359="","",$W359-$AH359-$AD359+$AG359),"")</f>
        <v/>
      </c>
      <c r="AK359" s="47">
        <f>IFERROR(IF($A359="","",IF(OR($S359="Collected",$S359="Waived",$S359="Uncollectible",$S359="No Charge Due"),"",IF($T359="",$B359+'Assumptions'!$B$9,$T359+'Assumptions'!$B$9))),"")</f>
        <v/>
      </c>
      <c r="AL359" s="48">
        <f>IFERROR(IF($A359="","",IF(OR($S359="Collected",$S359="Waived",$S359="Uncollectible",$S359="No Charge Due"),"Closed",IF($AK359&lt;TODAY(),"Overdue",IF($AK359=TODAY(),"Due","Open")))),"")</f>
        <v/>
      </c>
      <c r="AM359" s="49">
        <f>IFERROR(IF($A359="","",IF(COUNTIF($A$5:$A$504,$A359)&gt;1,"Duplicate reservation ID",IF($C359&lt;=$B359,"Check stay dates",IF($G359&gt;$F359,"Resold nights exceed booked nights",IF($M359+$N359&gt;$AA359+0.01,"Collection exceeds expected amount",IF(AND($S359="Collected",$M359=0),"Collected status has no amount",IF($AJ359&gt;='Assumptions'!$B$10,"High-cost review","OK"))))))),"")</f>
        <v/>
      </c>
    </row>
    <row r="360">
      <c r="A360" s="38" t="n"/>
      <c r="B360" s="39" t="n"/>
      <c r="C360" s="39" t="n"/>
      <c r="D360" s="38" t="n"/>
      <c r="E360" s="38" t="n"/>
      <c r="F360" s="40" t="n"/>
      <c r="G360" s="40" t="n"/>
      <c r="H360" s="41" t="n"/>
      <c r="I360" s="41" t="n"/>
      <c r="J360" s="42" t="n"/>
      <c r="K360" s="42" t="n"/>
      <c r="L360" s="42" t="n"/>
      <c r="M360" s="41" t="n"/>
      <c r="N360" s="41" t="n"/>
      <c r="O360" s="41" t="n"/>
      <c r="P360" s="41" t="n"/>
      <c r="Q360" s="40" t="n"/>
      <c r="R360" s="38" t="n"/>
      <c r="S360" s="38" t="n"/>
      <c r="T360" s="39" t="n"/>
      <c r="U360" s="43" t="n"/>
      <c r="V360" s="44">
        <f>IFERROR(IF($A360="","",MAX($F360-$G360,0)),"")</f>
        <v/>
      </c>
      <c r="W360" s="45">
        <f>IFERROR(IF($A360="","",$H360+$I360),"")</f>
        <v/>
      </c>
      <c r="X360" s="45">
        <f>IFERROR(IF($A360="","",$H360*IF($J360="",'Assumptions'!$B$4,$J360)),"")</f>
        <v/>
      </c>
      <c r="Y360" s="45">
        <f>IFERROR(IF($A360="","",$X360*IF($K360="",'Assumptions'!$B$12,$K360)),"")</f>
        <v/>
      </c>
      <c r="Z360" s="45">
        <f>IFERROR(IF($A360="","",($X360+$Y360)*IF($L360="",'Assumptions'!$B$13,$L360)),"")</f>
        <v/>
      </c>
      <c r="AA360" s="45">
        <f>IFERROR(IF($A360="","",$X360+$Y360+$Z360),"")</f>
        <v/>
      </c>
      <c r="AB360" s="45">
        <f>IFERROR(IF($A360="","",$V360*'Assumptions'!$B$5),"")</f>
        <v/>
      </c>
      <c r="AC360" s="45">
        <f>IFERROR(IF($A360="","",$I360*'Assumptions'!$B$6),"")</f>
        <v/>
      </c>
      <c r="AD360" s="45">
        <f>IFERROR(IF($A360="","",$AB360+$AC360),"")</f>
        <v/>
      </c>
      <c r="AE360" s="45">
        <f>IFERROR(IF($A360="","",($M360+$N360)*'Assumptions'!$B$7),"")</f>
        <v/>
      </c>
      <c r="AF360" s="45">
        <f>IFERROR(IF($A360="","",($Q360/60)*'Assumptions'!$B$8),"")</f>
        <v/>
      </c>
      <c r="AG360" s="45">
        <f>IFERROR(IF($A360="","",$P360+$AE360+$AF360),"")</f>
        <v/>
      </c>
      <c r="AH360" s="45">
        <f>IFERROR(IF($A360="","",$M360+$O360),"")</f>
        <v/>
      </c>
      <c r="AI360" s="46">
        <f>IFERROR(IF($A360="","",IFERROR($AH360/$W360,0)),"")</f>
        <v/>
      </c>
      <c r="AJ360" s="45">
        <f>IFERROR(IF($A360="","",$W360-$AH360-$AD360+$AG360),"")</f>
        <v/>
      </c>
      <c r="AK360" s="47">
        <f>IFERROR(IF($A360="","",IF(OR($S360="Collected",$S360="Waived",$S360="Uncollectible",$S360="No Charge Due"),"",IF($T360="",$B360+'Assumptions'!$B$9,$T360+'Assumptions'!$B$9))),"")</f>
        <v/>
      </c>
      <c r="AL360" s="48">
        <f>IFERROR(IF($A360="","",IF(OR($S360="Collected",$S360="Waived",$S360="Uncollectible",$S360="No Charge Due"),"Closed",IF($AK360&lt;TODAY(),"Overdue",IF($AK360=TODAY(),"Due","Open")))),"")</f>
        <v/>
      </c>
      <c r="AM360" s="49">
        <f>IFERROR(IF($A360="","",IF(COUNTIF($A$5:$A$504,$A360)&gt;1,"Duplicate reservation ID",IF($C360&lt;=$B360,"Check stay dates",IF($G360&gt;$F360,"Resold nights exceed booked nights",IF($M360+$N360&gt;$AA360+0.01,"Collection exceeds expected amount",IF(AND($S360="Collected",$M360=0),"Collected status has no amount",IF($AJ360&gt;='Assumptions'!$B$10,"High-cost review","OK"))))))),"")</f>
        <v/>
      </c>
    </row>
    <row r="361">
      <c r="A361" s="38" t="n"/>
      <c r="B361" s="39" t="n"/>
      <c r="C361" s="39" t="n"/>
      <c r="D361" s="38" t="n"/>
      <c r="E361" s="38" t="n"/>
      <c r="F361" s="40" t="n"/>
      <c r="G361" s="40" t="n"/>
      <c r="H361" s="41" t="n"/>
      <c r="I361" s="41" t="n"/>
      <c r="J361" s="42" t="n"/>
      <c r="K361" s="42" t="n"/>
      <c r="L361" s="42" t="n"/>
      <c r="M361" s="41" t="n"/>
      <c r="N361" s="41" t="n"/>
      <c r="O361" s="41" t="n"/>
      <c r="P361" s="41" t="n"/>
      <c r="Q361" s="40" t="n"/>
      <c r="R361" s="38" t="n"/>
      <c r="S361" s="38" t="n"/>
      <c r="T361" s="39" t="n"/>
      <c r="U361" s="43" t="n"/>
      <c r="V361" s="44">
        <f>IFERROR(IF($A361="","",MAX($F361-$G361,0)),"")</f>
        <v/>
      </c>
      <c r="W361" s="45">
        <f>IFERROR(IF($A361="","",$H361+$I361),"")</f>
        <v/>
      </c>
      <c r="X361" s="45">
        <f>IFERROR(IF($A361="","",$H361*IF($J361="",'Assumptions'!$B$4,$J361)),"")</f>
        <v/>
      </c>
      <c r="Y361" s="45">
        <f>IFERROR(IF($A361="","",$X361*IF($K361="",'Assumptions'!$B$12,$K361)),"")</f>
        <v/>
      </c>
      <c r="Z361" s="45">
        <f>IFERROR(IF($A361="","",($X361+$Y361)*IF($L361="",'Assumptions'!$B$13,$L361)),"")</f>
        <v/>
      </c>
      <c r="AA361" s="45">
        <f>IFERROR(IF($A361="","",$X361+$Y361+$Z361),"")</f>
        <v/>
      </c>
      <c r="AB361" s="45">
        <f>IFERROR(IF($A361="","",$V361*'Assumptions'!$B$5),"")</f>
        <v/>
      </c>
      <c r="AC361" s="45">
        <f>IFERROR(IF($A361="","",$I361*'Assumptions'!$B$6),"")</f>
        <v/>
      </c>
      <c r="AD361" s="45">
        <f>IFERROR(IF($A361="","",$AB361+$AC361),"")</f>
        <v/>
      </c>
      <c r="AE361" s="45">
        <f>IFERROR(IF($A361="","",($M361+$N361)*'Assumptions'!$B$7),"")</f>
        <v/>
      </c>
      <c r="AF361" s="45">
        <f>IFERROR(IF($A361="","",($Q361/60)*'Assumptions'!$B$8),"")</f>
        <v/>
      </c>
      <c r="AG361" s="45">
        <f>IFERROR(IF($A361="","",$P361+$AE361+$AF361),"")</f>
        <v/>
      </c>
      <c r="AH361" s="45">
        <f>IFERROR(IF($A361="","",$M361+$O361),"")</f>
        <v/>
      </c>
      <c r="AI361" s="46">
        <f>IFERROR(IF($A361="","",IFERROR($AH361/$W361,0)),"")</f>
        <v/>
      </c>
      <c r="AJ361" s="45">
        <f>IFERROR(IF($A361="","",$W361-$AH361-$AD361+$AG361),"")</f>
        <v/>
      </c>
      <c r="AK361" s="47">
        <f>IFERROR(IF($A361="","",IF(OR($S361="Collected",$S361="Waived",$S361="Uncollectible",$S361="No Charge Due"),"",IF($T361="",$B361+'Assumptions'!$B$9,$T361+'Assumptions'!$B$9))),"")</f>
        <v/>
      </c>
      <c r="AL361" s="48">
        <f>IFERROR(IF($A361="","",IF(OR($S361="Collected",$S361="Waived",$S361="Uncollectible",$S361="No Charge Due"),"Closed",IF($AK361&lt;TODAY(),"Overdue",IF($AK361=TODAY(),"Due","Open")))),"")</f>
        <v/>
      </c>
      <c r="AM361" s="49">
        <f>IFERROR(IF($A361="","",IF(COUNTIF($A$5:$A$504,$A361)&gt;1,"Duplicate reservation ID",IF($C361&lt;=$B361,"Check stay dates",IF($G361&gt;$F361,"Resold nights exceed booked nights",IF($M361+$N361&gt;$AA361+0.01,"Collection exceeds expected amount",IF(AND($S361="Collected",$M361=0),"Collected status has no amount",IF($AJ361&gt;='Assumptions'!$B$10,"High-cost review","OK"))))))),"")</f>
        <v/>
      </c>
    </row>
    <row r="362">
      <c r="A362" s="38" t="n"/>
      <c r="B362" s="39" t="n"/>
      <c r="C362" s="39" t="n"/>
      <c r="D362" s="38" t="n"/>
      <c r="E362" s="38" t="n"/>
      <c r="F362" s="40" t="n"/>
      <c r="G362" s="40" t="n"/>
      <c r="H362" s="41" t="n"/>
      <c r="I362" s="41" t="n"/>
      <c r="J362" s="42" t="n"/>
      <c r="K362" s="42" t="n"/>
      <c r="L362" s="42" t="n"/>
      <c r="M362" s="41" t="n"/>
      <c r="N362" s="41" t="n"/>
      <c r="O362" s="41" t="n"/>
      <c r="P362" s="41" t="n"/>
      <c r="Q362" s="40" t="n"/>
      <c r="R362" s="38" t="n"/>
      <c r="S362" s="38" t="n"/>
      <c r="T362" s="39" t="n"/>
      <c r="U362" s="43" t="n"/>
      <c r="V362" s="44">
        <f>IFERROR(IF($A362="","",MAX($F362-$G362,0)),"")</f>
        <v/>
      </c>
      <c r="W362" s="45">
        <f>IFERROR(IF($A362="","",$H362+$I362),"")</f>
        <v/>
      </c>
      <c r="X362" s="45">
        <f>IFERROR(IF($A362="","",$H362*IF($J362="",'Assumptions'!$B$4,$J362)),"")</f>
        <v/>
      </c>
      <c r="Y362" s="45">
        <f>IFERROR(IF($A362="","",$X362*IF($K362="",'Assumptions'!$B$12,$K362)),"")</f>
        <v/>
      </c>
      <c r="Z362" s="45">
        <f>IFERROR(IF($A362="","",($X362+$Y362)*IF($L362="",'Assumptions'!$B$13,$L362)),"")</f>
        <v/>
      </c>
      <c r="AA362" s="45">
        <f>IFERROR(IF($A362="","",$X362+$Y362+$Z362),"")</f>
        <v/>
      </c>
      <c r="AB362" s="45">
        <f>IFERROR(IF($A362="","",$V362*'Assumptions'!$B$5),"")</f>
        <v/>
      </c>
      <c r="AC362" s="45">
        <f>IFERROR(IF($A362="","",$I362*'Assumptions'!$B$6),"")</f>
        <v/>
      </c>
      <c r="AD362" s="45">
        <f>IFERROR(IF($A362="","",$AB362+$AC362),"")</f>
        <v/>
      </c>
      <c r="AE362" s="45">
        <f>IFERROR(IF($A362="","",($M362+$N362)*'Assumptions'!$B$7),"")</f>
        <v/>
      </c>
      <c r="AF362" s="45">
        <f>IFERROR(IF($A362="","",($Q362/60)*'Assumptions'!$B$8),"")</f>
        <v/>
      </c>
      <c r="AG362" s="45">
        <f>IFERROR(IF($A362="","",$P362+$AE362+$AF362),"")</f>
        <v/>
      </c>
      <c r="AH362" s="45">
        <f>IFERROR(IF($A362="","",$M362+$O362),"")</f>
        <v/>
      </c>
      <c r="AI362" s="46">
        <f>IFERROR(IF($A362="","",IFERROR($AH362/$W362,0)),"")</f>
        <v/>
      </c>
      <c r="AJ362" s="45">
        <f>IFERROR(IF($A362="","",$W362-$AH362-$AD362+$AG362),"")</f>
        <v/>
      </c>
      <c r="AK362" s="47">
        <f>IFERROR(IF($A362="","",IF(OR($S362="Collected",$S362="Waived",$S362="Uncollectible",$S362="No Charge Due"),"",IF($T362="",$B362+'Assumptions'!$B$9,$T362+'Assumptions'!$B$9))),"")</f>
        <v/>
      </c>
      <c r="AL362" s="48">
        <f>IFERROR(IF($A362="","",IF(OR($S362="Collected",$S362="Waived",$S362="Uncollectible",$S362="No Charge Due"),"Closed",IF($AK362&lt;TODAY(),"Overdue",IF($AK362=TODAY(),"Due","Open")))),"")</f>
        <v/>
      </c>
      <c r="AM362" s="49">
        <f>IFERROR(IF($A362="","",IF(COUNTIF($A$5:$A$504,$A362)&gt;1,"Duplicate reservation ID",IF($C362&lt;=$B362,"Check stay dates",IF($G362&gt;$F362,"Resold nights exceed booked nights",IF($M362+$N362&gt;$AA362+0.01,"Collection exceeds expected amount",IF(AND($S362="Collected",$M362=0),"Collected status has no amount",IF($AJ362&gt;='Assumptions'!$B$10,"High-cost review","OK"))))))),"")</f>
        <v/>
      </c>
    </row>
    <row r="363">
      <c r="A363" s="38" t="n"/>
      <c r="B363" s="39" t="n"/>
      <c r="C363" s="39" t="n"/>
      <c r="D363" s="38" t="n"/>
      <c r="E363" s="38" t="n"/>
      <c r="F363" s="40" t="n"/>
      <c r="G363" s="40" t="n"/>
      <c r="H363" s="41" t="n"/>
      <c r="I363" s="41" t="n"/>
      <c r="J363" s="42" t="n"/>
      <c r="K363" s="42" t="n"/>
      <c r="L363" s="42" t="n"/>
      <c r="M363" s="41" t="n"/>
      <c r="N363" s="41" t="n"/>
      <c r="O363" s="41" t="n"/>
      <c r="P363" s="41" t="n"/>
      <c r="Q363" s="40" t="n"/>
      <c r="R363" s="38" t="n"/>
      <c r="S363" s="38" t="n"/>
      <c r="T363" s="39" t="n"/>
      <c r="U363" s="43" t="n"/>
      <c r="V363" s="44">
        <f>IFERROR(IF($A363="","",MAX($F363-$G363,0)),"")</f>
        <v/>
      </c>
      <c r="W363" s="45">
        <f>IFERROR(IF($A363="","",$H363+$I363),"")</f>
        <v/>
      </c>
      <c r="X363" s="45">
        <f>IFERROR(IF($A363="","",$H363*IF($J363="",'Assumptions'!$B$4,$J363)),"")</f>
        <v/>
      </c>
      <c r="Y363" s="45">
        <f>IFERROR(IF($A363="","",$X363*IF($K363="",'Assumptions'!$B$12,$K363)),"")</f>
        <v/>
      </c>
      <c r="Z363" s="45">
        <f>IFERROR(IF($A363="","",($X363+$Y363)*IF($L363="",'Assumptions'!$B$13,$L363)),"")</f>
        <v/>
      </c>
      <c r="AA363" s="45">
        <f>IFERROR(IF($A363="","",$X363+$Y363+$Z363),"")</f>
        <v/>
      </c>
      <c r="AB363" s="45">
        <f>IFERROR(IF($A363="","",$V363*'Assumptions'!$B$5),"")</f>
        <v/>
      </c>
      <c r="AC363" s="45">
        <f>IFERROR(IF($A363="","",$I363*'Assumptions'!$B$6),"")</f>
        <v/>
      </c>
      <c r="AD363" s="45">
        <f>IFERROR(IF($A363="","",$AB363+$AC363),"")</f>
        <v/>
      </c>
      <c r="AE363" s="45">
        <f>IFERROR(IF($A363="","",($M363+$N363)*'Assumptions'!$B$7),"")</f>
        <v/>
      </c>
      <c r="AF363" s="45">
        <f>IFERROR(IF($A363="","",($Q363/60)*'Assumptions'!$B$8),"")</f>
        <v/>
      </c>
      <c r="AG363" s="45">
        <f>IFERROR(IF($A363="","",$P363+$AE363+$AF363),"")</f>
        <v/>
      </c>
      <c r="AH363" s="45">
        <f>IFERROR(IF($A363="","",$M363+$O363),"")</f>
        <v/>
      </c>
      <c r="AI363" s="46">
        <f>IFERROR(IF($A363="","",IFERROR($AH363/$W363,0)),"")</f>
        <v/>
      </c>
      <c r="AJ363" s="45">
        <f>IFERROR(IF($A363="","",$W363-$AH363-$AD363+$AG363),"")</f>
        <v/>
      </c>
      <c r="AK363" s="47">
        <f>IFERROR(IF($A363="","",IF(OR($S363="Collected",$S363="Waived",$S363="Uncollectible",$S363="No Charge Due"),"",IF($T363="",$B363+'Assumptions'!$B$9,$T363+'Assumptions'!$B$9))),"")</f>
        <v/>
      </c>
      <c r="AL363" s="48">
        <f>IFERROR(IF($A363="","",IF(OR($S363="Collected",$S363="Waived",$S363="Uncollectible",$S363="No Charge Due"),"Closed",IF($AK363&lt;TODAY(),"Overdue",IF($AK363=TODAY(),"Due","Open")))),"")</f>
        <v/>
      </c>
      <c r="AM363" s="49">
        <f>IFERROR(IF($A363="","",IF(COUNTIF($A$5:$A$504,$A363)&gt;1,"Duplicate reservation ID",IF($C363&lt;=$B363,"Check stay dates",IF($G363&gt;$F363,"Resold nights exceed booked nights",IF($M363+$N363&gt;$AA363+0.01,"Collection exceeds expected amount",IF(AND($S363="Collected",$M363=0),"Collected status has no amount",IF($AJ363&gt;='Assumptions'!$B$10,"High-cost review","OK"))))))),"")</f>
        <v/>
      </c>
    </row>
    <row r="364">
      <c r="A364" s="38" t="n"/>
      <c r="B364" s="39" t="n"/>
      <c r="C364" s="39" t="n"/>
      <c r="D364" s="38" t="n"/>
      <c r="E364" s="38" t="n"/>
      <c r="F364" s="40" t="n"/>
      <c r="G364" s="40" t="n"/>
      <c r="H364" s="41" t="n"/>
      <c r="I364" s="41" t="n"/>
      <c r="J364" s="42" t="n"/>
      <c r="K364" s="42" t="n"/>
      <c r="L364" s="42" t="n"/>
      <c r="M364" s="41" t="n"/>
      <c r="N364" s="41" t="n"/>
      <c r="O364" s="41" t="n"/>
      <c r="P364" s="41" t="n"/>
      <c r="Q364" s="40" t="n"/>
      <c r="R364" s="38" t="n"/>
      <c r="S364" s="38" t="n"/>
      <c r="T364" s="39" t="n"/>
      <c r="U364" s="43" t="n"/>
      <c r="V364" s="44">
        <f>IFERROR(IF($A364="","",MAX($F364-$G364,0)),"")</f>
        <v/>
      </c>
      <c r="W364" s="45">
        <f>IFERROR(IF($A364="","",$H364+$I364),"")</f>
        <v/>
      </c>
      <c r="X364" s="45">
        <f>IFERROR(IF($A364="","",$H364*IF($J364="",'Assumptions'!$B$4,$J364)),"")</f>
        <v/>
      </c>
      <c r="Y364" s="45">
        <f>IFERROR(IF($A364="","",$X364*IF($K364="",'Assumptions'!$B$12,$K364)),"")</f>
        <v/>
      </c>
      <c r="Z364" s="45">
        <f>IFERROR(IF($A364="","",($X364+$Y364)*IF($L364="",'Assumptions'!$B$13,$L364)),"")</f>
        <v/>
      </c>
      <c r="AA364" s="45">
        <f>IFERROR(IF($A364="","",$X364+$Y364+$Z364),"")</f>
        <v/>
      </c>
      <c r="AB364" s="45">
        <f>IFERROR(IF($A364="","",$V364*'Assumptions'!$B$5),"")</f>
        <v/>
      </c>
      <c r="AC364" s="45">
        <f>IFERROR(IF($A364="","",$I364*'Assumptions'!$B$6),"")</f>
        <v/>
      </c>
      <c r="AD364" s="45">
        <f>IFERROR(IF($A364="","",$AB364+$AC364),"")</f>
        <v/>
      </c>
      <c r="AE364" s="45">
        <f>IFERROR(IF($A364="","",($M364+$N364)*'Assumptions'!$B$7),"")</f>
        <v/>
      </c>
      <c r="AF364" s="45">
        <f>IFERROR(IF($A364="","",($Q364/60)*'Assumptions'!$B$8),"")</f>
        <v/>
      </c>
      <c r="AG364" s="45">
        <f>IFERROR(IF($A364="","",$P364+$AE364+$AF364),"")</f>
        <v/>
      </c>
      <c r="AH364" s="45">
        <f>IFERROR(IF($A364="","",$M364+$O364),"")</f>
        <v/>
      </c>
      <c r="AI364" s="46">
        <f>IFERROR(IF($A364="","",IFERROR($AH364/$W364,0)),"")</f>
        <v/>
      </c>
      <c r="AJ364" s="45">
        <f>IFERROR(IF($A364="","",$W364-$AH364-$AD364+$AG364),"")</f>
        <v/>
      </c>
      <c r="AK364" s="47">
        <f>IFERROR(IF($A364="","",IF(OR($S364="Collected",$S364="Waived",$S364="Uncollectible",$S364="No Charge Due"),"",IF($T364="",$B364+'Assumptions'!$B$9,$T364+'Assumptions'!$B$9))),"")</f>
        <v/>
      </c>
      <c r="AL364" s="48">
        <f>IFERROR(IF($A364="","",IF(OR($S364="Collected",$S364="Waived",$S364="Uncollectible",$S364="No Charge Due"),"Closed",IF($AK364&lt;TODAY(),"Overdue",IF($AK364=TODAY(),"Due","Open")))),"")</f>
        <v/>
      </c>
      <c r="AM364" s="49">
        <f>IFERROR(IF($A364="","",IF(COUNTIF($A$5:$A$504,$A364)&gt;1,"Duplicate reservation ID",IF($C364&lt;=$B364,"Check stay dates",IF($G364&gt;$F364,"Resold nights exceed booked nights",IF($M364+$N364&gt;$AA364+0.01,"Collection exceeds expected amount",IF(AND($S364="Collected",$M364=0),"Collected status has no amount",IF($AJ364&gt;='Assumptions'!$B$10,"High-cost review","OK"))))))),"")</f>
        <v/>
      </c>
    </row>
    <row r="365">
      <c r="A365" s="38" t="n"/>
      <c r="B365" s="39" t="n"/>
      <c r="C365" s="39" t="n"/>
      <c r="D365" s="38" t="n"/>
      <c r="E365" s="38" t="n"/>
      <c r="F365" s="40" t="n"/>
      <c r="G365" s="40" t="n"/>
      <c r="H365" s="41" t="n"/>
      <c r="I365" s="41" t="n"/>
      <c r="J365" s="42" t="n"/>
      <c r="K365" s="42" t="n"/>
      <c r="L365" s="42" t="n"/>
      <c r="M365" s="41" t="n"/>
      <c r="N365" s="41" t="n"/>
      <c r="O365" s="41" t="n"/>
      <c r="P365" s="41" t="n"/>
      <c r="Q365" s="40" t="n"/>
      <c r="R365" s="38" t="n"/>
      <c r="S365" s="38" t="n"/>
      <c r="T365" s="39" t="n"/>
      <c r="U365" s="43" t="n"/>
      <c r="V365" s="44">
        <f>IFERROR(IF($A365="","",MAX($F365-$G365,0)),"")</f>
        <v/>
      </c>
      <c r="W365" s="45">
        <f>IFERROR(IF($A365="","",$H365+$I365),"")</f>
        <v/>
      </c>
      <c r="X365" s="45">
        <f>IFERROR(IF($A365="","",$H365*IF($J365="",'Assumptions'!$B$4,$J365)),"")</f>
        <v/>
      </c>
      <c r="Y365" s="45">
        <f>IFERROR(IF($A365="","",$X365*IF($K365="",'Assumptions'!$B$12,$K365)),"")</f>
        <v/>
      </c>
      <c r="Z365" s="45">
        <f>IFERROR(IF($A365="","",($X365+$Y365)*IF($L365="",'Assumptions'!$B$13,$L365)),"")</f>
        <v/>
      </c>
      <c r="AA365" s="45">
        <f>IFERROR(IF($A365="","",$X365+$Y365+$Z365),"")</f>
        <v/>
      </c>
      <c r="AB365" s="45">
        <f>IFERROR(IF($A365="","",$V365*'Assumptions'!$B$5),"")</f>
        <v/>
      </c>
      <c r="AC365" s="45">
        <f>IFERROR(IF($A365="","",$I365*'Assumptions'!$B$6),"")</f>
        <v/>
      </c>
      <c r="AD365" s="45">
        <f>IFERROR(IF($A365="","",$AB365+$AC365),"")</f>
        <v/>
      </c>
      <c r="AE365" s="45">
        <f>IFERROR(IF($A365="","",($M365+$N365)*'Assumptions'!$B$7),"")</f>
        <v/>
      </c>
      <c r="AF365" s="45">
        <f>IFERROR(IF($A365="","",($Q365/60)*'Assumptions'!$B$8),"")</f>
        <v/>
      </c>
      <c r="AG365" s="45">
        <f>IFERROR(IF($A365="","",$P365+$AE365+$AF365),"")</f>
        <v/>
      </c>
      <c r="AH365" s="45">
        <f>IFERROR(IF($A365="","",$M365+$O365),"")</f>
        <v/>
      </c>
      <c r="AI365" s="46">
        <f>IFERROR(IF($A365="","",IFERROR($AH365/$W365,0)),"")</f>
        <v/>
      </c>
      <c r="AJ365" s="45">
        <f>IFERROR(IF($A365="","",$W365-$AH365-$AD365+$AG365),"")</f>
        <v/>
      </c>
      <c r="AK365" s="47">
        <f>IFERROR(IF($A365="","",IF(OR($S365="Collected",$S365="Waived",$S365="Uncollectible",$S365="No Charge Due"),"",IF($T365="",$B365+'Assumptions'!$B$9,$T365+'Assumptions'!$B$9))),"")</f>
        <v/>
      </c>
      <c r="AL365" s="48">
        <f>IFERROR(IF($A365="","",IF(OR($S365="Collected",$S365="Waived",$S365="Uncollectible",$S365="No Charge Due"),"Closed",IF($AK365&lt;TODAY(),"Overdue",IF($AK365=TODAY(),"Due","Open")))),"")</f>
        <v/>
      </c>
      <c r="AM365" s="49">
        <f>IFERROR(IF($A365="","",IF(COUNTIF($A$5:$A$504,$A365)&gt;1,"Duplicate reservation ID",IF($C365&lt;=$B365,"Check stay dates",IF($G365&gt;$F365,"Resold nights exceed booked nights",IF($M365+$N365&gt;$AA365+0.01,"Collection exceeds expected amount",IF(AND($S365="Collected",$M365=0),"Collected status has no amount",IF($AJ365&gt;='Assumptions'!$B$10,"High-cost review","OK"))))))),"")</f>
        <v/>
      </c>
    </row>
    <row r="366">
      <c r="A366" s="38" t="n"/>
      <c r="B366" s="39" t="n"/>
      <c r="C366" s="39" t="n"/>
      <c r="D366" s="38" t="n"/>
      <c r="E366" s="38" t="n"/>
      <c r="F366" s="40" t="n"/>
      <c r="G366" s="40" t="n"/>
      <c r="H366" s="41" t="n"/>
      <c r="I366" s="41" t="n"/>
      <c r="J366" s="42" t="n"/>
      <c r="K366" s="42" t="n"/>
      <c r="L366" s="42" t="n"/>
      <c r="M366" s="41" t="n"/>
      <c r="N366" s="41" t="n"/>
      <c r="O366" s="41" t="n"/>
      <c r="P366" s="41" t="n"/>
      <c r="Q366" s="40" t="n"/>
      <c r="R366" s="38" t="n"/>
      <c r="S366" s="38" t="n"/>
      <c r="T366" s="39" t="n"/>
      <c r="U366" s="43" t="n"/>
      <c r="V366" s="44">
        <f>IFERROR(IF($A366="","",MAX($F366-$G366,0)),"")</f>
        <v/>
      </c>
      <c r="W366" s="45">
        <f>IFERROR(IF($A366="","",$H366+$I366),"")</f>
        <v/>
      </c>
      <c r="X366" s="45">
        <f>IFERROR(IF($A366="","",$H366*IF($J366="",'Assumptions'!$B$4,$J366)),"")</f>
        <v/>
      </c>
      <c r="Y366" s="45">
        <f>IFERROR(IF($A366="","",$X366*IF($K366="",'Assumptions'!$B$12,$K366)),"")</f>
        <v/>
      </c>
      <c r="Z366" s="45">
        <f>IFERROR(IF($A366="","",($X366+$Y366)*IF($L366="",'Assumptions'!$B$13,$L366)),"")</f>
        <v/>
      </c>
      <c r="AA366" s="45">
        <f>IFERROR(IF($A366="","",$X366+$Y366+$Z366),"")</f>
        <v/>
      </c>
      <c r="AB366" s="45">
        <f>IFERROR(IF($A366="","",$V366*'Assumptions'!$B$5),"")</f>
        <v/>
      </c>
      <c r="AC366" s="45">
        <f>IFERROR(IF($A366="","",$I366*'Assumptions'!$B$6),"")</f>
        <v/>
      </c>
      <c r="AD366" s="45">
        <f>IFERROR(IF($A366="","",$AB366+$AC366),"")</f>
        <v/>
      </c>
      <c r="AE366" s="45">
        <f>IFERROR(IF($A366="","",($M366+$N366)*'Assumptions'!$B$7),"")</f>
        <v/>
      </c>
      <c r="AF366" s="45">
        <f>IFERROR(IF($A366="","",($Q366/60)*'Assumptions'!$B$8),"")</f>
        <v/>
      </c>
      <c r="AG366" s="45">
        <f>IFERROR(IF($A366="","",$P366+$AE366+$AF366),"")</f>
        <v/>
      </c>
      <c r="AH366" s="45">
        <f>IFERROR(IF($A366="","",$M366+$O366),"")</f>
        <v/>
      </c>
      <c r="AI366" s="46">
        <f>IFERROR(IF($A366="","",IFERROR($AH366/$W366,0)),"")</f>
        <v/>
      </c>
      <c r="AJ366" s="45">
        <f>IFERROR(IF($A366="","",$W366-$AH366-$AD366+$AG366),"")</f>
        <v/>
      </c>
      <c r="AK366" s="47">
        <f>IFERROR(IF($A366="","",IF(OR($S366="Collected",$S366="Waived",$S366="Uncollectible",$S366="No Charge Due"),"",IF($T366="",$B366+'Assumptions'!$B$9,$T366+'Assumptions'!$B$9))),"")</f>
        <v/>
      </c>
      <c r="AL366" s="48">
        <f>IFERROR(IF($A366="","",IF(OR($S366="Collected",$S366="Waived",$S366="Uncollectible",$S366="No Charge Due"),"Closed",IF($AK366&lt;TODAY(),"Overdue",IF($AK366=TODAY(),"Due","Open")))),"")</f>
        <v/>
      </c>
      <c r="AM366" s="49">
        <f>IFERROR(IF($A366="","",IF(COUNTIF($A$5:$A$504,$A366)&gt;1,"Duplicate reservation ID",IF($C366&lt;=$B366,"Check stay dates",IF($G366&gt;$F366,"Resold nights exceed booked nights",IF($M366+$N366&gt;$AA366+0.01,"Collection exceeds expected amount",IF(AND($S366="Collected",$M366=0),"Collected status has no amount",IF($AJ366&gt;='Assumptions'!$B$10,"High-cost review","OK"))))))),"")</f>
        <v/>
      </c>
    </row>
    <row r="367">
      <c r="A367" s="38" t="n"/>
      <c r="B367" s="39" t="n"/>
      <c r="C367" s="39" t="n"/>
      <c r="D367" s="38" t="n"/>
      <c r="E367" s="38" t="n"/>
      <c r="F367" s="40" t="n"/>
      <c r="G367" s="40" t="n"/>
      <c r="H367" s="41" t="n"/>
      <c r="I367" s="41" t="n"/>
      <c r="J367" s="42" t="n"/>
      <c r="K367" s="42" t="n"/>
      <c r="L367" s="42" t="n"/>
      <c r="M367" s="41" t="n"/>
      <c r="N367" s="41" t="n"/>
      <c r="O367" s="41" t="n"/>
      <c r="P367" s="41" t="n"/>
      <c r="Q367" s="40" t="n"/>
      <c r="R367" s="38" t="n"/>
      <c r="S367" s="38" t="n"/>
      <c r="T367" s="39" t="n"/>
      <c r="U367" s="43" t="n"/>
      <c r="V367" s="44">
        <f>IFERROR(IF($A367="","",MAX($F367-$G367,0)),"")</f>
        <v/>
      </c>
      <c r="W367" s="45">
        <f>IFERROR(IF($A367="","",$H367+$I367),"")</f>
        <v/>
      </c>
      <c r="X367" s="45">
        <f>IFERROR(IF($A367="","",$H367*IF($J367="",'Assumptions'!$B$4,$J367)),"")</f>
        <v/>
      </c>
      <c r="Y367" s="45">
        <f>IFERROR(IF($A367="","",$X367*IF($K367="",'Assumptions'!$B$12,$K367)),"")</f>
        <v/>
      </c>
      <c r="Z367" s="45">
        <f>IFERROR(IF($A367="","",($X367+$Y367)*IF($L367="",'Assumptions'!$B$13,$L367)),"")</f>
        <v/>
      </c>
      <c r="AA367" s="45">
        <f>IFERROR(IF($A367="","",$X367+$Y367+$Z367),"")</f>
        <v/>
      </c>
      <c r="AB367" s="45">
        <f>IFERROR(IF($A367="","",$V367*'Assumptions'!$B$5),"")</f>
        <v/>
      </c>
      <c r="AC367" s="45">
        <f>IFERROR(IF($A367="","",$I367*'Assumptions'!$B$6),"")</f>
        <v/>
      </c>
      <c r="AD367" s="45">
        <f>IFERROR(IF($A367="","",$AB367+$AC367),"")</f>
        <v/>
      </c>
      <c r="AE367" s="45">
        <f>IFERROR(IF($A367="","",($M367+$N367)*'Assumptions'!$B$7),"")</f>
        <v/>
      </c>
      <c r="AF367" s="45">
        <f>IFERROR(IF($A367="","",($Q367/60)*'Assumptions'!$B$8),"")</f>
        <v/>
      </c>
      <c r="AG367" s="45">
        <f>IFERROR(IF($A367="","",$P367+$AE367+$AF367),"")</f>
        <v/>
      </c>
      <c r="AH367" s="45">
        <f>IFERROR(IF($A367="","",$M367+$O367),"")</f>
        <v/>
      </c>
      <c r="AI367" s="46">
        <f>IFERROR(IF($A367="","",IFERROR($AH367/$W367,0)),"")</f>
        <v/>
      </c>
      <c r="AJ367" s="45">
        <f>IFERROR(IF($A367="","",$W367-$AH367-$AD367+$AG367),"")</f>
        <v/>
      </c>
      <c r="AK367" s="47">
        <f>IFERROR(IF($A367="","",IF(OR($S367="Collected",$S367="Waived",$S367="Uncollectible",$S367="No Charge Due"),"",IF($T367="",$B367+'Assumptions'!$B$9,$T367+'Assumptions'!$B$9))),"")</f>
        <v/>
      </c>
      <c r="AL367" s="48">
        <f>IFERROR(IF($A367="","",IF(OR($S367="Collected",$S367="Waived",$S367="Uncollectible",$S367="No Charge Due"),"Closed",IF($AK367&lt;TODAY(),"Overdue",IF($AK367=TODAY(),"Due","Open")))),"")</f>
        <v/>
      </c>
      <c r="AM367" s="49">
        <f>IFERROR(IF($A367="","",IF(COUNTIF($A$5:$A$504,$A367)&gt;1,"Duplicate reservation ID",IF($C367&lt;=$B367,"Check stay dates",IF($G367&gt;$F367,"Resold nights exceed booked nights",IF($M367+$N367&gt;$AA367+0.01,"Collection exceeds expected amount",IF(AND($S367="Collected",$M367=0),"Collected status has no amount",IF($AJ367&gt;='Assumptions'!$B$10,"High-cost review","OK"))))))),"")</f>
        <v/>
      </c>
    </row>
    <row r="368">
      <c r="A368" s="38" t="n"/>
      <c r="B368" s="39" t="n"/>
      <c r="C368" s="39" t="n"/>
      <c r="D368" s="38" t="n"/>
      <c r="E368" s="38" t="n"/>
      <c r="F368" s="40" t="n"/>
      <c r="G368" s="40" t="n"/>
      <c r="H368" s="41" t="n"/>
      <c r="I368" s="41" t="n"/>
      <c r="J368" s="42" t="n"/>
      <c r="K368" s="42" t="n"/>
      <c r="L368" s="42" t="n"/>
      <c r="M368" s="41" t="n"/>
      <c r="N368" s="41" t="n"/>
      <c r="O368" s="41" t="n"/>
      <c r="P368" s="41" t="n"/>
      <c r="Q368" s="40" t="n"/>
      <c r="R368" s="38" t="n"/>
      <c r="S368" s="38" t="n"/>
      <c r="T368" s="39" t="n"/>
      <c r="U368" s="43" t="n"/>
      <c r="V368" s="44">
        <f>IFERROR(IF($A368="","",MAX($F368-$G368,0)),"")</f>
        <v/>
      </c>
      <c r="W368" s="45">
        <f>IFERROR(IF($A368="","",$H368+$I368),"")</f>
        <v/>
      </c>
      <c r="X368" s="45">
        <f>IFERROR(IF($A368="","",$H368*IF($J368="",'Assumptions'!$B$4,$J368)),"")</f>
        <v/>
      </c>
      <c r="Y368" s="45">
        <f>IFERROR(IF($A368="","",$X368*IF($K368="",'Assumptions'!$B$12,$K368)),"")</f>
        <v/>
      </c>
      <c r="Z368" s="45">
        <f>IFERROR(IF($A368="","",($X368+$Y368)*IF($L368="",'Assumptions'!$B$13,$L368)),"")</f>
        <v/>
      </c>
      <c r="AA368" s="45">
        <f>IFERROR(IF($A368="","",$X368+$Y368+$Z368),"")</f>
        <v/>
      </c>
      <c r="AB368" s="45">
        <f>IFERROR(IF($A368="","",$V368*'Assumptions'!$B$5),"")</f>
        <v/>
      </c>
      <c r="AC368" s="45">
        <f>IFERROR(IF($A368="","",$I368*'Assumptions'!$B$6),"")</f>
        <v/>
      </c>
      <c r="AD368" s="45">
        <f>IFERROR(IF($A368="","",$AB368+$AC368),"")</f>
        <v/>
      </c>
      <c r="AE368" s="45">
        <f>IFERROR(IF($A368="","",($M368+$N368)*'Assumptions'!$B$7),"")</f>
        <v/>
      </c>
      <c r="AF368" s="45">
        <f>IFERROR(IF($A368="","",($Q368/60)*'Assumptions'!$B$8),"")</f>
        <v/>
      </c>
      <c r="AG368" s="45">
        <f>IFERROR(IF($A368="","",$P368+$AE368+$AF368),"")</f>
        <v/>
      </c>
      <c r="AH368" s="45">
        <f>IFERROR(IF($A368="","",$M368+$O368),"")</f>
        <v/>
      </c>
      <c r="AI368" s="46">
        <f>IFERROR(IF($A368="","",IFERROR($AH368/$W368,0)),"")</f>
        <v/>
      </c>
      <c r="AJ368" s="45">
        <f>IFERROR(IF($A368="","",$W368-$AH368-$AD368+$AG368),"")</f>
        <v/>
      </c>
      <c r="AK368" s="47">
        <f>IFERROR(IF($A368="","",IF(OR($S368="Collected",$S368="Waived",$S368="Uncollectible",$S368="No Charge Due"),"",IF($T368="",$B368+'Assumptions'!$B$9,$T368+'Assumptions'!$B$9))),"")</f>
        <v/>
      </c>
      <c r="AL368" s="48">
        <f>IFERROR(IF($A368="","",IF(OR($S368="Collected",$S368="Waived",$S368="Uncollectible",$S368="No Charge Due"),"Closed",IF($AK368&lt;TODAY(),"Overdue",IF($AK368=TODAY(),"Due","Open")))),"")</f>
        <v/>
      </c>
      <c r="AM368" s="49">
        <f>IFERROR(IF($A368="","",IF(COUNTIF($A$5:$A$504,$A368)&gt;1,"Duplicate reservation ID",IF($C368&lt;=$B368,"Check stay dates",IF($G368&gt;$F368,"Resold nights exceed booked nights",IF($M368+$N368&gt;$AA368+0.01,"Collection exceeds expected amount",IF(AND($S368="Collected",$M368=0),"Collected status has no amount",IF($AJ368&gt;='Assumptions'!$B$10,"High-cost review","OK"))))))),"")</f>
        <v/>
      </c>
    </row>
    <row r="369">
      <c r="A369" s="38" t="n"/>
      <c r="B369" s="39" t="n"/>
      <c r="C369" s="39" t="n"/>
      <c r="D369" s="38" t="n"/>
      <c r="E369" s="38" t="n"/>
      <c r="F369" s="40" t="n"/>
      <c r="G369" s="40" t="n"/>
      <c r="H369" s="41" t="n"/>
      <c r="I369" s="41" t="n"/>
      <c r="J369" s="42" t="n"/>
      <c r="K369" s="42" t="n"/>
      <c r="L369" s="42" t="n"/>
      <c r="M369" s="41" t="n"/>
      <c r="N369" s="41" t="n"/>
      <c r="O369" s="41" t="n"/>
      <c r="P369" s="41" t="n"/>
      <c r="Q369" s="40" t="n"/>
      <c r="R369" s="38" t="n"/>
      <c r="S369" s="38" t="n"/>
      <c r="T369" s="39" t="n"/>
      <c r="U369" s="43" t="n"/>
      <c r="V369" s="44">
        <f>IFERROR(IF($A369="","",MAX($F369-$G369,0)),"")</f>
        <v/>
      </c>
      <c r="W369" s="45">
        <f>IFERROR(IF($A369="","",$H369+$I369),"")</f>
        <v/>
      </c>
      <c r="X369" s="45">
        <f>IFERROR(IF($A369="","",$H369*IF($J369="",'Assumptions'!$B$4,$J369)),"")</f>
        <v/>
      </c>
      <c r="Y369" s="45">
        <f>IFERROR(IF($A369="","",$X369*IF($K369="",'Assumptions'!$B$12,$K369)),"")</f>
        <v/>
      </c>
      <c r="Z369" s="45">
        <f>IFERROR(IF($A369="","",($X369+$Y369)*IF($L369="",'Assumptions'!$B$13,$L369)),"")</f>
        <v/>
      </c>
      <c r="AA369" s="45">
        <f>IFERROR(IF($A369="","",$X369+$Y369+$Z369),"")</f>
        <v/>
      </c>
      <c r="AB369" s="45">
        <f>IFERROR(IF($A369="","",$V369*'Assumptions'!$B$5),"")</f>
        <v/>
      </c>
      <c r="AC369" s="45">
        <f>IFERROR(IF($A369="","",$I369*'Assumptions'!$B$6),"")</f>
        <v/>
      </c>
      <c r="AD369" s="45">
        <f>IFERROR(IF($A369="","",$AB369+$AC369),"")</f>
        <v/>
      </c>
      <c r="AE369" s="45">
        <f>IFERROR(IF($A369="","",($M369+$N369)*'Assumptions'!$B$7),"")</f>
        <v/>
      </c>
      <c r="AF369" s="45">
        <f>IFERROR(IF($A369="","",($Q369/60)*'Assumptions'!$B$8),"")</f>
        <v/>
      </c>
      <c r="AG369" s="45">
        <f>IFERROR(IF($A369="","",$P369+$AE369+$AF369),"")</f>
        <v/>
      </c>
      <c r="AH369" s="45">
        <f>IFERROR(IF($A369="","",$M369+$O369),"")</f>
        <v/>
      </c>
      <c r="AI369" s="46">
        <f>IFERROR(IF($A369="","",IFERROR($AH369/$W369,0)),"")</f>
        <v/>
      </c>
      <c r="AJ369" s="45">
        <f>IFERROR(IF($A369="","",$W369-$AH369-$AD369+$AG369),"")</f>
        <v/>
      </c>
      <c r="AK369" s="47">
        <f>IFERROR(IF($A369="","",IF(OR($S369="Collected",$S369="Waived",$S369="Uncollectible",$S369="No Charge Due"),"",IF($T369="",$B369+'Assumptions'!$B$9,$T369+'Assumptions'!$B$9))),"")</f>
        <v/>
      </c>
      <c r="AL369" s="48">
        <f>IFERROR(IF($A369="","",IF(OR($S369="Collected",$S369="Waived",$S369="Uncollectible",$S369="No Charge Due"),"Closed",IF($AK369&lt;TODAY(),"Overdue",IF($AK369=TODAY(),"Due","Open")))),"")</f>
        <v/>
      </c>
      <c r="AM369" s="49">
        <f>IFERROR(IF($A369="","",IF(COUNTIF($A$5:$A$504,$A369)&gt;1,"Duplicate reservation ID",IF($C369&lt;=$B369,"Check stay dates",IF($G369&gt;$F369,"Resold nights exceed booked nights",IF($M369+$N369&gt;$AA369+0.01,"Collection exceeds expected amount",IF(AND($S369="Collected",$M369=0),"Collected status has no amount",IF($AJ369&gt;='Assumptions'!$B$10,"High-cost review","OK"))))))),"")</f>
        <v/>
      </c>
    </row>
    <row r="370">
      <c r="A370" s="38" t="n"/>
      <c r="B370" s="39" t="n"/>
      <c r="C370" s="39" t="n"/>
      <c r="D370" s="38" t="n"/>
      <c r="E370" s="38" t="n"/>
      <c r="F370" s="40" t="n"/>
      <c r="G370" s="40" t="n"/>
      <c r="H370" s="41" t="n"/>
      <c r="I370" s="41" t="n"/>
      <c r="J370" s="42" t="n"/>
      <c r="K370" s="42" t="n"/>
      <c r="L370" s="42" t="n"/>
      <c r="M370" s="41" t="n"/>
      <c r="N370" s="41" t="n"/>
      <c r="O370" s="41" t="n"/>
      <c r="P370" s="41" t="n"/>
      <c r="Q370" s="40" t="n"/>
      <c r="R370" s="38" t="n"/>
      <c r="S370" s="38" t="n"/>
      <c r="T370" s="39" t="n"/>
      <c r="U370" s="43" t="n"/>
      <c r="V370" s="44">
        <f>IFERROR(IF($A370="","",MAX($F370-$G370,0)),"")</f>
        <v/>
      </c>
      <c r="W370" s="45">
        <f>IFERROR(IF($A370="","",$H370+$I370),"")</f>
        <v/>
      </c>
      <c r="X370" s="45">
        <f>IFERROR(IF($A370="","",$H370*IF($J370="",'Assumptions'!$B$4,$J370)),"")</f>
        <v/>
      </c>
      <c r="Y370" s="45">
        <f>IFERROR(IF($A370="","",$X370*IF($K370="",'Assumptions'!$B$12,$K370)),"")</f>
        <v/>
      </c>
      <c r="Z370" s="45">
        <f>IFERROR(IF($A370="","",($X370+$Y370)*IF($L370="",'Assumptions'!$B$13,$L370)),"")</f>
        <v/>
      </c>
      <c r="AA370" s="45">
        <f>IFERROR(IF($A370="","",$X370+$Y370+$Z370),"")</f>
        <v/>
      </c>
      <c r="AB370" s="45">
        <f>IFERROR(IF($A370="","",$V370*'Assumptions'!$B$5),"")</f>
        <v/>
      </c>
      <c r="AC370" s="45">
        <f>IFERROR(IF($A370="","",$I370*'Assumptions'!$B$6),"")</f>
        <v/>
      </c>
      <c r="AD370" s="45">
        <f>IFERROR(IF($A370="","",$AB370+$AC370),"")</f>
        <v/>
      </c>
      <c r="AE370" s="45">
        <f>IFERROR(IF($A370="","",($M370+$N370)*'Assumptions'!$B$7),"")</f>
        <v/>
      </c>
      <c r="AF370" s="45">
        <f>IFERROR(IF($A370="","",($Q370/60)*'Assumptions'!$B$8),"")</f>
        <v/>
      </c>
      <c r="AG370" s="45">
        <f>IFERROR(IF($A370="","",$P370+$AE370+$AF370),"")</f>
        <v/>
      </c>
      <c r="AH370" s="45">
        <f>IFERROR(IF($A370="","",$M370+$O370),"")</f>
        <v/>
      </c>
      <c r="AI370" s="46">
        <f>IFERROR(IF($A370="","",IFERROR($AH370/$W370,0)),"")</f>
        <v/>
      </c>
      <c r="AJ370" s="45">
        <f>IFERROR(IF($A370="","",$W370-$AH370-$AD370+$AG370),"")</f>
        <v/>
      </c>
      <c r="AK370" s="47">
        <f>IFERROR(IF($A370="","",IF(OR($S370="Collected",$S370="Waived",$S370="Uncollectible",$S370="No Charge Due"),"",IF($T370="",$B370+'Assumptions'!$B$9,$T370+'Assumptions'!$B$9))),"")</f>
        <v/>
      </c>
      <c r="AL370" s="48">
        <f>IFERROR(IF($A370="","",IF(OR($S370="Collected",$S370="Waived",$S370="Uncollectible",$S370="No Charge Due"),"Closed",IF($AK370&lt;TODAY(),"Overdue",IF($AK370=TODAY(),"Due","Open")))),"")</f>
        <v/>
      </c>
      <c r="AM370" s="49">
        <f>IFERROR(IF($A370="","",IF(COUNTIF($A$5:$A$504,$A370)&gt;1,"Duplicate reservation ID",IF($C370&lt;=$B370,"Check stay dates",IF($G370&gt;$F370,"Resold nights exceed booked nights",IF($M370+$N370&gt;$AA370+0.01,"Collection exceeds expected amount",IF(AND($S370="Collected",$M370=0),"Collected status has no amount",IF($AJ370&gt;='Assumptions'!$B$10,"High-cost review","OK"))))))),"")</f>
        <v/>
      </c>
    </row>
    <row r="371">
      <c r="A371" s="38" t="n"/>
      <c r="B371" s="39" t="n"/>
      <c r="C371" s="39" t="n"/>
      <c r="D371" s="38" t="n"/>
      <c r="E371" s="38" t="n"/>
      <c r="F371" s="40" t="n"/>
      <c r="G371" s="40" t="n"/>
      <c r="H371" s="41" t="n"/>
      <c r="I371" s="41" t="n"/>
      <c r="J371" s="42" t="n"/>
      <c r="K371" s="42" t="n"/>
      <c r="L371" s="42" t="n"/>
      <c r="M371" s="41" t="n"/>
      <c r="N371" s="41" t="n"/>
      <c r="O371" s="41" t="n"/>
      <c r="P371" s="41" t="n"/>
      <c r="Q371" s="40" t="n"/>
      <c r="R371" s="38" t="n"/>
      <c r="S371" s="38" t="n"/>
      <c r="T371" s="39" t="n"/>
      <c r="U371" s="43" t="n"/>
      <c r="V371" s="44">
        <f>IFERROR(IF($A371="","",MAX($F371-$G371,0)),"")</f>
        <v/>
      </c>
      <c r="W371" s="45">
        <f>IFERROR(IF($A371="","",$H371+$I371),"")</f>
        <v/>
      </c>
      <c r="X371" s="45">
        <f>IFERROR(IF($A371="","",$H371*IF($J371="",'Assumptions'!$B$4,$J371)),"")</f>
        <v/>
      </c>
      <c r="Y371" s="45">
        <f>IFERROR(IF($A371="","",$X371*IF($K371="",'Assumptions'!$B$12,$K371)),"")</f>
        <v/>
      </c>
      <c r="Z371" s="45">
        <f>IFERROR(IF($A371="","",($X371+$Y371)*IF($L371="",'Assumptions'!$B$13,$L371)),"")</f>
        <v/>
      </c>
      <c r="AA371" s="45">
        <f>IFERROR(IF($A371="","",$X371+$Y371+$Z371),"")</f>
        <v/>
      </c>
      <c r="AB371" s="45">
        <f>IFERROR(IF($A371="","",$V371*'Assumptions'!$B$5),"")</f>
        <v/>
      </c>
      <c r="AC371" s="45">
        <f>IFERROR(IF($A371="","",$I371*'Assumptions'!$B$6),"")</f>
        <v/>
      </c>
      <c r="AD371" s="45">
        <f>IFERROR(IF($A371="","",$AB371+$AC371),"")</f>
        <v/>
      </c>
      <c r="AE371" s="45">
        <f>IFERROR(IF($A371="","",($M371+$N371)*'Assumptions'!$B$7),"")</f>
        <v/>
      </c>
      <c r="AF371" s="45">
        <f>IFERROR(IF($A371="","",($Q371/60)*'Assumptions'!$B$8),"")</f>
        <v/>
      </c>
      <c r="AG371" s="45">
        <f>IFERROR(IF($A371="","",$P371+$AE371+$AF371),"")</f>
        <v/>
      </c>
      <c r="AH371" s="45">
        <f>IFERROR(IF($A371="","",$M371+$O371),"")</f>
        <v/>
      </c>
      <c r="AI371" s="46">
        <f>IFERROR(IF($A371="","",IFERROR($AH371/$W371,0)),"")</f>
        <v/>
      </c>
      <c r="AJ371" s="45">
        <f>IFERROR(IF($A371="","",$W371-$AH371-$AD371+$AG371),"")</f>
        <v/>
      </c>
      <c r="AK371" s="47">
        <f>IFERROR(IF($A371="","",IF(OR($S371="Collected",$S371="Waived",$S371="Uncollectible",$S371="No Charge Due"),"",IF($T371="",$B371+'Assumptions'!$B$9,$T371+'Assumptions'!$B$9))),"")</f>
        <v/>
      </c>
      <c r="AL371" s="48">
        <f>IFERROR(IF($A371="","",IF(OR($S371="Collected",$S371="Waived",$S371="Uncollectible",$S371="No Charge Due"),"Closed",IF($AK371&lt;TODAY(),"Overdue",IF($AK371=TODAY(),"Due","Open")))),"")</f>
        <v/>
      </c>
      <c r="AM371" s="49">
        <f>IFERROR(IF($A371="","",IF(COUNTIF($A$5:$A$504,$A371)&gt;1,"Duplicate reservation ID",IF($C371&lt;=$B371,"Check stay dates",IF($G371&gt;$F371,"Resold nights exceed booked nights",IF($M371+$N371&gt;$AA371+0.01,"Collection exceeds expected amount",IF(AND($S371="Collected",$M371=0),"Collected status has no amount",IF($AJ371&gt;='Assumptions'!$B$10,"High-cost review","OK"))))))),"")</f>
        <v/>
      </c>
    </row>
    <row r="372">
      <c r="A372" s="38" t="n"/>
      <c r="B372" s="39" t="n"/>
      <c r="C372" s="39" t="n"/>
      <c r="D372" s="38" t="n"/>
      <c r="E372" s="38" t="n"/>
      <c r="F372" s="40" t="n"/>
      <c r="G372" s="40" t="n"/>
      <c r="H372" s="41" t="n"/>
      <c r="I372" s="41" t="n"/>
      <c r="J372" s="42" t="n"/>
      <c r="K372" s="42" t="n"/>
      <c r="L372" s="42" t="n"/>
      <c r="M372" s="41" t="n"/>
      <c r="N372" s="41" t="n"/>
      <c r="O372" s="41" t="n"/>
      <c r="P372" s="41" t="n"/>
      <c r="Q372" s="40" t="n"/>
      <c r="R372" s="38" t="n"/>
      <c r="S372" s="38" t="n"/>
      <c r="T372" s="39" t="n"/>
      <c r="U372" s="43" t="n"/>
      <c r="V372" s="44">
        <f>IFERROR(IF($A372="","",MAX($F372-$G372,0)),"")</f>
        <v/>
      </c>
      <c r="W372" s="45">
        <f>IFERROR(IF($A372="","",$H372+$I372),"")</f>
        <v/>
      </c>
      <c r="X372" s="45">
        <f>IFERROR(IF($A372="","",$H372*IF($J372="",'Assumptions'!$B$4,$J372)),"")</f>
        <v/>
      </c>
      <c r="Y372" s="45">
        <f>IFERROR(IF($A372="","",$X372*IF($K372="",'Assumptions'!$B$12,$K372)),"")</f>
        <v/>
      </c>
      <c r="Z372" s="45">
        <f>IFERROR(IF($A372="","",($X372+$Y372)*IF($L372="",'Assumptions'!$B$13,$L372)),"")</f>
        <v/>
      </c>
      <c r="AA372" s="45">
        <f>IFERROR(IF($A372="","",$X372+$Y372+$Z372),"")</f>
        <v/>
      </c>
      <c r="AB372" s="45">
        <f>IFERROR(IF($A372="","",$V372*'Assumptions'!$B$5),"")</f>
        <v/>
      </c>
      <c r="AC372" s="45">
        <f>IFERROR(IF($A372="","",$I372*'Assumptions'!$B$6),"")</f>
        <v/>
      </c>
      <c r="AD372" s="45">
        <f>IFERROR(IF($A372="","",$AB372+$AC372),"")</f>
        <v/>
      </c>
      <c r="AE372" s="45">
        <f>IFERROR(IF($A372="","",($M372+$N372)*'Assumptions'!$B$7),"")</f>
        <v/>
      </c>
      <c r="AF372" s="45">
        <f>IFERROR(IF($A372="","",($Q372/60)*'Assumptions'!$B$8),"")</f>
        <v/>
      </c>
      <c r="AG372" s="45">
        <f>IFERROR(IF($A372="","",$P372+$AE372+$AF372),"")</f>
        <v/>
      </c>
      <c r="AH372" s="45">
        <f>IFERROR(IF($A372="","",$M372+$O372),"")</f>
        <v/>
      </c>
      <c r="AI372" s="46">
        <f>IFERROR(IF($A372="","",IFERROR($AH372/$W372,0)),"")</f>
        <v/>
      </c>
      <c r="AJ372" s="45">
        <f>IFERROR(IF($A372="","",$W372-$AH372-$AD372+$AG372),"")</f>
        <v/>
      </c>
      <c r="AK372" s="47">
        <f>IFERROR(IF($A372="","",IF(OR($S372="Collected",$S372="Waived",$S372="Uncollectible",$S372="No Charge Due"),"",IF($T372="",$B372+'Assumptions'!$B$9,$T372+'Assumptions'!$B$9))),"")</f>
        <v/>
      </c>
      <c r="AL372" s="48">
        <f>IFERROR(IF($A372="","",IF(OR($S372="Collected",$S372="Waived",$S372="Uncollectible",$S372="No Charge Due"),"Closed",IF($AK372&lt;TODAY(),"Overdue",IF($AK372=TODAY(),"Due","Open")))),"")</f>
        <v/>
      </c>
      <c r="AM372" s="49">
        <f>IFERROR(IF($A372="","",IF(COUNTIF($A$5:$A$504,$A372)&gt;1,"Duplicate reservation ID",IF($C372&lt;=$B372,"Check stay dates",IF($G372&gt;$F372,"Resold nights exceed booked nights",IF($M372+$N372&gt;$AA372+0.01,"Collection exceeds expected amount",IF(AND($S372="Collected",$M372=0),"Collected status has no amount",IF($AJ372&gt;='Assumptions'!$B$10,"High-cost review","OK"))))))),"")</f>
        <v/>
      </c>
    </row>
    <row r="373">
      <c r="A373" s="38" t="n"/>
      <c r="B373" s="39" t="n"/>
      <c r="C373" s="39" t="n"/>
      <c r="D373" s="38" t="n"/>
      <c r="E373" s="38" t="n"/>
      <c r="F373" s="40" t="n"/>
      <c r="G373" s="40" t="n"/>
      <c r="H373" s="41" t="n"/>
      <c r="I373" s="41" t="n"/>
      <c r="J373" s="42" t="n"/>
      <c r="K373" s="42" t="n"/>
      <c r="L373" s="42" t="n"/>
      <c r="M373" s="41" t="n"/>
      <c r="N373" s="41" t="n"/>
      <c r="O373" s="41" t="n"/>
      <c r="P373" s="41" t="n"/>
      <c r="Q373" s="40" t="n"/>
      <c r="R373" s="38" t="n"/>
      <c r="S373" s="38" t="n"/>
      <c r="T373" s="39" t="n"/>
      <c r="U373" s="43" t="n"/>
      <c r="V373" s="44">
        <f>IFERROR(IF($A373="","",MAX($F373-$G373,0)),"")</f>
        <v/>
      </c>
      <c r="W373" s="45">
        <f>IFERROR(IF($A373="","",$H373+$I373),"")</f>
        <v/>
      </c>
      <c r="X373" s="45">
        <f>IFERROR(IF($A373="","",$H373*IF($J373="",'Assumptions'!$B$4,$J373)),"")</f>
        <v/>
      </c>
      <c r="Y373" s="45">
        <f>IFERROR(IF($A373="","",$X373*IF($K373="",'Assumptions'!$B$12,$K373)),"")</f>
        <v/>
      </c>
      <c r="Z373" s="45">
        <f>IFERROR(IF($A373="","",($X373+$Y373)*IF($L373="",'Assumptions'!$B$13,$L373)),"")</f>
        <v/>
      </c>
      <c r="AA373" s="45">
        <f>IFERROR(IF($A373="","",$X373+$Y373+$Z373),"")</f>
        <v/>
      </c>
      <c r="AB373" s="45">
        <f>IFERROR(IF($A373="","",$V373*'Assumptions'!$B$5),"")</f>
        <v/>
      </c>
      <c r="AC373" s="45">
        <f>IFERROR(IF($A373="","",$I373*'Assumptions'!$B$6),"")</f>
        <v/>
      </c>
      <c r="AD373" s="45">
        <f>IFERROR(IF($A373="","",$AB373+$AC373),"")</f>
        <v/>
      </c>
      <c r="AE373" s="45">
        <f>IFERROR(IF($A373="","",($M373+$N373)*'Assumptions'!$B$7),"")</f>
        <v/>
      </c>
      <c r="AF373" s="45">
        <f>IFERROR(IF($A373="","",($Q373/60)*'Assumptions'!$B$8),"")</f>
        <v/>
      </c>
      <c r="AG373" s="45">
        <f>IFERROR(IF($A373="","",$P373+$AE373+$AF373),"")</f>
        <v/>
      </c>
      <c r="AH373" s="45">
        <f>IFERROR(IF($A373="","",$M373+$O373),"")</f>
        <v/>
      </c>
      <c r="AI373" s="46">
        <f>IFERROR(IF($A373="","",IFERROR($AH373/$W373,0)),"")</f>
        <v/>
      </c>
      <c r="AJ373" s="45">
        <f>IFERROR(IF($A373="","",$W373-$AH373-$AD373+$AG373),"")</f>
        <v/>
      </c>
      <c r="AK373" s="47">
        <f>IFERROR(IF($A373="","",IF(OR($S373="Collected",$S373="Waived",$S373="Uncollectible",$S373="No Charge Due"),"",IF($T373="",$B373+'Assumptions'!$B$9,$T373+'Assumptions'!$B$9))),"")</f>
        <v/>
      </c>
      <c r="AL373" s="48">
        <f>IFERROR(IF($A373="","",IF(OR($S373="Collected",$S373="Waived",$S373="Uncollectible",$S373="No Charge Due"),"Closed",IF($AK373&lt;TODAY(),"Overdue",IF($AK373=TODAY(),"Due","Open")))),"")</f>
        <v/>
      </c>
      <c r="AM373" s="49">
        <f>IFERROR(IF($A373="","",IF(COUNTIF($A$5:$A$504,$A373)&gt;1,"Duplicate reservation ID",IF($C373&lt;=$B373,"Check stay dates",IF($G373&gt;$F373,"Resold nights exceed booked nights",IF($M373+$N373&gt;$AA373+0.01,"Collection exceeds expected amount",IF(AND($S373="Collected",$M373=0),"Collected status has no amount",IF($AJ373&gt;='Assumptions'!$B$10,"High-cost review","OK"))))))),"")</f>
        <v/>
      </c>
    </row>
    <row r="374">
      <c r="A374" s="38" t="n"/>
      <c r="B374" s="39" t="n"/>
      <c r="C374" s="39" t="n"/>
      <c r="D374" s="38" t="n"/>
      <c r="E374" s="38" t="n"/>
      <c r="F374" s="40" t="n"/>
      <c r="G374" s="40" t="n"/>
      <c r="H374" s="41" t="n"/>
      <c r="I374" s="41" t="n"/>
      <c r="J374" s="42" t="n"/>
      <c r="K374" s="42" t="n"/>
      <c r="L374" s="42" t="n"/>
      <c r="M374" s="41" t="n"/>
      <c r="N374" s="41" t="n"/>
      <c r="O374" s="41" t="n"/>
      <c r="P374" s="41" t="n"/>
      <c r="Q374" s="40" t="n"/>
      <c r="R374" s="38" t="n"/>
      <c r="S374" s="38" t="n"/>
      <c r="T374" s="39" t="n"/>
      <c r="U374" s="43" t="n"/>
      <c r="V374" s="44">
        <f>IFERROR(IF($A374="","",MAX($F374-$G374,0)),"")</f>
        <v/>
      </c>
      <c r="W374" s="45">
        <f>IFERROR(IF($A374="","",$H374+$I374),"")</f>
        <v/>
      </c>
      <c r="X374" s="45">
        <f>IFERROR(IF($A374="","",$H374*IF($J374="",'Assumptions'!$B$4,$J374)),"")</f>
        <v/>
      </c>
      <c r="Y374" s="45">
        <f>IFERROR(IF($A374="","",$X374*IF($K374="",'Assumptions'!$B$12,$K374)),"")</f>
        <v/>
      </c>
      <c r="Z374" s="45">
        <f>IFERROR(IF($A374="","",($X374+$Y374)*IF($L374="",'Assumptions'!$B$13,$L374)),"")</f>
        <v/>
      </c>
      <c r="AA374" s="45">
        <f>IFERROR(IF($A374="","",$X374+$Y374+$Z374),"")</f>
        <v/>
      </c>
      <c r="AB374" s="45">
        <f>IFERROR(IF($A374="","",$V374*'Assumptions'!$B$5),"")</f>
        <v/>
      </c>
      <c r="AC374" s="45">
        <f>IFERROR(IF($A374="","",$I374*'Assumptions'!$B$6),"")</f>
        <v/>
      </c>
      <c r="AD374" s="45">
        <f>IFERROR(IF($A374="","",$AB374+$AC374),"")</f>
        <v/>
      </c>
      <c r="AE374" s="45">
        <f>IFERROR(IF($A374="","",($M374+$N374)*'Assumptions'!$B$7),"")</f>
        <v/>
      </c>
      <c r="AF374" s="45">
        <f>IFERROR(IF($A374="","",($Q374/60)*'Assumptions'!$B$8),"")</f>
        <v/>
      </c>
      <c r="AG374" s="45">
        <f>IFERROR(IF($A374="","",$P374+$AE374+$AF374),"")</f>
        <v/>
      </c>
      <c r="AH374" s="45">
        <f>IFERROR(IF($A374="","",$M374+$O374),"")</f>
        <v/>
      </c>
      <c r="AI374" s="46">
        <f>IFERROR(IF($A374="","",IFERROR($AH374/$W374,0)),"")</f>
        <v/>
      </c>
      <c r="AJ374" s="45">
        <f>IFERROR(IF($A374="","",$W374-$AH374-$AD374+$AG374),"")</f>
        <v/>
      </c>
      <c r="AK374" s="47">
        <f>IFERROR(IF($A374="","",IF(OR($S374="Collected",$S374="Waived",$S374="Uncollectible",$S374="No Charge Due"),"",IF($T374="",$B374+'Assumptions'!$B$9,$T374+'Assumptions'!$B$9))),"")</f>
        <v/>
      </c>
      <c r="AL374" s="48">
        <f>IFERROR(IF($A374="","",IF(OR($S374="Collected",$S374="Waived",$S374="Uncollectible",$S374="No Charge Due"),"Closed",IF($AK374&lt;TODAY(),"Overdue",IF($AK374=TODAY(),"Due","Open")))),"")</f>
        <v/>
      </c>
      <c r="AM374" s="49">
        <f>IFERROR(IF($A374="","",IF(COUNTIF($A$5:$A$504,$A374)&gt;1,"Duplicate reservation ID",IF($C374&lt;=$B374,"Check stay dates",IF($G374&gt;$F374,"Resold nights exceed booked nights",IF($M374+$N374&gt;$AA374+0.01,"Collection exceeds expected amount",IF(AND($S374="Collected",$M374=0),"Collected status has no amount",IF($AJ374&gt;='Assumptions'!$B$10,"High-cost review","OK"))))))),"")</f>
        <v/>
      </c>
    </row>
    <row r="375">
      <c r="A375" s="38" t="n"/>
      <c r="B375" s="39" t="n"/>
      <c r="C375" s="39" t="n"/>
      <c r="D375" s="38" t="n"/>
      <c r="E375" s="38" t="n"/>
      <c r="F375" s="40" t="n"/>
      <c r="G375" s="40" t="n"/>
      <c r="H375" s="41" t="n"/>
      <c r="I375" s="41" t="n"/>
      <c r="J375" s="42" t="n"/>
      <c r="K375" s="42" t="n"/>
      <c r="L375" s="42" t="n"/>
      <c r="M375" s="41" t="n"/>
      <c r="N375" s="41" t="n"/>
      <c r="O375" s="41" t="n"/>
      <c r="P375" s="41" t="n"/>
      <c r="Q375" s="40" t="n"/>
      <c r="R375" s="38" t="n"/>
      <c r="S375" s="38" t="n"/>
      <c r="T375" s="39" t="n"/>
      <c r="U375" s="43" t="n"/>
      <c r="V375" s="44">
        <f>IFERROR(IF($A375="","",MAX($F375-$G375,0)),"")</f>
        <v/>
      </c>
      <c r="W375" s="45">
        <f>IFERROR(IF($A375="","",$H375+$I375),"")</f>
        <v/>
      </c>
      <c r="X375" s="45">
        <f>IFERROR(IF($A375="","",$H375*IF($J375="",'Assumptions'!$B$4,$J375)),"")</f>
        <v/>
      </c>
      <c r="Y375" s="45">
        <f>IFERROR(IF($A375="","",$X375*IF($K375="",'Assumptions'!$B$12,$K375)),"")</f>
        <v/>
      </c>
      <c r="Z375" s="45">
        <f>IFERROR(IF($A375="","",($X375+$Y375)*IF($L375="",'Assumptions'!$B$13,$L375)),"")</f>
        <v/>
      </c>
      <c r="AA375" s="45">
        <f>IFERROR(IF($A375="","",$X375+$Y375+$Z375),"")</f>
        <v/>
      </c>
      <c r="AB375" s="45">
        <f>IFERROR(IF($A375="","",$V375*'Assumptions'!$B$5),"")</f>
        <v/>
      </c>
      <c r="AC375" s="45">
        <f>IFERROR(IF($A375="","",$I375*'Assumptions'!$B$6),"")</f>
        <v/>
      </c>
      <c r="AD375" s="45">
        <f>IFERROR(IF($A375="","",$AB375+$AC375),"")</f>
        <v/>
      </c>
      <c r="AE375" s="45">
        <f>IFERROR(IF($A375="","",($M375+$N375)*'Assumptions'!$B$7),"")</f>
        <v/>
      </c>
      <c r="AF375" s="45">
        <f>IFERROR(IF($A375="","",($Q375/60)*'Assumptions'!$B$8),"")</f>
        <v/>
      </c>
      <c r="AG375" s="45">
        <f>IFERROR(IF($A375="","",$P375+$AE375+$AF375),"")</f>
        <v/>
      </c>
      <c r="AH375" s="45">
        <f>IFERROR(IF($A375="","",$M375+$O375),"")</f>
        <v/>
      </c>
      <c r="AI375" s="46">
        <f>IFERROR(IF($A375="","",IFERROR($AH375/$W375,0)),"")</f>
        <v/>
      </c>
      <c r="AJ375" s="45">
        <f>IFERROR(IF($A375="","",$W375-$AH375-$AD375+$AG375),"")</f>
        <v/>
      </c>
      <c r="AK375" s="47">
        <f>IFERROR(IF($A375="","",IF(OR($S375="Collected",$S375="Waived",$S375="Uncollectible",$S375="No Charge Due"),"",IF($T375="",$B375+'Assumptions'!$B$9,$T375+'Assumptions'!$B$9))),"")</f>
        <v/>
      </c>
      <c r="AL375" s="48">
        <f>IFERROR(IF($A375="","",IF(OR($S375="Collected",$S375="Waived",$S375="Uncollectible",$S375="No Charge Due"),"Closed",IF($AK375&lt;TODAY(),"Overdue",IF($AK375=TODAY(),"Due","Open")))),"")</f>
        <v/>
      </c>
      <c r="AM375" s="49">
        <f>IFERROR(IF($A375="","",IF(COUNTIF($A$5:$A$504,$A375)&gt;1,"Duplicate reservation ID",IF($C375&lt;=$B375,"Check stay dates",IF($G375&gt;$F375,"Resold nights exceed booked nights",IF($M375+$N375&gt;$AA375+0.01,"Collection exceeds expected amount",IF(AND($S375="Collected",$M375=0),"Collected status has no amount",IF($AJ375&gt;='Assumptions'!$B$10,"High-cost review","OK"))))))),"")</f>
        <v/>
      </c>
    </row>
    <row r="376">
      <c r="A376" s="38" t="n"/>
      <c r="B376" s="39" t="n"/>
      <c r="C376" s="39" t="n"/>
      <c r="D376" s="38" t="n"/>
      <c r="E376" s="38" t="n"/>
      <c r="F376" s="40" t="n"/>
      <c r="G376" s="40" t="n"/>
      <c r="H376" s="41" t="n"/>
      <c r="I376" s="41" t="n"/>
      <c r="J376" s="42" t="n"/>
      <c r="K376" s="42" t="n"/>
      <c r="L376" s="42" t="n"/>
      <c r="M376" s="41" t="n"/>
      <c r="N376" s="41" t="n"/>
      <c r="O376" s="41" t="n"/>
      <c r="P376" s="41" t="n"/>
      <c r="Q376" s="40" t="n"/>
      <c r="R376" s="38" t="n"/>
      <c r="S376" s="38" t="n"/>
      <c r="T376" s="39" t="n"/>
      <c r="U376" s="43" t="n"/>
      <c r="V376" s="44">
        <f>IFERROR(IF($A376="","",MAX($F376-$G376,0)),"")</f>
        <v/>
      </c>
      <c r="W376" s="45">
        <f>IFERROR(IF($A376="","",$H376+$I376),"")</f>
        <v/>
      </c>
      <c r="X376" s="45">
        <f>IFERROR(IF($A376="","",$H376*IF($J376="",'Assumptions'!$B$4,$J376)),"")</f>
        <v/>
      </c>
      <c r="Y376" s="45">
        <f>IFERROR(IF($A376="","",$X376*IF($K376="",'Assumptions'!$B$12,$K376)),"")</f>
        <v/>
      </c>
      <c r="Z376" s="45">
        <f>IFERROR(IF($A376="","",($X376+$Y376)*IF($L376="",'Assumptions'!$B$13,$L376)),"")</f>
        <v/>
      </c>
      <c r="AA376" s="45">
        <f>IFERROR(IF($A376="","",$X376+$Y376+$Z376),"")</f>
        <v/>
      </c>
      <c r="AB376" s="45">
        <f>IFERROR(IF($A376="","",$V376*'Assumptions'!$B$5),"")</f>
        <v/>
      </c>
      <c r="AC376" s="45">
        <f>IFERROR(IF($A376="","",$I376*'Assumptions'!$B$6),"")</f>
        <v/>
      </c>
      <c r="AD376" s="45">
        <f>IFERROR(IF($A376="","",$AB376+$AC376),"")</f>
        <v/>
      </c>
      <c r="AE376" s="45">
        <f>IFERROR(IF($A376="","",($M376+$N376)*'Assumptions'!$B$7),"")</f>
        <v/>
      </c>
      <c r="AF376" s="45">
        <f>IFERROR(IF($A376="","",($Q376/60)*'Assumptions'!$B$8),"")</f>
        <v/>
      </c>
      <c r="AG376" s="45">
        <f>IFERROR(IF($A376="","",$P376+$AE376+$AF376),"")</f>
        <v/>
      </c>
      <c r="AH376" s="45">
        <f>IFERROR(IF($A376="","",$M376+$O376),"")</f>
        <v/>
      </c>
      <c r="AI376" s="46">
        <f>IFERROR(IF($A376="","",IFERROR($AH376/$W376,0)),"")</f>
        <v/>
      </c>
      <c r="AJ376" s="45">
        <f>IFERROR(IF($A376="","",$W376-$AH376-$AD376+$AG376),"")</f>
        <v/>
      </c>
      <c r="AK376" s="47">
        <f>IFERROR(IF($A376="","",IF(OR($S376="Collected",$S376="Waived",$S376="Uncollectible",$S376="No Charge Due"),"",IF($T376="",$B376+'Assumptions'!$B$9,$T376+'Assumptions'!$B$9))),"")</f>
        <v/>
      </c>
      <c r="AL376" s="48">
        <f>IFERROR(IF($A376="","",IF(OR($S376="Collected",$S376="Waived",$S376="Uncollectible",$S376="No Charge Due"),"Closed",IF($AK376&lt;TODAY(),"Overdue",IF($AK376=TODAY(),"Due","Open")))),"")</f>
        <v/>
      </c>
      <c r="AM376" s="49">
        <f>IFERROR(IF($A376="","",IF(COUNTIF($A$5:$A$504,$A376)&gt;1,"Duplicate reservation ID",IF($C376&lt;=$B376,"Check stay dates",IF($G376&gt;$F376,"Resold nights exceed booked nights",IF($M376+$N376&gt;$AA376+0.01,"Collection exceeds expected amount",IF(AND($S376="Collected",$M376=0),"Collected status has no amount",IF($AJ376&gt;='Assumptions'!$B$10,"High-cost review","OK"))))))),"")</f>
        <v/>
      </c>
    </row>
    <row r="377">
      <c r="A377" s="38" t="n"/>
      <c r="B377" s="39" t="n"/>
      <c r="C377" s="39" t="n"/>
      <c r="D377" s="38" t="n"/>
      <c r="E377" s="38" t="n"/>
      <c r="F377" s="40" t="n"/>
      <c r="G377" s="40" t="n"/>
      <c r="H377" s="41" t="n"/>
      <c r="I377" s="41" t="n"/>
      <c r="J377" s="42" t="n"/>
      <c r="K377" s="42" t="n"/>
      <c r="L377" s="42" t="n"/>
      <c r="M377" s="41" t="n"/>
      <c r="N377" s="41" t="n"/>
      <c r="O377" s="41" t="n"/>
      <c r="P377" s="41" t="n"/>
      <c r="Q377" s="40" t="n"/>
      <c r="R377" s="38" t="n"/>
      <c r="S377" s="38" t="n"/>
      <c r="T377" s="39" t="n"/>
      <c r="U377" s="43" t="n"/>
      <c r="V377" s="44">
        <f>IFERROR(IF($A377="","",MAX($F377-$G377,0)),"")</f>
        <v/>
      </c>
      <c r="W377" s="45">
        <f>IFERROR(IF($A377="","",$H377+$I377),"")</f>
        <v/>
      </c>
      <c r="X377" s="45">
        <f>IFERROR(IF($A377="","",$H377*IF($J377="",'Assumptions'!$B$4,$J377)),"")</f>
        <v/>
      </c>
      <c r="Y377" s="45">
        <f>IFERROR(IF($A377="","",$X377*IF($K377="",'Assumptions'!$B$12,$K377)),"")</f>
        <v/>
      </c>
      <c r="Z377" s="45">
        <f>IFERROR(IF($A377="","",($X377+$Y377)*IF($L377="",'Assumptions'!$B$13,$L377)),"")</f>
        <v/>
      </c>
      <c r="AA377" s="45">
        <f>IFERROR(IF($A377="","",$X377+$Y377+$Z377),"")</f>
        <v/>
      </c>
      <c r="AB377" s="45">
        <f>IFERROR(IF($A377="","",$V377*'Assumptions'!$B$5),"")</f>
        <v/>
      </c>
      <c r="AC377" s="45">
        <f>IFERROR(IF($A377="","",$I377*'Assumptions'!$B$6),"")</f>
        <v/>
      </c>
      <c r="AD377" s="45">
        <f>IFERROR(IF($A377="","",$AB377+$AC377),"")</f>
        <v/>
      </c>
      <c r="AE377" s="45">
        <f>IFERROR(IF($A377="","",($M377+$N377)*'Assumptions'!$B$7),"")</f>
        <v/>
      </c>
      <c r="AF377" s="45">
        <f>IFERROR(IF($A377="","",($Q377/60)*'Assumptions'!$B$8),"")</f>
        <v/>
      </c>
      <c r="AG377" s="45">
        <f>IFERROR(IF($A377="","",$P377+$AE377+$AF377),"")</f>
        <v/>
      </c>
      <c r="AH377" s="45">
        <f>IFERROR(IF($A377="","",$M377+$O377),"")</f>
        <v/>
      </c>
      <c r="AI377" s="46">
        <f>IFERROR(IF($A377="","",IFERROR($AH377/$W377,0)),"")</f>
        <v/>
      </c>
      <c r="AJ377" s="45">
        <f>IFERROR(IF($A377="","",$W377-$AH377-$AD377+$AG377),"")</f>
        <v/>
      </c>
      <c r="AK377" s="47">
        <f>IFERROR(IF($A377="","",IF(OR($S377="Collected",$S377="Waived",$S377="Uncollectible",$S377="No Charge Due"),"",IF($T377="",$B377+'Assumptions'!$B$9,$T377+'Assumptions'!$B$9))),"")</f>
        <v/>
      </c>
      <c r="AL377" s="48">
        <f>IFERROR(IF($A377="","",IF(OR($S377="Collected",$S377="Waived",$S377="Uncollectible",$S377="No Charge Due"),"Closed",IF($AK377&lt;TODAY(),"Overdue",IF($AK377=TODAY(),"Due","Open")))),"")</f>
        <v/>
      </c>
      <c r="AM377" s="49">
        <f>IFERROR(IF($A377="","",IF(COUNTIF($A$5:$A$504,$A377)&gt;1,"Duplicate reservation ID",IF($C377&lt;=$B377,"Check stay dates",IF($G377&gt;$F377,"Resold nights exceed booked nights",IF($M377+$N377&gt;$AA377+0.01,"Collection exceeds expected amount",IF(AND($S377="Collected",$M377=0),"Collected status has no amount",IF($AJ377&gt;='Assumptions'!$B$10,"High-cost review","OK"))))))),"")</f>
        <v/>
      </c>
    </row>
    <row r="378">
      <c r="A378" s="38" t="n"/>
      <c r="B378" s="39" t="n"/>
      <c r="C378" s="39" t="n"/>
      <c r="D378" s="38" t="n"/>
      <c r="E378" s="38" t="n"/>
      <c r="F378" s="40" t="n"/>
      <c r="G378" s="40" t="n"/>
      <c r="H378" s="41" t="n"/>
      <c r="I378" s="41" t="n"/>
      <c r="J378" s="42" t="n"/>
      <c r="K378" s="42" t="n"/>
      <c r="L378" s="42" t="n"/>
      <c r="M378" s="41" t="n"/>
      <c r="N378" s="41" t="n"/>
      <c r="O378" s="41" t="n"/>
      <c r="P378" s="41" t="n"/>
      <c r="Q378" s="40" t="n"/>
      <c r="R378" s="38" t="n"/>
      <c r="S378" s="38" t="n"/>
      <c r="T378" s="39" t="n"/>
      <c r="U378" s="43" t="n"/>
      <c r="V378" s="44">
        <f>IFERROR(IF($A378="","",MAX($F378-$G378,0)),"")</f>
        <v/>
      </c>
      <c r="W378" s="45">
        <f>IFERROR(IF($A378="","",$H378+$I378),"")</f>
        <v/>
      </c>
      <c r="X378" s="45">
        <f>IFERROR(IF($A378="","",$H378*IF($J378="",'Assumptions'!$B$4,$J378)),"")</f>
        <v/>
      </c>
      <c r="Y378" s="45">
        <f>IFERROR(IF($A378="","",$X378*IF($K378="",'Assumptions'!$B$12,$K378)),"")</f>
        <v/>
      </c>
      <c r="Z378" s="45">
        <f>IFERROR(IF($A378="","",($X378+$Y378)*IF($L378="",'Assumptions'!$B$13,$L378)),"")</f>
        <v/>
      </c>
      <c r="AA378" s="45">
        <f>IFERROR(IF($A378="","",$X378+$Y378+$Z378),"")</f>
        <v/>
      </c>
      <c r="AB378" s="45">
        <f>IFERROR(IF($A378="","",$V378*'Assumptions'!$B$5),"")</f>
        <v/>
      </c>
      <c r="AC378" s="45">
        <f>IFERROR(IF($A378="","",$I378*'Assumptions'!$B$6),"")</f>
        <v/>
      </c>
      <c r="AD378" s="45">
        <f>IFERROR(IF($A378="","",$AB378+$AC378),"")</f>
        <v/>
      </c>
      <c r="AE378" s="45">
        <f>IFERROR(IF($A378="","",($M378+$N378)*'Assumptions'!$B$7),"")</f>
        <v/>
      </c>
      <c r="AF378" s="45">
        <f>IFERROR(IF($A378="","",($Q378/60)*'Assumptions'!$B$8),"")</f>
        <v/>
      </c>
      <c r="AG378" s="45">
        <f>IFERROR(IF($A378="","",$P378+$AE378+$AF378),"")</f>
        <v/>
      </c>
      <c r="AH378" s="45">
        <f>IFERROR(IF($A378="","",$M378+$O378),"")</f>
        <v/>
      </c>
      <c r="AI378" s="46">
        <f>IFERROR(IF($A378="","",IFERROR($AH378/$W378,0)),"")</f>
        <v/>
      </c>
      <c r="AJ378" s="45">
        <f>IFERROR(IF($A378="","",$W378-$AH378-$AD378+$AG378),"")</f>
        <v/>
      </c>
      <c r="AK378" s="47">
        <f>IFERROR(IF($A378="","",IF(OR($S378="Collected",$S378="Waived",$S378="Uncollectible",$S378="No Charge Due"),"",IF($T378="",$B378+'Assumptions'!$B$9,$T378+'Assumptions'!$B$9))),"")</f>
        <v/>
      </c>
      <c r="AL378" s="48">
        <f>IFERROR(IF($A378="","",IF(OR($S378="Collected",$S378="Waived",$S378="Uncollectible",$S378="No Charge Due"),"Closed",IF($AK378&lt;TODAY(),"Overdue",IF($AK378=TODAY(),"Due","Open")))),"")</f>
        <v/>
      </c>
      <c r="AM378" s="49">
        <f>IFERROR(IF($A378="","",IF(COUNTIF($A$5:$A$504,$A378)&gt;1,"Duplicate reservation ID",IF($C378&lt;=$B378,"Check stay dates",IF($G378&gt;$F378,"Resold nights exceed booked nights",IF($M378+$N378&gt;$AA378+0.01,"Collection exceeds expected amount",IF(AND($S378="Collected",$M378=0),"Collected status has no amount",IF($AJ378&gt;='Assumptions'!$B$10,"High-cost review","OK"))))))),"")</f>
        <v/>
      </c>
    </row>
    <row r="379">
      <c r="A379" s="38" t="n"/>
      <c r="B379" s="39" t="n"/>
      <c r="C379" s="39" t="n"/>
      <c r="D379" s="38" t="n"/>
      <c r="E379" s="38" t="n"/>
      <c r="F379" s="40" t="n"/>
      <c r="G379" s="40" t="n"/>
      <c r="H379" s="41" t="n"/>
      <c r="I379" s="41" t="n"/>
      <c r="J379" s="42" t="n"/>
      <c r="K379" s="42" t="n"/>
      <c r="L379" s="42" t="n"/>
      <c r="M379" s="41" t="n"/>
      <c r="N379" s="41" t="n"/>
      <c r="O379" s="41" t="n"/>
      <c r="P379" s="41" t="n"/>
      <c r="Q379" s="40" t="n"/>
      <c r="R379" s="38" t="n"/>
      <c r="S379" s="38" t="n"/>
      <c r="T379" s="39" t="n"/>
      <c r="U379" s="43" t="n"/>
      <c r="V379" s="44">
        <f>IFERROR(IF($A379="","",MAX($F379-$G379,0)),"")</f>
        <v/>
      </c>
      <c r="W379" s="45">
        <f>IFERROR(IF($A379="","",$H379+$I379),"")</f>
        <v/>
      </c>
      <c r="X379" s="45">
        <f>IFERROR(IF($A379="","",$H379*IF($J379="",'Assumptions'!$B$4,$J379)),"")</f>
        <v/>
      </c>
      <c r="Y379" s="45">
        <f>IFERROR(IF($A379="","",$X379*IF($K379="",'Assumptions'!$B$12,$K379)),"")</f>
        <v/>
      </c>
      <c r="Z379" s="45">
        <f>IFERROR(IF($A379="","",($X379+$Y379)*IF($L379="",'Assumptions'!$B$13,$L379)),"")</f>
        <v/>
      </c>
      <c r="AA379" s="45">
        <f>IFERROR(IF($A379="","",$X379+$Y379+$Z379),"")</f>
        <v/>
      </c>
      <c r="AB379" s="45">
        <f>IFERROR(IF($A379="","",$V379*'Assumptions'!$B$5),"")</f>
        <v/>
      </c>
      <c r="AC379" s="45">
        <f>IFERROR(IF($A379="","",$I379*'Assumptions'!$B$6),"")</f>
        <v/>
      </c>
      <c r="AD379" s="45">
        <f>IFERROR(IF($A379="","",$AB379+$AC379),"")</f>
        <v/>
      </c>
      <c r="AE379" s="45">
        <f>IFERROR(IF($A379="","",($M379+$N379)*'Assumptions'!$B$7),"")</f>
        <v/>
      </c>
      <c r="AF379" s="45">
        <f>IFERROR(IF($A379="","",($Q379/60)*'Assumptions'!$B$8),"")</f>
        <v/>
      </c>
      <c r="AG379" s="45">
        <f>IFERROR(IF($A379="","",$P379+$AE379+$AF379),"")</f>
        <v/>
      </c>
      <c r="AH379" s="45">
        <f>IFERROR(IF($A379="","",$M379+$O379),"")</f>
        <v/>
      </c>
      <c r="AI379" s="46">
        <f>IFERROR(IF($A379="","",IFERROR($AH379/$W379,0)),"")</f>
        <v/>
      </c>
      <c r="AJ379" s="45">
        <f>IFERROR(IF($A379="","",$W379-$AH379-$AD379+$AG379),"")</f>
        <v/>
      </c>
      <c r="AK379" s="47">
        <f>IFERROR(IF($A379="","",IF(OR($S379="Collected",$S379="Waived",$S379="Uncollectible",$S379="No Charge Due"),"",IF($T379="",$B379+'Assumptions'!$B$9,$T379+'Assumptions'!$B$9))),"")</f>
        <v/>
      </c>
      <c r="AL379" s="48">
        <f>IFERROR(IF($A379="","",IF(OR($S379="Collected",$S379="Waived",$S379="Uncollectible",$S379="No Charge Due"),"Closed",IF($AK379&lt;TODAY(),"Overdue",IF($AK379=TODAY(),"Due","Open")))),"")</f>
        <v/>
      </c>
      <c r="AM379" s="49">
        <f>IFERROR(IF($A379="","",IF(COUNTIF($A$5:$A$504,$A379)&gt;1,"Duplicate reservation ID",IF($C379&lt;=$B379,"Check stay dates",IF($G379&gt;$F379,"Resold nights exceed booked nights",IF($M379+$N379&gt;$AA379+0.01,"Collection exceeds expected amount",IF(AND($S379="Collected",$M379=0),"Collected status has no amount",IF($AJ379&gt;='Assumptions'!$B$10,"High-cost review","OK"))))))),"")</f>
        <v/>
      </c>
    </row>
    <row r="380">
      <c r="A380" s="38" t="n"/>
      <c r="B380" s="39" t="n"/>
      <c r="C380" s="39" t="n"/>
      <c r="D380" s="38" t="n"/>
      <c r="E380" s="38" t="n"/>
      <c r="F380" s="40" t="n"/>
      <c r="G380" s="40" t="n"/>
      <c r="H380" s="41" t="n"/>
      <c r="I380" s="41" t="n"/>
      <c r="J380" s="42" t="n"/>
      <c r="K380" s="42" t="n"/>
      <c r="L380" s="42" t="n"/>
      <c r="M380" s="41" t="n"/>
      <c r="N380" s="41" t="n"/>
      <c r="O380" s="41" t="n"/>
      <c r="P380" s="41" t="n"/>
      <c r="Q380" s="40" t="n"/>
      <c r="R380" s="38" t="n"/>
      <c r="S380" s="38" t="n"/>
      <c r="T380" s="39" t="n"/>
      <c r="U380" s="43" t="n"/>
      <c r="V380" s="44">
        <f>IFERROR(IF($A380="","",MAX($F380-$G380,0)),"")</f>
        <v/>
      </c>
      <c r="W380" s="45">
        <f>IFERROR(IF($A380="","",$H380+$I380),"")</f>
        <v/>
      </c>
      <c r="X380" s="45">
        <f>IFERROR(IF($A380="","",$H380*IF($J380="",'Assumptions'!$B$4,$J380)),"")</f>
        <v/>
      </c>
      <c r="Y380" s="45">
        <f>IFERROR(IF($A380="","",$X380*IF($K380="",'Assumptions'!$B$12,$K380)),"")</f>
        <v/>
      </c>
      <c r="Z380" s="45">
        <f>IFERROR(IF($A380="","",($X380+$Y380)*IF($L380="",'Assumptions'!$B$13,$L380)),"")</f>
        <v/>
      </c>
      <c r="AA380" s="45">
        <f>IFERROR(IF($A380="","",$X380+$Y380+$Z380),"")</f>
        <v/>
      </c>
      <c r="AB380" s="45">
        <f>IFERROR(IF($A380="","",$V380*'Assumptions'!$B$5),"")</f>
        <v/>
      </c>
      <c r="AC380" s="45">
        <f>IFERROR(IF($A380="","",$I380*'Assumptions'!$B$6),"")</f>
        <v/>
      </c>
      <c r="AD380" s="45">
        <f>IFERROR(IF($A380="","",$AB380+$AC380),"")</f>
        <v/>
      </c>
      <c r="AE380" s="45">
        <f>IFERROR(IF($A380="","",($M380+$N380)*'Assumptions'!$B$7),"")</f>
        <v/>
      </c>
      <c r="AF380" s="45">
        <f>IFERROR(IF($A380="","",($Q380/60)*'Assumptions'!$B$8),"")</f>
        <v/>
      </c>
      <c r="AG380" s="45">
        <f>IFERROR(IF($A380="","",$P380+$AE380+$AF380),"")</f>
        <v/>
      </c>
      <c r="AH380" s="45">
        <f>IFERROR(IF($A380="","",$M380+$O380),"")</f>
        <v/>
      </c>
      <c r="AI380" s="46">
        <f>IFERROR(IF($A380="","",IFERROR($AH380/$W380,0)),"")</f>
        <v/>
      </c>
      <c r="AJ380" s="45">
        <f>IFERROR(IF($A380="","",$W380-$AH380-$AD380+$AG380),"")</f>
        <v/>
      </c>
      <c r="AK380" s="47">
        <f>IFERROR(IF($A380="","",IF(OR($S380="Collected",$S380="Waived",$S380="Uncollectible",$S380="No Charge Due"),"",IF($T380="",$B380+'Assumptions'!$B$9,$T380+'Assumptions'!$B$9))),"")</f>
        <v/>
      </c>
      <c r="AL380" s="48">
        <f>IFERROR(IF($A380="","",IF(OR($S380="Collected",$S380="Waived",$S380="Uncollectible",$S380="No Charge Due"),"Closed",IF($AK380&lt;TODAY(),"Overdue",IF($AK380=TODAY(),"Due","Open")))),"")</f>
        <v/>
      </c>
      <c r="AM380" s="49">
        <f>IFERROR(IF($A380="","",IF(COUNTIF($A$5:$A$504,$A380)&gt;1,"Duplicate reservation ID",IF($C380&lt;=$B380,"Check stay dates",IF($G380&gt;$F380,"Resold nights exceed booked nights",IF($M380+$N380&gt;$AA380+0.01,"Collection exceeds expected amount",IF(AND($S380="Collected",$M380=0),"Collected status has no amount",IF($AJ380&gt;='Assumptions'!$B$10,"High-cost review","OK"))))))),"")</f>
        <v/>
      </c>
    </row>
    <row r="381">
      <c r="A381" s="38" t="n"/>
      <c r="B381" s="39" t="n"/>
      <c r="C381" s="39" t="n"/>
      <c r="D381" s="38" t="n"/>
      <c r="E381" s="38" t="n"/>
      <c r="F381" s="40" t="n"/>
      <c r="G381" s="40" t="n"/>
      <c r="H381" s="41" t="n"/>
      <c r="I381" s="41" t="n"/>
      <c r="J381" s="42" t="n"/>
      <c r="K381" s="42" t="n"/>
      <c r="L381" s="42" t="n"/>
      <c r="M381" s="41" t="n"/>
      <c r="N381" s="41" t="n"/>
      <c r="O381" s="41" t="n"/>
      <c r="P381" s="41" t="n"/>
      <c r="Q381" s="40" t="n"/>
      <c r="R381" s="38" t="n"/>
      <c r="S381" s="38" t="n"/>
      <c r="T381" s="39" t="n"/>
      <c r="U381" s="43" t="n"/>
      <c r="V381" s="44">
        <f>IFERROR(IF($A381="","",MAX($F381-$G381,0)),"")</f>
        <v/>
      </c>
      <c r="W381" s="45">
        <f>IFERROR(IF($A381="","",$H381+$I381),"")</f>
        <v/>
      </c>
      <c r="X381" s="45">
        <f>IFERROR(IF($A381="","",$H381*IF($J381="",'Assumptions'!$B$4,$J381)),"")</f>
        <v/>
      </c>
      <c r="Y381" s="45">
        <f>IFERROR(IF($A381="","",$X381*IF($K381="",'Assumptions'!$B$12,$K381)),"")</f>
        <v/>
      </c>
      <c r="Z381" s="45">
        <f>IFERROR(IF($A381="","",($X381+$Y381)*IF($L381="",'Assumptions'!$B$13,$L381)),"")</f>
        <v/>
      </c>
      <c r="AA381" s="45">
        <f>IFERROR(IF($A381="","",$X381+$Y381+$Z381),"")</f>
        <v/>
      </c>
      <c r="AB381" s="45">
        <f>IFERROR(IF($A381="","",$V381*'Assumptions'!$B$5),"")</f>
        <v/>
      </c>
      <c r="AC381" s="45">
        <f>IFERROR(IF($A381="","",$I381*'Assumptions'!$B$6),"")</f>
        <v/>
      </c>
      <c r="AD381" s="45">
        <f>IFERROR(IF($A381="","",$AB381+$AC381),"")</f>
        <v/>
      </c>
      <c r="AE381" s="45">
        <f>IFERROR(IF($A381="","",($M381+$N381)*'Assumptions'!$B$7),"")</f>
        <v/>
      </c>
      <c r="AF381" s="45">
        <f>IFERROR(IF($A381="","",($Q381/60)*'Assumptions'!$B$8),"")</f>
        <v/>
      </c>
      <c r="AG381" s="45">
        <f>IFERROR(IF($A381="","",$P381+$AE381+$AF381),"")</f>
        <v/>
      </c>
      <c r="AH381" s="45">
        <f>IFERROR(IF($A381="","",$M381+$O381),"")</f>
        <v/>
      </c>
      <c r="AI381" s="46">
        <f>IFERROR(IF($A381="","",IFERROR($AH381/$W381,0)),"")</f>
        <v/>
      </c>
      <c r="AJ381" s="45">
        <f>IFERROR(IF($A381="","",$W381-$AH381-$AD381+$AG381),"")</f>
        <v/>
      </c>
      <c r="AK381" s="47">
        <f>IFERROR(IF($A381="","",IF(OR($S381="Collected",$S381="Waived",$S381="Uncollectible",$S381="No Charge Due"),"",IF($T381="",$B381+'Assumptions'!$B$9,$T381+'Assumptions'!$B$9))),"")</f>
        <v/>
      </c>
      <c r="AL381" s="48">
        <f>IFERROR(IF($A381="","",IF(OR($S381="Collected",$S381="Waived",$S381="Uncollectible",$S381="No Charge Due"),"Closed",IF($AK381&lt;TODAY(),"Overdue",IF($AK381=TODAY(),"Due","Open")))),"")</f>
        <v/>
      </c>
      <c r="AM381" s="49">
        <f>IFERROR(IF($A381="","",IF(COUNTIF($A$5:$A$504,$A381)&gt;1,"Duplicate reservation ID",IF($C381&lt;=$B381,"Check stay dates",IF($G381&gt;$F381,"Resold nights exceed booked nights",IF($M381+$N381&gt;$AA381+0.01,"Collection exceeds expected amount",IF(AND($S381="Collected",$M381=0),"Collected status has no amount",IF($AJ381&gt;='Assumptions'!$B$10,"High-cost review","OK"))))))),"")</f>
        <v/>
      </c>
    </row>
    <row r="382">
      <c r="A382" s="38" t="n"/>
      <c r="B382" s="39" t="n"/>
      <c r="C382" s="39" t="n"/>
      <c r="D382" s="38" t="n"/>
      <c r="E382" s="38" t="n"/>
      <c r="F382" s="40" t="n"/>
      <c r="G382" s="40" t="n"/>
      <c r="H382" s="41" t="n"/>
      <c r="I382" s="41" t="n"/>
      <c r="J382" s="42" t="n"/>
      <c r="K382" s="42" t="n"/>
      <c r="L382" s="42" t="n"/>
      <c r="M382" s="41" t="n"/>
      <c r="N382" s="41" t="n"/>
      <c r="O382" s="41" t="n"/>
      <c r="P382" s="41" t="n"/>
      <c r="Q382" s="40" t="n"/>
      <c r="R382" s="38" t="n"/>
      <c r="S382" s="38" t="n"/>
      <c r="T382" s="39" t="n"/>
      <c r="U382" s="43" t="n"/>
      <c r="V382" s="44">
        <f>IFERROR(IF($A382="","",MAX($F382-$G382,0)),"")</f>
        <v/>
      </c>
      <c r="W382" s="45">
        <f>IFERROR(IF($A382="","",$H382+$I382),"")</f>
        <v/>
      </c>
      <c r="X382" s="45">
        <f>IFERROR(IF($A382="","",$H382*IF($J382="",'Assumptions'!$B$4,$J382)),"")</f>
        <v/>
      </c>
      <c r="Y382" s="45">
        <f>IFERROR(IF($A382="","",$X382*IF($K382="",'Assumptions'!$B$12,$K382)),"")</f>
        <v/>
      </c>
      <c r="Z382" s="45">
        <f>IFERROR(IF($A382="","",($X382+$Y382)*IF($L382="",'Assumptions'!$B$13,$L382)),"")</f>
        <v/>
      </c>
      <c r="AA382" s="45">
        <f>IFERROR(IF($A382="","",$X382+$Y382+$Z382),"")</f>
        <v/>
      </c>
      <c r="AB382" s="45">
        <f>IFERROR(IF($A382="","",$V382*'Assumptions'!$B$5),"")</f>
        <v/>
      </c>
      <c r="AC382" s="45">
        <f>IFERROR(IF($A382="","",$I382*'Assumptions'!$B$6),"")</f>
        <v/>
      </c>
      <c r="AD382" s="45">
        <f>IFERROR(IF($A382="","",$AB382+$AC382),"")</f>
        <v/>
      </c>
      <c r="AE382" s="45">
        <f>IFERROR(IF($A382="","",($M382+$N382)*'Assumptions'!$B$7),"")</f>
        <v/>
      </c>
      <c r="AF382" s="45">
        <f>IFERROR(IF($A382="","",($Q382/60)*'Assumptions'!$B$8),"")</f>
        <v/>
      </c>
      <c r="AG382" s="45">
        <f>IFERROR(IF($A382="","",$P382+$AE382+$AF382),"")</f>
        <v/>
      </c>
      <c r="AH382" s="45">
        <f>IFERROR(IF($A382="","",$M382+$O382),"")</f>
        <v/>
      </c>
      <c r="AI382" s="46">
        <f>IFERROR(IF($A382="","",IFERROR($AH382/$W382,0)),"")</f>
        <v/>
      </c>
      <c r="AJ382" s="45">
        <f>IFERROR(IF($A382="","",$W382-$AH382-$AD382+$AG382),"")</f>
        <v/>
      </c>
      <c r="AK382" s="47">
        <f>IFERROR(IF($A382="","",IF(OR($S382="Collected",$S382="Waived",$S382="Uncollectible",$S382="No Charge Due"),"",IF($T382="",$B382+'Assumptions'!$B$9,$T382+'Assumptions'!$B$9))),"")</f>
        <v/>
      </c>
      <c r="AL382" s="48">
        <f>IFERROR(IF($A382="","",IF(OR($S382="Collected",$S382="Waived",$S382="Uncollectible",$S382="No Charge Due"),"Closed",IF($AK382&lt;TODAY(),"Overdue",IF($AK382=TODAY(),"Due","Open")))),"")</f>
        <v/>
      </c>
      <c r="AM382" s="49">
        <f>IFERROR(IF($A382="","",IF(COUNTIF($A$5:$A$504,$A382)&gt;1,"Duplicate reservation ID",IF($C382&lt;=$B382,"Check stay dates",IF($G382&gt;$F382,"Resold nights exceed booked nights",IF($M382+$N382&gt;$AA382+0.01,"Collection exceeds expected amount",IF(AND($S382="Collected",$M382=0),"Collected status has no amount",IF($AJ382&gt;='Assumptions'!$B$10,"High-cost review","OK"))))))),"")</f>
        <v/>
      </c>
    </row>
    <row r="383">
      <c r="A383" s="38" t="n"/>
      <c r="B383" s="39" t="n"/>
      <c r="C383" s="39" t="n"/>
      <c r="D383" s="38" t="n"/>
      <c r="E383" s="38" t="n"/>
      <c r="F383" s="40" t="n"/>
      <c r="G383" s="40" t="n"/>
      <c r="H383" s="41" t="n"/>
      <c r="I383" s="41" t="n"/>
      <c r="J383" s="42" t="n"/>
      <c r="K383" s="42" t="n"/>
      <c r="L383" s="42" t="n"/>
      <c r="M383" s="41" t="n"/>
      <c r="N383" s="41" t="n"/>
      <c r="O383" s="41" t="n"/>
      <c r="P383" s="41" t="n"/>
      <c r="Q383" s="40" t="n"/>
      <c r="R383" s="38" t="n"/>
      <c r="S383" s="38" t="n"/>
      <c r="T383" s="39" t="n"/>
      <c r="U383" s="43" t="n"/>
      <c r="V383" s="44">
        <f>IFERROR(IF($A383="","",MAX($F383-$G383,0)),"")</f>
        <v/>
      </c>
      <c r="W383" s="45">
        <f>IFERROR(IF($A383="","",$H383+$I383),"")</f>
        <v/>
      </c>
      <c r="X383" s="45">
        <f>IFERROR(IF($A383="","",$H383*IF($J383="",'Assumptions'!$B$4,$J383)),"")</f>
        <v/>
      </c>
      <c r="Y383" s="45">
        <f>IFERROR(IF($A383="","",$X383*IF($K383="",'Assumptions'!$B$12,$K383)),"")</f>
        <v/>
      </c>
      <c r="Z383" s="45">
        <f>IFERROR(IF($A383="","",($X383+$Y383)*IF($L383="",'Assumptions'!$B$13,$L383)),"")</f>
        <v/>
      </c>
      <c r="AA383" s="45">
        <f>IFERROR(IF($A383="","",$X383+$Y383+$Z383),"")</f>
        <v/>
      </c>
      <c r="AB383" s="45">
        <f>IFERROR(IF($A383="","",$V383*'Assumptions'!$B$5),"")</f>
        <v/>
      </c>
      <c r="AC383" s="45">
        <f>IFERROR(IF($A383="","",$I383*'Assumptions'!$B$6),"")</f>
        <v/>
      </c>
      <c r="AD383" s="45">
        <f>IFERROR(IF($A383="","",$AB383+$AC383),"")</f>
        <v/>
      </c>
      <c r="AE383" s="45">
        <f>IFERROR(IF($A383="","",($M383+$N383)*'Assumptions'!$B$7),"")</f>
        <v/>
      </c>
      <c r="AF383" s="45">
        <f>IFERROR(IF($A383="","",($Q383/60)*'Assumptions'!$B$8),"")</f>
        <v/>
      </c>
      <c r="AG383" s="45">
        <f>IFERROR(IF($A383="","",$P383+$AE383+$AF383),"")</f>
        <v/>
      </c>
      <c r="AH383" s="45">
        <f>IFERROR(IF($A383="","",$M383+$O383),"")</f>
        <v/>
      </c>
      <c r="AI383" s="46">
        <f>IFERROR(IF($A383="","",IFERROR($AH383/$W383,0)),"")</f>
        <v/>
      </c>
      <c r="AJ383" s="45">
        <f>IFERROR(IF($A383="","",$W383-$AH383-$AD383+$AG383),"")</f>
        <v/>
      </c>
      <c r="AK383" s="47">
        <f>IFERROR(IF($A383="","",IF(OR($S383="Collected",$S383="Waived",$S383="Uncollectible",$S383="No Charge Due"),"",IF($T383="",$B383+'Assumptions'!$B$9,$T383+'Assumptions'!$B$9))),"")</f>
        <v/>
      </c>
      <c r="AL383" s="48">
        <f>IFERROR(IF($A383="","",IF(OR($S383="Collected",$S383="Waived",$S383="Uncollectible",$S383="No Charge Due"),"Closed",IF($AK383&lt;TODAY(),"Overdue",IF($AK383=TODAY(),"Due","Open")))),"")</f>
        <v/>
      </c>
      <c r="AM383" s="49">
        <f>IFERROR(IF($A383="","",IF(COUNTIF($A$5:$A$504,$A383)&gt;1,"Duplicate reservation ID",IF($C383&lt;=$B383,"Check stay dates",IF($G383&gt;$F383,"Resold nights exceed booked nights",IF($M383+$N383&gt;$AA383+0.01,"Collection exceeds expected amount",IF(AND($S383="Collected",$M383=0),"Collected status has no amount",IF($AJ383&gt;='Assumptions'!$B$10,"High-cost review","OK"))))))),"")</f>
        <v/>
      </c>
    </row>
    <row r="384">
      <c r="A384" s="38" t="n"/>
      <c r="B384" s="39" t="n"/>
      <c r="C384" s="39" t="n"/>
      <c r="D384" s="38" t="n"/>
      <c r="E384" s="38" t="n"/>
      <c r="F384" s="40" t="n"/>
      <c r="G384" s="40" t="n"/>
      <c r="H384" s="41" t="n"/>
      <c r="I384" s="41" t="n"/>
      <c r="J384" s="42" t="n"/>
      <c r="K384" s="42" t="n"/>
      <c r="L384" s="42" t="n"/>
      <c r="M384" s="41" t="n"/>
      <c r="N384" s="41" t="n"/>
      <c r="O384" s="41" t="n"/>
      <c r="P384" s="41" t="n"/>
      <c r="Q384" s="40" t="n"/>
      <c r="R384" s="38" t="n"/>
      <c r="S384" s="38" t="n"/>
      <c r="T384" s="39" t="n"/>
      <c r="U384" s="43" t="n"/>
      <c r="V384" s="44">
        <f>IFERROR(IF($A384="","",MAX($F384-$G384,0)),"")</f>
        <v/>
      </c>
      <c r="W384" s="45">
        <f>IFERROR(IF($A384="","",$H384+$I384),"")</f>
        <v/>
      </c>
      <c r="X384" s="45">
        <f>IFERROR(IF($A384="","",$H384*IF($J384="",'Assumptions'!$B$4,$J384)),"")</f>
        <v/>
      </c>
      <c r="Y384" s="45">
        <f>IFERROR(IF($A384="","",$X384*IF($K384="",'Assumptions'!$B$12,$K384)),"")</f>
        <v/>
      </c>
      <c r="Z384" s="45">
        <f>IFERROR(IF($A384="","",($X384+$Y384)*IF($L384="",'Assumptions'!$B$13,$L384)),"")</f>
        <v/>
      </c>
      <c r="AA384" s="45">
        <f>IFERROR(IF($A384="","",$X384+$Y384+$Z384),"")</f>
        <v/>
      </c>
      <c r="AB384" s="45">
        <f>IFERROR(IF($A384="","",$V384*'Assumptions'!$B$5),"")</f>
        <v/>
      </c>
      <c r="AC384" s="45">
        <f>IFERROR(IF($A384="","",$I384*'Assumptions'!$B$6),"")</f>
        <v/>
      </c>
      <c r="AD384" s="45">
        <f>IFERROR(IF($A384="","",$AB384+$AC384),"")</f>
        <v/>
      </c>
      <c r="AE384" s="45">
        <f>IFERROR(IF($A384="","",($M384+$N384)*'Assumptions'!$B$7),"")</f>
        <v/>
      </c>
      <c r="AF384" s="45">
        <f>IFERROR(IF($A384="","",($Q384/60)*'Assumptions'!$B$8),"")</f>
        <v/>
      </c>
      <c r="AG384" s="45">
        <f>IFERROR(IF($A384="","",$P384+$AE384+$AF384),"")</f>
        <v/>
      </c>
      <c r="AH384" s="45">
        <f>IFERROR(IF($A384="","",$M384+$O384),"")</f>
        <v/>
      </c>
      <c r="AI384" s="46">
        <f>IFERROR(IF($A384="","",IFERROR($AH384/$W384,0)),"")</f>
        <v/>
      </c>
      <c r="AJ384" s="45">
        <f>IFERROR(IF($A384="","",$W384-$AH384-$AD384+$AG384),"")</f>
        <v/>
      </c>
      <c r="AK384" s="47">
        <f>IFERROR(IF($A384="","",IF(OR($S384="Collected",$S384="Waived",$S384="Uncollectible",$S384="No Charge Due"),"",IF($T384="",$B384+'Assumptions'!$B$9,$T384+'Assumptions'!$B$9))),"")</f>
        <v/>
      </c>
      <c r="AL384" s="48">
        <f>IFERROR(IF($A384="","",IF(OR($S384="Collected",$S384="Waived",$S384="Uncollectible",$S384="No Charge Due"),"Closed",IF($AK384&lt;TODAY(),"Overdue",IF($AK384=TODAY(),"Due","Open")))),"")</f>
        <v/>
      </c>
      <c r="AM384" s="49">
        <f>IFERROR(IF($A384="","",IF(COUNTIF($A$5:$A$504,$A384)&gt;1,"Duplicate reservation ID",IF($C384&lt;=$B384,"Check stay dates",IF($G384&gt;$F384,"Resold nights exceed booked nights",IF($M384+$N384&gt;$AA384+0.01,"Collection exceeds expected amount",IF(AND($S384="Collected",$M384=0),"Collected status has no amount",IF($AJ384&gt;='Assumptions'!$B$10,"High-cost review","OK"))))))),"")</f>
        <v/>
      </c>
    </row>
    <row r="385">
      <c r="A385" s="38" t="n"/>
      <c r="B385" s="39" t="n"/>
      <c r="C385" s="39" t="n"/>
      <c r="D385" s="38" t="n"/>
      <c r="E385" s="38" t="n"/>
      <c r="F385" s="40" t="n"/>
      <c r="G385" s="40" t="n"/>
      <c r="H385" s="41" t="n"/>
      <c r="I385" s="41" t="n"/>
      <c r="J385" s="42" t="n"/>
      <c r="K385" s="42" t="n"/>
      <c r="L385" s="42" t="n"/>
      <c r="M385" s="41" t="n"/>
      <c r="N385" s="41" t="n"/>
      <c r="O385" s="41" t="n"/>
      <c r="P385" s="41" t="n"/>
      <c r="Q385" s="40" t="n"/>
      <c r="R385" s="38" t="n"/>
      <c r="S385" s="38" t="n"/>
      <c r="T385" s="39" t="n"/>
      <c r="U385" s="43" t="n"/>
      <c r="V385" s="44">
        <f>IFERROR(IF($A385="","",MAX($F385-$G385,0)),"")</f>
        <v/>
      </c>
      <c r="W385" s="45">
        <f>IFERROR(IF($A385="","",$H385+$I385),"")</f>
        <v/>
      </c>
      <c r="X385" s="45">
        <f>IFERROR(IF($A385="","",$H385*IF($J385="",'Assumptions'!$B$4,$J385)),"")</f>
        <v/>
      </c>
      <c r="Y385" s="45">
        <f>IFERROR(IF($A385="","",$X385*IF($K385="",'Assumptions'!$B$12,$K385)),"")</f>
        <v/>
      </c>
      <c r="Z385" s="45">
        <f>IFERROR(IF($A385="","",($X385+$Y385)*IF($L385="",'Assumptions'!$B$13,$L385)),"")</f>
        <v/>
      </c>
      <c r="AA385" s="45">
        <f>IFERROR(IF($A385="","",$X385+$Y385+$Z385),"")</f>
        <v/>
      </c>
      <c r="AB385" s="45">
        <f>IFERROR(IF($A385="","",$V385*'Assumptions'!$B$5),"")</f>
        <v/>
      </c>
      <c r="AC385" s="45">
        <f>IFERROR(IF($A385="","",$I385*'Assumptions'!$B$6),"")</f>
        <v/>
      </c>
      <c r="AD385" s="45">
        <f>IFERROR(IF($A385="","",$AB385+$AC385),"")</f>
        <v/>
      </c>
      <c r="AE385" s="45">
        <f>IFERROR(IF($A385="","",($M385+$N385)*'Assumptions'!$B$7),"")</f>
        <v/>
      </c>
      <c r="AF385" s="45">
        <f>IFERROR(IF($A385="","",($Q385/60)*'Assumptions'!$B$8),"")</f>
        <v/>
      </c>
      <c r="AG385" s="45">
        <f>IFERROR(IF($A385="","",$P385+$AE385+$AF385),"")</f>
        <v/>
      </c>
      <c r="AH385" s="45">
        <f>IFERROR(IF($A385="","",$M385+$O385),"")</f>
        <v/>
      </c>
      <c r="AI385" s="46">
        <f>IFERROR(IF($A385="","",IFERROR($AH385/$W385,0)),"")</f>
        <v/>
      </c>
      <c r="AJ385" s="45">
        <f>IFERROR(IF($A385="","",$W385-$AH385-$AD385+$AG385),"")</f>
        <v/>
      </c>
      <c r="AK385" s="47">
        <f>IFERROR(IF($A385="","",IF(OR($S385="Collected",$S385="Waived",$S385="Uncollectible",$S385="No Charge Due"),"",IF($T385="",$B385+'Assumptions'!$B$9,$T385+'Assumptions'!$B$9))),"")</f>
        <v/>
      </c>
      <c r="AL385" s="48">
        <f>IFERROR(IF($A385="","",IF(OR($S385="Collected",$S385="Waived",$S385="Uncollectible",$S385="No Charge Due"),"Closed",IF($AK385&lt;TODAY(),"Overdue",IF($AK385=TODAY(),"Due","Open")))),"")</f>
        <v/>
      </c>
      <c r="AM385" s="49">
        <f>IFERROR(IF($A385="","",IF(COUNTIF($A$5:$A$504,$A385)&gt;1,"Duplicate reservation ID",IF($C385&lt;=$B385,"Check stay dates",IF($G385&gt;$F385,"Resold nights exceed booked nights",IF($M385+$N385&gt;$AA385+0.01,"Collection exceeds expected amount",IF(AND($S385="Collected",$M385=0),"Collected status has no amount",IF($AJ385&gt;='Assumptions'!$B$10,"High-cost review","OK"))))))),"")</f>
        <v/>
      </c>
    </row>
    <row r="386">
      <c r="A386" s="38" t="n"/>
      <c r="B386" s="39" t="n"/>
      <c r="C386" s="39" t="n"/>
      <c r="D386" s="38" t="n"/>
      <c r="E386" s="38" t="n"/>
      <c r="F386" s="40" t="n"/>
      <c r="G386" s="40" t="n"/>
      <c r="H386" s="41" t="n"/>
      <c r="I386" s="41" t="n"/>
      <c r="J386" s="42" t="n"/>
      <c r="K386" s="42" t="n"/>
      <c r="L386" s="42" t="n"/>
      <c r="M386" s="41" t="n"/>
      <c r="N386" s="41" t="n"/>
      <c r="O386" s="41" t="n"/>
      <c r="P386" s="41" t="n"/>
      <c r="Q386" s="40" t="n"/>
      <c r="R386" s="38" t="n"/>
      <c r="S386" s="38" t="n"/>
      <c r="T386" s="39" t="n"/>
      <c r="U386" s="43" t="n"/>
      <c r="V386" s="44">
        <f>IFERROR(IF($A386="","",MAX($F386-$G386,0)),"")</f>
        <v/>
      </c>
      <c r="W386" s="45">
        <f>IFERROR(IF($A386="","",$H386+$I386),"")</f>
        <v/>
      </c>
      <c r="X386" s="45">
        <f>IFERROR(IF($A386="","",$H386*IF($J386="",'Assumptions'!$B$4,$J386)),"")</f>
        <v/>
      </c>
      <c r="Y386" s="45">
        <f>IFERROR(IF($A386="","",$X386*IF($K386="",'Assumptions'!$B$12,$K386)),"")</f>
        <v/>
      </c>
      <c r="Z386" s="45">
        <f>IFERROR(IF($A386="","",($X386+$Y386)*IF($L386="",'Assumptions'!$B$13,$L386)),"")</f>
        <v/>
      </c>
      <c r="AA386" s="45">
        <f>IFERROR(IF($A386="","",$X386+$Y386+$Z386),"")</f>
        <v/>
      </c>
      <c r="AB386" s="45">
        <f>IFERROR(IF($A386="","",$V386*'Assumptions'!$B$5),"")</f>
        <v/>
      </c>
      <c r="AC386" s="45">
        <f>IFERROR(IF($A386="","",$I386*'Assumptions'!$B$6),"")</f>
        <v/>
      </c>
      <c r="AD386" s="45">
        <f>IFERROR(IF($A386="","",$AB386+$AC386),"")</f>
        <v/>
      </c>
      <c r="AE386" s="45">
        <f>IFERROR(IF($A386="","",($M386+$N386)*'Assumptions'!$B$7),"")</f>
        <v/>
      </c>
      <c r="AF386" s="45">
        <f>IFERROR(IF($A386="","",($Q386/60)*'Assumptions'!$B$8),"")</f>
        <v/>
      </c>
      <c r="AG386" s="45">
        <f>IFERROR(IF($A386="","",$P386+$AE386+$AF386),"")</f>
        <v/>
      </c>
      <c r="AH386" s="45">
        <f>IFERROR(IF($A386="","",$M386+$O386),"")</f>
        <v/>
      </c>
      <c r="AI386" s="46">
        <f>IFERROR(IF($A386="","",IFERROR($AH386/$W386,0)),"")</f>
        <v/>
      </c>
      <c r="AJ386" s="45">
        <f>IFERROR(IF($A386="","",$W386-$AH386-$AD386+$AG386),"")</f>
        <v/>
      </c>
      <c r="AK386" s="47">
        <f>IFERROR(IF($A386="","",IF(OR($S386="Collected",$S386="Waived",$S386="Uncollectible",$S386="No Charge Due"),"",IF($T386="",$B386+'Assumptions'!$B$9,$T386+'Assumptions'!$B$9))),"")</f>
        <v/>
      </c>
      <c r="AL386" s="48">
        <f>IFERROR(IF($A386="","",IF(OR($S386="Collected",$S386="Waived",$S386="Uncollectible",$S386="No Charge Due"),"Closed",IF($AK386&lt;TODAY(),"Overdue",IF($AK386=TODAY(),"Due","Open")))),"")</f>
        <v/>
      </c>
      <c r="AM386" s="49">
        <f>IFERROR(IF($A386="","",IF(COUNTIF($A$5:$A$504,$A386)&gt;1,"Duplicate reservation ID",IF($C386&lt;=$B386,"Check stay dates",IF($G386&gt;$F386,"Resold nights exceed booked nights",IF($M386+$N386&gt;$AA386+0.01,"Collection exceeds expected amount",IF(AND($S386="Collected",$M386=0),"Collected status has no amount",IF($AJ386&gt;='Assumptions'!$B$10,"High-cost review","OK"))))))),"")</f>
        <v/>
      </c>
    </row>
    <row r="387">
      <c r="A387" s="38" t="n"/>
      <c r="B387" s="39" t="n"/>
      <c r="C387" s="39" t="n"/>
      <c r="D387" s="38" t="n"/>
      <c r="E387" s="38" t="n"/>
      <c r="F387" s="40" t="n"/>
      <c r="G387" s="40" t="n"/>
      <c r="H387" s="41" t="n"/>
      <c r="I387" s="41" t="n"/>
      <c r="J387" s="42" t="n"/>
      <c r="K387" s="42" t="n"/>
      <c r="L387" s="42" t="n"/>
      <c r="M387" s="41" t="n"/>
      <c r="N387" s="41" t="n"/>
      <c r="O387" s="41" t="n"/>
      <c r="P387" s="41" t="n"/>
      <c r="Q387" s="40" t="n"/>
      <c r="R387" s="38" t="n"/>
      <c r="S387" s="38" t="n"/>
      <c r="T387" s="39" t="n"/>
      <c r="U387" s="43" t="n"/>
      <c r="V387" s="44">
        <f>IFERROR(IF($A387="","",MAX($F387-$G387,0)),"")</f>
        <v/>
      </c>
      <c r="W387" s="45">
        <f>IFERROR(IF($A387="","",$H387+$I387),"")</f>
        <v/>
      </c>
      <c r="X387" s="45">
        <f>IFERROR(IF($A387="","",$H387*IF($J387="",'Assumptions'!$B$4,$J387)),"")</f>
        <v/>
      </c>
      <c r="Y387" s="45">
        <f>IFERROR(IF($A387="","",$X387*IF($K387="",'Assumptions'!$B$12,$K387)),"")</f>
        <v/>
      </c>
      <c r="Z387" s="45">
        <f>IFERROR(IF($A387="","",($X387+$Y387)*IF($L387="",'Assumptions'!$B$13,$L387)),"")</f>
        <v/>
      </c>
      <c r="AA387" s="45">
        <f>IFERROR(IF($A387="","",$X387+$Y387+$Z387),"")</f>
        <v/>
      </c>
      <c r="AB387" s="45">
        <f>IFERROR(IF($A387="","",$V387*'Assumptions'!$B$5),"")</f>
        <v/>
      </c>
      <c r="AC387" s="45">
        <f>IFERROR(IF($A387="","",$I387*'Assumptions'!$B$6),"")</f>
        <v/>
      </c>
      <c r="AD387" s="45">
        <f>IFERROR(IF($A387="","",$AB387+$AC387),"")</f>
        <v/>
      </c>
      <c r="AE387" s="45">
        <f>IFERROR(IF($A387="","",($M387+$N387)*'Assumptions'!$B$7),"")</f>
        <v/>
      </c>
      <c r="AF387" s="45">
        <f>IFERROR(IF($A387="","",($Q387/60)*'Assumptions'!$B$8),"")</f>
        <v/>
      </c>
      <c r="AG387" s="45">
        <f>IFERROR(IF($A387="","",$P387+$AE387+$AF387),"")</f>
        <v/>
      </c>
      <c r="AH387" s="45">
        <f>IFERROR(IF($A387="","",$M387+$O387),"")</f>
        <v/>
      </c>
      <c r="AI387" s="46">
        <f>IFERROR(IF($A387="","",IFERROR($AH387/$W387,0)),"")</f>
        <v/>
      </c>
      <c r="AJ387" s="45">
        <f>IFERROR(IF($A387="","",$W387-$AH387-$AD387+$AG387),"")</f>
        <v/>
      </c>
      <c r="AK387" s="47">
        <f>IFERROR(IF($A387="","",IF(OR($S387="Collected",$S387="Waived",$S387="Uncollectible",$S387="No Charge Due"),"",IF($T387="",$B387+'Assumptions'!$B$9,$T387+'Assumptions'!$B$9))),"")</f>
        <v/>
      </c>
      <c r="AL387" s="48">
        <f>IFERROR(IF($A387="","",IF(OR($S387="Collected",$S387="Waived",$S387="Uncollectible",$S387="No Charge Due"),"Closed",IF($AK387&lt;TODAY(),"Overdue",IF($AK387=TODAY(),"Due","Open")))),"")</f>
        <v/>
      </c>
      <c r="AM387" s="49">
        <f>IFERROR(IF($A387="","",IF(COUNTIF($A$5:$A$504,$A387)&gt;1,"Duplicate reservation ID",IF($C387&lt;=$B387,"Check stay dates",IF($G387&gt;$F387,"Resold nights exceed booked nights",IF($M387+$N387&gt;$AA387+0.01,"Collection exceeds expected amount",IF(AND($S387="Collected",$M387=0),"Collected status has no amount",IF($AJ387&gt;='Assumptions'!$B$10,"High-cost review","OK"))))))),"")</f>
        <v/>
      </c>
    </row>
    <row r="388">
      <c r="A388" s="38" t="n"/>
      <c r="B388" s="39" t="n"/>
      <c r="C388" s="39" t="n"/>
      <c r="D388" s="38" t="n"/>
      <c r="E388" s="38" t="n"/>
      <c r="F388" s="40" t="n"/>
      <c r="G388" s="40" t="n"/>
      <c r="H388" s="41" t="n"/>
      <c r="I388" s="41" t="n"/>
      <c r="J388" s="42" t="n"/>
      <c r="K388" s="42" t="n"/>
      <c r="L388" s="42" t="n"/>
      <c r="M388" s="41" t="n"/>
      <c r="N388" s="41" t="n"/>
      <c r="O388" s="41" t="n"/>
      <c r="P388" s="41" t="n"/>
      <c r="Q388" s="40" t="n"/>
      <c r="R388" s="38" t="n"/>
      <c r="S388" s="38" t="n"/>
      <c r="T388" s="39" t="n"/>
      <c r="U388" s="43" t="n"/>
      <c r="V388" s="44">
        <f>IFERROR(IF($A388="","",MAX($F388-$G388,0)),"")</f>
        <v/>
      </c>
      <c r="W388" s="45">
        <f>IFERROR(IF($A388="","",$H388+$I388),"")</f>
        <v/>
      </c>
      <c r="X388" s="45">
        <f>IFERROR(IF($A388="","",$H388*IF($J388="",'Assumptions'!$B$4,$J388)),"")</f>
        <v/>
      </c>
      <c r="Y388" s="45">
        <f>IFERROR(IF($A388="","",$X388*IF($K388="",'Assumptions'!$B$12,$K388)),"")</f>
        <v/>
      </c>
      <c r="Z388" s="45">
        <f>IFERROR(IF($A388="","",($X388+$Y388)*IF($L388="",'Assumptions'!$B$13,$L388)),"")</f>
        <v/>
      </c>
      <c r="AA388" s="45">
        <f>IFERROR(IF($A388="","",$X388+$Y388+$Z388),"")</f>
        <v/>
      </c>
      <c r="AB388" s="45">
        <f>IFERROR(IF($A388="","",$V388*'Assumptions'!$B$5),"")</f>
        <v/>
      </c>
      <c r="AC388" s="45">
        <f>IFERROR(IF($A388="","",$I388*'Assumptions'!$B$6),"")</f>
        <v/>
      </c>
      <c r="AD388" s="45">
        <f>IFERROR(IF($A388="","",$AB388+$AC388),"")</f>
        <v/>
      </c>
      <c r="AE388" s="45">
        <f>IFERROR(IF($A388="","",($M388+$N388)*'Assumptions'!$B$7),"")</f>
        <v/>
      </c>
      <c r="AF388" s="45">
        <f>IFERROR(IF($A388="","",($Q388/60)*'Assumptions'!$B$8),"")</f>
        <v/>
      </c>
      <c r="AG388" s="45">
        <f>IFERROR(IF($A388="","",$P388+$AE388+$AF388),"")</f>
        <v/>
      </c>
      <c r="AH388" s="45">
        <f>IFERROR(IF($A388="","",$M388+$O388),"")</f>
        <v/>
      </c>
      <c r="AI388" s="46">
        <f>IFERROR(IF($A388="","",IFERROR($AH388/$W388,0)),"")</f>
        <v/>
      </c>
      <c r="AJ388" s="45">
        <f>IFERROR(IF($A388="","",$W388-$AH388-$AD388+$AG388),"")</f>
        <v/>
      </c>
      <c r="AK388" s="47">
        <f>IFERROR(IF($A388="","",IF(OR($S388="Collected",$S388="Waived",$S388="Uncollectible",$S388="No Charge Due"),"",IF($T388="",$B388+'Assumptions'!$B$9,$T388+'Assumptions'!$B$9))),"")</f>
        <v/>
      </c>
      <c r="AL388" s="48">
        <f>IFERROR(IF($A388="","",IF(OR($S388="Collected",$S388="Waived",$S388="Uncollectible",$S388="No Charge Due"),"Closed",IF($AK388&lt;TODAY(),"Overdue",IF($AK388=TODAY(),"Due","Open")))),"")</f>
        <v/>
      </c>
      <c r="AM388" s="49">
        <f>IFERROR(IF($A388="","",IF(COUNTIF($A$5:$A$504,$A388)&gt;1,"Duplicate reservation ID",IF($C388&lt;=$B388,"Check stay dates",IF($G388&gt;$F388,"Resold nights exceed booked nights",IF($M388+$N388&gt;$AA388+0.01,"Collection exceeds expected amount",IF(AND($S388="Collected",$M388=0),"Collected status has no amount",IF($AJ388&gt;='Assumptions'!$B$10,"High-cost review","OK"))))))),"")</f>
        <v/>
      </c>
    </row>
    <row r="389">
      <c r="A389" s="38" t="n"/>
      <c r="B389" s="39" t="n"/>
      <c r="C389" s="39" t="n"/>
      <c r="D389" s="38" t="n"/>
      <c r="E389" s="38" t="n"/>
      <c r="F389" s="40" t="n"/>
      <c r="G389" s="40" t="n"/>
      <c r="H389" s="41" t="n"/>
      <c r="I389" s="41" t="n"/>
      <c r="J389" s="42" t="n"/>
      <c r="K389" s="42" t="n"/>
      <c r="L389" s="42" t="n"/>
      <c r="M389" s="41" t="n"/>
      <c r="N389" s="41" t="n"/>
      <c r="O389" s="41" t="n"/>
      <c r="P389" s="41" t="n"/>
      <c r="Q389" s="40" t="n"/>
      <c r="R389" s="38" t="n"/>
      <c r="S389" s="38" t="n"/>
      <c r="T389" s="39" t="n"/>
      <c r="U389" s="43" t="n"/>
      <c r="V389" s="44">
        <f>IFERROR(IF($A389="","",MAX($F389-$G389,0)),"")</f>
        <v/>
      </c>
      <c r="W389" s="45">
        <f>IFERROR(IF($A389="","",$H389+$I389),"")</f>
        <v/>
      </c>
      <c r="X389" s="45">
        <f>IFERROR(IF($A389="","",$H389*IF($J389="",'Assumptions'!$B$4,$J389)),"")</f>
        <v/>
      </c>
      <c r="Y389" s="45">
        <f>IFERROR(IF($A389="","",$X389*IF($K389="",'Assumptions'!$B$12,$K389)),"")</f>
        <v/>
      </c>
      <c r="Z389" s="45">
        <f>IFERROR(IF($A389="","",($X389+$Y389)*IF($L389="",'Assumptions'!$B$13,$L389)),"")</f>
        <v/>
      </c>
      <c r="AA389" s="45">
        <f>IFERROR(IF($A389="","",$X389+$Y389+$Z389),"")</f>
        <v/>
      </c>
      <c r="AB389" s="45">
        <f>IFERROR(IF($A389="","",$V389*'Assumptions'!$B$5),"")</f>
        <v/>
      </c>
      <c r="AC389" s="45">
        <f>IFERROR(IF($A389="","",$I389*'Assumptions'!$B$6),"")</f>
        <v/>
      </c>
      <c r="AD389" s="45">
        <f>IFERROR(IF($A389="","",$AB389+$AC389),"")</f>
        <v/>
      </c>
      <c r="AE389" s="45">
        <f>IFERROR(IF($A389="","",($M389+$N389)*'Assumptions'!$B$7),"")</f>
        <v/>
      </c>
      <c r="AF389" s="45">
        <f>IFERROR(IF($A389="","",($Q389/60)*'Assumptions'!$B$8),"")</f>
        <v/>
      </c>
      <c r="AG389" s="45">
        <f>IFERROR(IF($A389="","",$P389+$AE389+$AF389),"")</f>
        <v/>
      </c>
      <c r="AH389" s="45">
        <f>IFERROR(IF($A389="","",$M389+$O389),"")</f>
        <v/>
      </c>
      <c r="AI389" s="46">
        <f>IFERROR(IF($A389="","",IFERROR($AH389/$W389,0)),"")</f>
        <v/>
      </c>
      <c r="AJ389" s="45">
        <f>IFERROR(IF($A389="","",$W389-$AH389-$AD389+$AG389),"")</f>
        <v/>
      </c>
      <c r="AK389" s="47">
        <f>IFERROR(IF($A389="","",IF(OR($S389="Collected",$S389="Waived",$S389="Uncollectible",$S389="No Charge Due"),"",IF($T389="",$B389+'Assumptions'!$B$9,$T389+'Assumptions'!$B$9))),"")</f>
        <v/>
      </c>
      <c r="AL389" s="48">
        <f>IFERROR(IF($A389="","",IF(OR($S389="Collected",$S389="Waived",$S389="Uncollectible",$S389="No Charge Due"),"Closed",IF($AK389&lt;TODAY(),"Overdue",IF($AK389=TODAY(),"Due","Open")))),"")</f>
        <v/>
      </c>
      <c r="AM389" s="49">
        <f>IFERROR(IF($A389="","",IF(COUNTIF($A$5:$A$504,$A389)&gt;1,"Duplicate reservation ID",IF($C389&lt;=$B389,"Check stay dates",IF($G389&gt;$F389,"Resold nights exceed booked nights",IF($M389+$N389&gt;$AA389+0.01,"Collection exceeds expected amount",IF(AND($S389="Collected",$M389=0),"Collected status has no amount",IF($AJ389&gt;='Assumptions'!$B$10,"High-cost review","OK"))))))),"")</f>
        <v/>
      </c>
    </row>
    <row r="390">
      <c r="A390" s="38" t="n"/>
      <c r="B390" s="39" t="n"/>
      <c r="C390" s="39" t="n"/>
      <c r="D390" s="38" t="n"/>
      <c r="E390" s="38" t="n"/>
      <c r="F390" s="40" t="n"/>
      <c r="G390" s="40" t="n"/>
      <c r="H390" s="41" t="n"/>
      <c r="I390" s="41" t="n"/>
      <c r="J390" s="42" t="n"/>
      <c r="K390" s="42" t="n"/>
      <c r="L390" s="42" t="n"/>
      <c r="M390" s="41" t="n"/>
      <c r="N390" s="41" t="n"/>
      <c r="O390" s="41" t="n"/>
      <c r="P390" s="41" t="n"/>
      <c r="Q390" s="40" t="n"/>
      <c r="R390" s="38" t="n"/>
      <c r="S390" s="38" t="n"/>
      <c r="T390" s="39" t="n"/>
      <c r="U390" s="43" t="n"/>
      <c r="V390" s="44">
        <f>IFERROR(IF($A390="","",MAX($F390-$G390,0)),"")</f>
        <v/>
      </c>
      <c r="W390" s="45">
        <f>IFERROR(IF($A390="","",$H390+$I390),"")</f>
        <v/>
      </c>
      <c r="X390" s="45">
        <f>IFERROR(IF($A390="","",$H390*IF($J390="",'Assumptions'!$B$4,$J390)),"")</f>
        <v/>
      </c>
      <c r="Y390" s="45">
        <f>IFERROR(IF($A390="","",$X390*IF($K390="",'Assumptions'!$B$12,$K390)),"")</f>
        <v/>
      </c>
      <c r="Z390" s="45">
        <f>IFERROR(IF($A390="","",($X390+$Y390)*IF($L390="",'Assumptions'!$B$13,$L390)),"")</f>
        <v/>
      </c>
      <c r="AA390" s="45">
        <f>IFERROR(IF($A390="","",$X390+$Y390+$Z390),"")</f>
        <v/>
      </c>
      <c r="AB390" s="45">
        <f>IFERROR(IF($A390="","",$V390*'Assumptions'!$B$5),"")</f>
        <v/>
      </c>
      <c r="AC390" s="45">
        <f>IFERROR(IF($A390="","",$I390*'Assumptions'!$B$6),"")</f>
        <v/>
      </c>
      <c r="AD390" s="45">
        <f>IFERROR(IF($A390="","",$AB390+$AC390),"")</f>
        <v/>
      </c>
      <c r="AE390" s="45">
        <f>IFERROR(IF($A390="","",($M390+$N390)*'Assumptions'!$B$7),"")</f>
        <v/>
      </c>
      <c r="AF390" s="45">
        <f>IFERROR(IF($A390="","",($Q390/60)*'Assumptions'!$B$8),"")</f>
        <v/>
      </c>
      <c r="AG390" s="45">
        <f>IFERROR(IF($A390="","",$P390+$AE390+$AF390),"")</f>
        <v/>
      </c>
      <c r="AH390" s="45">
        <f>IFERROR(IF($A390="","",$M390+$O390),"")</f>
        <v/>
      </c>
      <c r="AI390" s="46">
        <f>IFERROR(IF($A390="","",IFERROR($AH390/$W390,0)),"")</f>
        <v/>
      </c>
      <c r="AJ390" s="45">
        <f>IFERROR(IF($A390="","",$W390-$AH390-$AD390+$AG390),"")</f>
        <v/>
      </c>
      <c r="AK390" s="47">
        <f>IFERROR(IF($A390="","",IF(OR($S390="Collected",$S390="Waived",$S390="Uncollectible",$S390="No Charge Due"),"",IF($T390="",$B390+'Assumptions'!$B$9,$T390+'Assumptions'!$B$9))),"")</f>
        <v/>
      </c>
      <c r="AL390" s="48">
        <f>IFERROR(IF($A390="","",IF(OR($S390="Collected",$S390="Waived",$S390="Uncollectible",$S390="No Charge Due"),"Closed",IF($AK390&lt;TODAY(),"Overdue",IF($AK390=TODAY(),"Due","Open")))),"")</f>
        <v/>
      </c>
      <c r="AM390" s="49">
        <f>IFERROR(IF($A390="","",IF(COUNTIF($A$5:$A$504,$A390)&gt;1,"Duplicate reservation ID",IF($C390&lt;=$B390,"Check stay dates",IF($G390&gt;$F390,"Resold nights exceed booked nights",IF($M390+$N390&gt;$AA390+0.01,"Collection exceeds expected amount",IF(AND($S390="Collected",$M390=0),"Collected status has no amount",IF($AJ390&gt;='Assumptions'!$B$10,"High-cost review","OK"))))))),"")</f>
        <v/>
      </c>
    </row>
    <row r="391">
      <c r="A391" s="38" t="n"/>
      <c r="B391" s="39" t="n"/>
      <c r="C391" s="39" t="n"/>
      <c r="D391" s="38" t="n"/>
      <c r="E391" s="38" t="n"/>
      <c r="F391" s="40" t="n"/>
      <c r="G391" s="40" t="n"/>
      <c r="H391" s="41" t="n"/>
      <c r="I391" s="41" t="n"/>
      <c r="J391" s="42" t="n"/>
      <c r="K391" s="42" t="n"/>
      <c r="L391" s="42" t="n"/>
      <c r="M391" s="41" t="n"/>
      <c r="N391" s="41" t="n"/>
      <c r="O391" s="41" t="n"/>
      <c r="P391" s="41" t="n"/>
      <c r="Q391" s="40" t="n"/>
      <c r="R391" s="38" t="n"/>
      <c r="S391" s="38" t="n"/>
      <c r="T391" s="39" t="n"/>
      <c r="U391" s="43" t="n"/>
      <c r="V391" s="44">
        <f>IFERROR(IF($A391="","",MAX($F391-$G391,0)),"")</f>
        <v/>
      </c>
      <c r="W391" s="45">
        <f>IFERROR(IF($A391="","",$H391+$I391),"")</f>
        <v/>
      </c>
      <c r="X391" s="45">
        <f>IFERROR(IF($A391="","",$H391*IF($J391="",'Assumptions'!$B$4,$J391)),"")</f>
        <v/>
      </c>
      <c r="Y391" s="45">
        <f>IFERROR(IF($A391="","",$X391*IF($K391="",'Assumptions'!$B$12,$K391)),"")</f>
        <v/>
      </c>
      <c r="Z391" s="45">
        <f>IFERROR(IF($A391="","",($X391+$Y391)*IF($L391="",'Assumptions'!$B$13,$L391)),"")</f>
        <v/>
      </c>
      <c r="AA391" s="45">
        <f>IFERROR(IF($A391="","",$X391+$Y391+$Z391),"")</f>
        <v/>
      </c>
      <c r="AB391" s="45">
        <f>IFERROR(IF($A391="","",$V391*'Assumptions'!$B$5),"")</f>
        <v/>
      </c>
      <c r="AC391" s="45">
        <f>IFERROR(IF($A391="","",$I391*'Assumptions'!$B$6),"")</f>
        <v/>
      </c>
      <c r="AD391" s="45">
        <f>IFERROR(IF($A391="","",$AB391+$AC391),"")</f>
        <v/>
      </c>
      <c r="AE391" s="45">
        <f>IFERROR(IF($A391="","",($M391+$N391)*'Assumptions'!$B$7),"")</f>
        <v/>
      </c>
      <c r="AF391" s="45">
        <f>IFERROR(IF($A391="","",($Q391/60)*'Assumptions'!$B$8),"")</f>
        <v/>
      </c>
      <c r="AG391" s="45">
        <f>IFERROR(IF($A391="","",$P391+$AE391+$AF391),"")</f>
        <v/>
      </c>
      <c r="AH391" s="45">
        <f>IFERROR(IF($A391="","",$M391+$O391),"")</f>
        <v/>
      </c>
      <c r="AI391" s="46">
        <f>IFERROR(IF($A391="","",IFERROR($AH391/$W391,0)),"")</f>
        <v/>
      </c>
      <c r="AJ391" s="45">
        <f>IFERROR(IF($A391="","",$W391-$AH391-$AD391+$AG391),"")</f>
        <v/>
      </c>
      <c r="AK391" s="47">
        <f>IFERROR(IF($A391="","",IF(OR($S391="Collected",$S391="Waived",$S391="Uncollectible",$S391="No Charge Due"),"",IF($T391="",$B391+'Assumptions'!$B$9,$T391+'Assumptions'!$B$9))),"")</f>
        <v/>
      </c>
      <c r="AL391" s="48">
        <f>IFERROR(IF($A391="","",IF(OR($S391="Collected",$S391="Waived",$S391="Uncollectible",$S391="No Charge Due"),"Closed",IF($AK391&lt;TODAY(),"Overdue",IF($AK391=TODAY(),"Due","Open")))),"")</f>
        <v/>
      </c>
      <c r="AM391" s="49">
        <f>IFERROR(IF($A391="","",IF(COUNTIF($A$5:$A$504,$A391)&gt;1,"Duplicate reservation ID",IF($C391&lt;=$B391,"Check stay dates",IF($G391&gt;$F391,"Resold nights exceed booked nights",IF($M391+$N391&gt;$AA391+0.01,"Collection exceeds expected amount",IF(AND($S391="Collected",$M391=0),"Collected status has no amount",IF($AJ391&gt;='Assumptions'!$B$10,"High-cost review","OK"))))))),"")</f>
        <v/>
      </c>
    </row>
    <row r="392">
      <c r="A392" s="38" t="n"/>
      <c r="B392" s="39" t="n"/>
      <c r="C392" s="39" t="n"/>
      <c r="D392" s="38" t="n"/>
      <c r="E392" s="38" t="n"/>
      <c r="F392" s="40" t="n"/>
      <c r="G392" s="40" t="n"/>
      <c r="H392" s="41" t="n"/>
      <c r="I392" s="41" t="n"/>
      <c r="J392" s="42" t="n"/>
      <c r="K392" s="42" t="n"/>
      <c r="L392" s="42" t="n"/>
      <c r="M392" s="41" t="n"/>
      <c r="N392" s="41" t="n"/>
      <c r="O392" s="41" t="n"/>
      <c r="P392" s="41" t="n"/>
      <c r="Q392" s="40" t="n"/>
      <c r="R392" s="38" t="n"/>
      <c r="S392" s="38" t="n"/>
      <c r="T392" s="39" t="n"/>
      <c r="U392" s="43" t="n"/>
      <c r="V392" s="44">
        <f>IFERROR(IF($A392="","",MAX($F392-$G392,0)),"")</f>
        <v/>
      </c>
      <c r="W392" s="45">
        <f>IFERROR(IF($A392="","",$H392+$I392),"")</f>
        <v/>
      </c>
      <c r="X392" s="45">
        <f>IFERROR(IF($A392="","",$H392*IF($J392="",'Assumptions'!$B$4,$J392)),"")</f>
        <v/>
      </c>
      <c r="Y392" s="45">
        <f>IFERROR(IF($A392="","",$X392*IF($K392="",'Assumptions'!$B$12,$K392)),"")</f>
        <v/>
      </c>
      <c r="Z392" s="45">
        <f>IFERROR(IF($A392="","",($X392+$Y392)*IF($L392="",'Assumptions'!$B$13,$L392)),"")</f>
        <v/>
      </c>
      <c r="AA392" s="45">
        <f>IFERROR(IF($A392="","",$X392+$Y392+$Z392),"")</f>
        <v/>
      </c>
      <c r="AB392" s="45">
        <f>IFERROR(IF($A392="","",$V392*'Assumptions'!$B$5),"")</f>
        <v/>
      </c>
      <c r="AC392" s="45">
        <f>IFERROR(IF($A392="","",$I392*'Assumptions'!$B$6),"")</f>
        <v/>
      </c>
      <c r="AD392" s="45">
        <f>IFERROR(IF($A392="","",$AB392+$AC392),"")</f>
        <v/>
      </c>
      <c r="AE392" s="45">
        <f>IFERROR(IF($A392="","",($M392+$N392)*'Assumptions'!$B$7),"")</f>
        <v/>
      </c>
      <c r="AF392" s="45">
        <f>IFERROR(IF($A392="","",($Q392/60)*'Assumptions'!$B$8),"")</f>
        <v/>
      </c>
      <c r="AG392" s="45">
        <f>IFERROR(IF($A392="","",$P392+$AE392+$AF392),"")</f>
        <v/>
      </c>
      <c r="AH392" s="45">
        <f>IFERROR(IF($A392="","",$M392+$O392),"")</f>
        <v/>
      </c>
      <c r="AI392" s="46">
        <f>IFERROR(IF($A392="","",IFERROR($AH392/$W392,0)),"")</f>
        <v/>
      </c>
      <c r="AJ392" s="45">
        <f>IFERROR(IF($A392="","",$W392-$AH392-$AD392+$AG392),"")</f>
        <v/>
      </c>
      <c r="AK392" s="47">
        <f>IFERROR(IF($A392="","",IF(OR($S392="Collected",$S392="Waived",$S392="Uncollectible",$S392="No Charge Due"),"",IF($T392="",$B392+'Assumptions'!$B$9,$T392+'Assumptions'!$B$9))),"")</f>
        <v/>
      </c>
      <c r="AL392" s="48">
        <f>IFERROR(IF($A392="","",IF(OR($S392="Collected",$S392="Waived",$S392="Uncollectible",$S392="No Charge Due"),"Closed",IF($AK392&lt;TODAY(),"Overdue",IF($AK392=TODAY(),"Due","Open")))),"")</f>
        <v/>
      </c>
      <c r="AM392" s="49">
        <f>IFERROR(IF($A392="","",IF(COUNTIF($A$5:$A$504,$A392)&gt;1,"Duplicate reservation ID",IF($C392&lt;=$B392,"Check stay dates",IF($G392&gt;$F392,"Resold nights exceed booked nights",IF($M392+$N392&gt;$AA392+0.01,"Collection exceeds expected amount",IF(AND($S392="Collected",$M392=0),"Collected status has no amount",IF($AJ392&gt;='Assumptions'!$B$10,"High-cost review","OK"))))))),"")</f>
        <v/>
      </c>
    </row>
    <row r="393">
      <c r="A393" s="38" t="n"/>
      <c r="B393" s="39" t="n"/>
      <c r="C393" s="39" t="n"/>
      <c r="D393" s="38" t="n"/>
      <c r="E393" s="38" t="n"/>
      <c r="F393" s="40" t="n"/>
      <c r="G393" s="40" t="n"/>
      <c r="H393" s="41" t="n"/>
      <c r="I393" s="41" t="n"/>
      <c r="J393" s="42" t="n"/>
      <c r="K393" s="42" t="n"/>
      <c r="L393" s="42" t="n"/>
      <c r="M393" s="41" t="n"/>
      <c r="N393" s="41" t="n"/>
      <c r="O393" s="41" t="n"/>
      <c r="P393" s="41" t="n"/>
      <c r="Q393" s="40" t="n"/>
      <c r="R393" s="38" t="n"/>
      <c r="S393" s="38" t="n"/>
      <c r="T393" s="39" t="n"/>
      <c r="U393" s="43" t="n"/>
      <c r="V393" s="44">
        <f>IFERROR(IF($A393="","",MAX($F393-$G393,0)),"")</f>
        <v/>
      </c>
      <c r="W393" s="45">
        <f>IFERROR(IF($A393="","",$H393+$I393),"")</f>
        <v/>
      </c>
      <c r="X393" s="45">
        <f>IFERROR(IF($A393="","",$H393*IF($J393="",'Assumptions'!$B$4,$J393)),"")</f>
        <v/>
      </c>
      <c r="Y393" s="45">
        <f>IFERROR(IF($A393="","",$X393*IF($K393="",'Assumptions'!$B$12,$K393)),"")</f>
        <v/>
      </c>
      <c r="Z393" s="45">
        <f>IFERROR(IF($A393="","",($X393+$Y393)*IF($L393="",'Assumptions'!$B$13,$L393)),"")</f>
        <v/>
      </c>
      <c r="AA393" s="45">
        <f>IFERROR(IF($A393="","",$X393+$Y393+$Z393),"")</f>
        <v/>
      </c>
      <c r="AB393" s="45">
        <f>IFERROR(IF($A393="","",$V393*'Assumptions'!$B$5),"")</f>
        <v/>
      </c>
      <c r="AC393" s="45">
        <f>IFERROR(IF($A393="","",$I393*'Assumptions'!$B$6),"")</f>
        <v/>
      </c>
      <c r="AD393" s="45">
        <f>IFERROR(IF($A393="","",$AB393+$AC393),"")</f>
        <v/>
      </c>
      <c r="AE393" s="45">
        <f>IFERROR(IF($A393="","",($M393+$N393)*'Assumptions'!$B$7),"")</f>
        <v/>
      </c>
      <c r="AF393" s="45">
        <f>IFERROR(IF($A393="","",($Q393/60)*'Assumptions'!$B$8),"")</f>
        <v/>
      </c>
      <c r="AG393" s="45">
        <f>IFERROR(IF($A393="","",$P393+$AE393+$AF393),"")</f>
        <v/>
      </c>
      <c r="AH393" s="45">
        <f>IFERROR(IF($A393="","",$M393+$O393),"")</f>
        <v/>
      </c>
      <c r="AI393" s="46">
        <f>IFERROR(IF($A393="","",IFERROR($AH393/$W393,0)),"")</f>
        <v/>
      </c>
      <c r="AJ393" s="45">
        <f>IFERROR(IF($A393="","",$W393-$AH393-$AD393+$AG393),"")</f>
        <v/>
      </c>
      <c r="AK393" s="47">
        <f>IFERROR(IF($A393="","",IF(OR($S393="Collected",$S393="Waived",$S393="Uncollectible",$S393="No Charge Due"),"",IF($T393="",$B393+'Assumptions'!$B$9,$T393+'Assumptions'!$B$9))),"")</f>
        <v/>
      </c>
      <c r="AL393" s="48">
        <f>IFERROR(IF($A393="","",IF(OR($S393="Collected",$S393="Waived",$S393="Uncollectible",$S393="No Charge Due"),"Closed",IF($AK393&lt;TODAY(),"Overdue",IF($AK393=TODAY(),"Due","Open")))),"")</f>
        <v/>
      </c>
      <c r="AM393" s="49">
        <f>IFERROR(IF($A393="","",IF(COUNTIF($A$5:$A$504,$A393)&gt;1,"Duplicate reservation ID",IF($C393&lt;=$B393,"Check stay dates",IF($G393&gt;$F393,"Resold nights exceed booked nights",IF($M393+$N393&gt;$AA393+0.01,"Collection exceeds expected amount",IF(AND($S393="Collected",$M393=0),"Collected status has no amount",IF($AJ393&gt;='Assumptions'!$B$10,"High-cost review","OK"))))))),"")</f>
        <v/>
      </c>
    </row>
    <row r="394">
      <c r="A394" s="38" t="n"/>
      <c r="B394" s="39" t="n"/>
      <c r="C394" s="39" t="n"/>
      <c r="D394" s="38" t="n"/>
      <c r="E394" s="38" t="n"/>
      <c r="F394" s="40" t="n"/>
      <c r="G394" s="40" t="n"/>
      <c r="H394" s="41" t="n"/>
      <c r="I394" s="41" t="n"/>
      <c r="J394" s="42" t="n"/>
      <c r="K394" s="42" t="n"/>
      <c r="L394" s="42" t="n"/>
      <c r="M394" s="41" t="n"/>
      <c r="N394" s="41" t="n"/>
      <c r="O394" s="41" t="n"/>
      <c r="P394" s="41" t="n"/>
      <c r="Q394" s="40" t="n"/>
      <c r="R394" s="38" t="n"/>
      <c r="S394" s="38" t="n"/>
      <c r="T394" s="39" t="n"/>
      <c r="U394" s="43" t="n"/>
      <c r="V394" s="44">
        <f>IFERROR(IF($A394="","",MAX($F394-$G394,0)),"")</f>
        <v/>
      </c>
      <c r="W394" s="45">
        <f>IFERROR(IF($A394="","",$H394+$I394),"")</f>
        <v/>
      </c>
      <c r="X394" s="45">
        <f>IFERROR(IF($A394="","",$H394*IF($J394="",'Assumptions'!$B$4,$J394)),"")</f>
        <v/>
      </c>
      <c r="Y394" s="45">
        <f>IFERROR(IF($A394="","",$X394*IF($K394="",'Assumptions'!$B$12,$K394)),"")</f>
        <v/>
      </c>
      <c r="Z394" s="45">
        <f>IFERROR(IF($A394="","",($X394+$Y394)*IF($L394="",'Assumptions'!$B$13,$L394)),"")</f>
        <v/>
      </c>
      <c r="AA394" s="45">
        <f>IFERROR(IF($A394="","",$X394+$Y394+$Z394),"")</f>
        <v/>
      </c>
      <c r="AB394" s="45">
        <f>IFERROR(IF($A394="","",$V394*'Assumptions'!$B$5),"")</f>
        <v/>
      </c>
      <c r="AC394" s="45">
        <f>IFERROR(IF($A394="","",$I394*'Assumptions'!$B$6),"")</f>
        <v/>
      </c>
      <c r="AD394" s="45">
        <f>IFERROR(IF($A394="","",$AB394+$AC394),"")</f>
        <v/>
      </c>
      <c r="AE394" s="45">
        <f>IFERROR(IF($A394="","",($M394+$N394)*'Assumptions'!$B$7),"")</f>
        <v/>
      </c>
      <c r="AF394" s="45">
        <f>IFERROR(IF($A394="","",($Q394/60)*'Assumptions'!$B$8),"")</f>
        <v/>
      </c>
      <c r="AG394" s="45">
        <f>IFERROR(IF($A394="","",$P394+$AE394+$AF394),"")</f>
        <v/>
      </c>
      <c r="AH394" s="45">
        <f>IFERROR(IF($A394="","",$M394+$O394),"")</f>
        <v/>
      </c>
      <c r="AI394" s="46">
        <f>IFERROR(IF($A394="","",IFERROR($AH394/$W394,0)),"")</f>
        <v/>
      </c>
      <c r="AJ394" s="45">
        <f>IFERROR(IF($A394="","",$W394-$AH394-$AD394+$AG394),"")</f>
        <v/>
      </c>
      <c r="AK394" s="47">
        <f>IFERROR(IF($A394="","",IF(OR($S394="Collected",$S394="Waived",$S394="Uncollectible",$S394="No Charge Due"),"",IF($T394="",$B394+'Assumptions'!$B$9,$T394+'Assumptions'!$B$9))),"")</f>
        <v/>
      </c>
      <c r="AL394" s="48">
        <f>IFERROR(IF($A394="","",IF(OR($S394="Collected",$S394="Waived",$S394="Uncollectible",$S394="No Charge Due"),"Closed",IF($AK394&lt;TODAY(),"Overdue",IF($AK394=TODAY(),"Due","Open")))),"")</f>
        <v/>
      </c>
      <c r="AM394" s="49">
        <f>IFERROR(IF($A394="","",IF(COUNTIF($A$5:$A$504,$A394)&gt;1,"Duplicate reservation ID",IF($C394&lt;=$B394,"Check stay dates",IF($G394&gt;$F394,"Resold nights exceed booked nights",IF($M394+$N394&gt;$AA394+0.01,"Collection exceeds expected amount",IF(AND($S394="Collected",$M394=0),"Collected status has no amount",IF($AJ394&gt;='Assumptions'!$B$10,"High-cost review","OK"))))))),"")</f>
        <v/>
      </c>
    </row>
    <row r="395">
      <c r="A395" s="38" t="n"/>
      <c r="B395" s="39" t="n"/>
      <c r="C395" s="39" t="n"/>
      <c r="D395" s="38" t="n"/>
      <c r="E395" s="38" t="n"/>
      <c r="F395" s="40" t="n"/>
      <c r="G395" s="40" t="n"/>
      <c r="H395" s="41" t="n"/>
      <c r="I395" s="41" t="n"/>
      <c r="J395" s="42" t="n"/>
      <c r="K395" s="42" t="n"/>
      <c r="L395" s="42" t="n"/>
      <c r="M395" s="41" t="n"/>
      <c r="N395" s="41" t="n"/>
      <c r="O395" s="41" t="n"/>
      <c r="P395" s="41" t="n"/>
      <c r="Q395" s="40" t="n"/>
      <c r="R395" s="38" t="n"/>
      <c r="S395" s="38" t="n"/>
      <c r="T395" s="39" t="n"/>
      <c r="U395" s="43" t="n"/>
      <c r="V395" s="44">
        <f>IFERROR(IF($A395="","",MAX($F395-$G395,0)),"")</f>
        <v/>
      </c>
      <c r="W395" s="45">
        <f>IFERROR(IF($A395="","",$H395+$I395),"")</f>
        <v/>
      </c>
      <c r="X395" s="45">
        <f>IFERROR(IF($A395="","",$H395*IF($J395="",'Assumptions'!$B$4,$J395)),"")</f>
        <v/>
      </c>
      <c r="Y395" s="45">
        <f>IFERROR(IF($A395="","",$X395*IF($K395="",'Assumptions'!$B$12,$K395)),"")</f>
        <v/>
      </c>
      <c r="Z395" s="45">
        <f>IFERROR(IF($A395="","",($X395+$Y395)*IF($L395="",'Assumptions'!$B$13,$L395)),"")</f>
        <v/>
      </c>
      <c r="AA395" s="45">
        <f>IFERROR(IF($A395="","",$X395+$Y395+$Z395),"")</f>
        <v/>
      </c>
      <c r="AB395" s="45">
        <f>IFERROR(IF($A395="","",$V395*'Assumptions'!$B$5),"")</f>
        <v/>
      </c>
      <c r="AC395" s="45">
        <f>IFERROR(IF($A395="","",$I395*'Assumptions'!$B$6),"")</f>
        <v/>
      </c>
      <c r="AD395" s="45">
        <f>IFERROR(IF($A395="","",$AB395+$AC395),"")</f>
        <v/>
      </c>
      <c r="AE395" s="45">
        <f>IFERROR(IF($A395="","",($M395+$N395)*'Assumptions'!$B$7),"")</f>
        <v/>
      </c>
      <c r="AF395" s="45">
        <f>IFERROR(IF($A395="","",($Q395/60)*'Assumptions'!$B$8),"")</f>
        <v/>
      </c>
      <c r="AG395" s="45">
        <f>IFERROR(IF($A395="","",$P395+$AE395+$AF395),"")</f>
        <v/>
      </c>
      <c r="AH395" s="45">
        <f>IFERROR(IF($A395="","",$M395+$O395),"")</f>
        <v/>
      </c>
      <c r="AI395" s="46">
        <f>IFERROR(IF($A395="","",IFERROR($AH395/$W395,0)),"")</f>
        <v/>
      </c>
      <c r="AJ395" s="45">
        <f>IFERROR(IF($A395="","",$W395-$AH395-$AD395+$AG395),"")</f>
        <v/>
      </c>
      <c r="AK395" s="47">
        <f>IFERROR(IF($A395="","",IF(OR($S395="Collected",$S395="Waived",$S395="Uncollectible",$S395="No Charge Due"),"",IF($T395="",$B395+'Assumptions'!$B$9,$T395+'Assumptions'!$B$9))),"")</f>
        <v/>
      </c>
      <c r="AL395" s="48">
        <f>IFERROR(IF($A395="","",IF(OR($S395="Collected",$S395="Waived",$S395="Uncollectible",$S395="No Charge Due"),"Closed",IF($AK395&lt;TODAY(),"Overdue",IF($AK395=TODAY(),"Due","Open")))),"")</f>
        <v/>
      </c>
      <c r="AM395" s="49">
        <f>IFERROR(IF($A395="","",IF(COUNTIF($A$5:$A$504,$A395)&gt;1,"Duplicate reservation ID",IF($C395&lt;=$B395,"Check stay dates",IF($G395&gt;$F395,"Resold nights exceed booked nights",IF($M395+$N395&gt;$AA395+0.01,"Collection exceeds expected amount",IF(AND($S395="Collected",$M395=0),"Collected status has no amount",IF($AJ395&gt;='Assumptions'!$B$10,"High-cost review","OK"))))))),"")</f>
        <v/>
      </c>
    </row>
    <row r="396">
      <c r="A396" s="38" t="n"/>
      <c r="B396" s="39" t="n"/>
      <c r="C396" s="39" t="n"/>
      <c r="D396" s="38" t="n"/>
      <c r="E396" s="38" t="n"/>
      <c r="F396" s="40" t="n"/>
      <c r="G396" s="40" t="n"/>
      <c r="H396" s="41" t="n"/>
      <c r="I396" s="41" t="n"/>
      <c r="J396" s="42" t="n"/>
      <c r="K396" s="42" t="n"/>
      <c r="L396" s="42" t="n"/>
      <c r="M396" s="41" t="n"/>
      <c r="N396" s="41" t="n"/>
      <c r="O396" s="41" t="n"/>
      <c r="P396" s="41" t="n"/>
      <c r="Q396" s="40" t="n"/>
      <c r="R396" s="38" t="n"/>
      <c r="S396" s="38" t="n"/>
      <c r="T396" s="39" t="n"/>
      <c r="U396" s="43" t="n"/>
      <c r="V396" s="44">
        <f>IFERROR(IF($A396="","",MAX($F396-$G396,0)),"")</f>
        <v/>
      </c>
      <c r="W396" s="45">
        <f>IFERROR(IF($A396="","",$H396+$I396),"")</f>
        <v/>
      </c>
      <c r="X396" s="45">
        <f>IFERROR(IF($A396="","",$H396*IF($J396="",'Assumptions'!$B$4,$J396)),"")</f>
        <v/>
      </c>
      <c r="Y396" s="45">
        <f>IFERROR(IF($A396="","",$X396*IF($K396="",'Assumptions'!$B$12,$K396)),"")</f>
        <v/>
      </c>
      <c r="Z396" s="45">
        <f>IFERROR(IF($A396="","",($X396+$Y396)*IF($L396="",'Assumptions'!$B$13,$L396)),"")</f>
        <v/>
      </c>
      <c r="AA396" s="45">
        <f>IFERROR(IF($A396="","",$X396+$Y396+$Z396),"")</f>
        <v/>
      </c>
      <c r="AB396" s="45">
        <f>IFERROR(IF($A396="","",$V396*'Assumptions'!$B$5),"")</f>
        <v/>
      </c>
      <c r="AC396" s="45">
        <f>IFERROR(IF($A396="","",$I396*'Assumptions'!$B$6),"")</f>
        <v/>
      </c>
      <c r="AD396" s="45">
        <f>IFERROR(IF($A396="","",$AB396+$AC396),"")</f>
        <v/>
      </c>
      <c r="AE396" s="45">
        <f>IFERROR(IF($A396="","",($M396+$N396)*'Assumptions'!$B$7),"")</f>
        <v/>
      </c>
      <c r="AF396" s="45">
        <f>IFERROR(IF($A396="","",($Q396/60)*'Assumptions'!$B$8),"")</f>
        <v/>
      </c>
      <c r="AG396" s="45">
        <f>IFERROR(IF($A396="","",$P396+$AE396+$AF396),"")</f>
        <v/>
      </c>
      <c r="AH396" s="45">
        <f>IFERROR(IF($A396="","",$M396+$O396),"")</f>
        <v/>
      </c>
      <c r="AI396" s="46">
        <f>IFERROR(IF($A396="","",IFERROR($AH396/$W396,0)),"")</f>
        <v/>
      </c>
      <c r="AJ396" s="45">
        <f>IFERROR(IF($A396="","",$W396-$AH396-$AD396+$AG396),"")</f>
        <v/>
      </c>
      <c r="AK396" s="47">
        <f>IFERROR(IF($A396="","",IF(OR($S396="Collected",$S396="Waived",$S396="Uncollectible",$S396="No Charge Due"),"",IF($T396="",$B396+'Assumptions'!$B$9,$T396+'Assumptions'!$B$9))),"")</f>
        <v/>
      </c>
      <c r="AL396" s="48">
        <f>IFERROR(IF($A396="","",IF(OR($S396="Collected",$S396="Waived",$S396="Uncollectible",$S396="No Charge Due"),"Closed",IF($AK396&lt;TODAY(),"Overdue",IF($AK396=TODAY(),"Due","Open")))),"")</f>
        <v/>
      </c>
      <c r="AM396" s="49">
        <f>IFERROR(IF($A396="","",IF(COUNTIF($A$5:$A$504,$A396)&gt;1,"Duplicate reservation ID",IF($C396&lt;=$B396,"Check stay dates",IF($G396&gt;$F396,"Resold nights exceed booked nights",IF($M396+$N396&gt;$AA396+0.01,"Collection exceeds expected amount",IF(AND($S396="Collected",$M396=0),"Collected status has no amount",IF($AJ396&gt;='Assumptions'!$B$10,"High-cost review","OK"))))))),"")</f>
        <v/>
      </c>
    </row>
    <row r="397">
      <c r="A397" s="38" t="n"/>
      <c r="B397" s="39" t="n"/>
      <c r="C397" s="39" t="n"/>
      <c r="D397" s="38" t="n"/>
      <c r="E397" s="38" t="n"/>
      <c r="F397" s="40" t="n"/>
      <c r="G397" s="40" t="n"/>
      <c r="H397" s="41" t="n"/>
      <c r="I397" s="41" t="n"/>
      <c r="J397" s="42" t="n"/>
      <c r="K397" s="42" t="n"/>
      <c r="L397" s="42" t="n"/>
      <c r="M397" s="41" t="n"/>
      <c r="N397" s="41" t="n"/>
      <c r="O397" s="41" t="n"/>
      <c r="P397" s="41" t="n"/>
      <c r="Q397" s="40" t="n"/>
      <c r="R397" s="38" t="n"/>
      <c r="S397" s="38" t="n"/>
      <c r="T397" s="39" t="n"/>
      <c r="U397" s="43" t="n"/>
      <c r="V397" s="44">
        <f>IFERROR(IF($A397="","",MAX($F397-$G397,0)),"")</f>
        <v/>
      </c>
      <c r="W397" s="45">
        <f>IFERROR(IF($A397="","",$H397+$I397),"")</f>
        <v/>
      </c>
      <c r="X397" s="45">
        <f>IFERROR(IF($A397="","",$H397*IF($J397="",'Assumptions'!$B$4,$J397)),"")</f>
        <v/>
      </c>
      <c r="Y397" s="45">
        <f>IFERROR(IF($A397="","",$X397*IF($K397="",'Assumptions'!$B$12,$K397)),"")</f>
        <v/>
      </c>
      <c r="Z397" s="45">
        <f>IFERROR(IF($A397="","",($X397+$Y397)*IF($L397="",'Assumptions'!$B$13,$L397)),"")</f>
        <v/>
      </c>
      <c r="AA397" s="45">
        <f>IFERROR(IF($A397="","",$X397+$Y397+$Z397),"")</f>
        <v/>
      </c>
      <c r="AB397" s="45">
        <f>IFERROR(IF($A397="","",$V397*'Assumptions'!$B$5),"")</f>
        <v/>
      </c>
      <c r="AC397" s="45">
        <f>IFERROR(IF($A397="","",$I397*'Assumptions'!$B$6),"")</f>
        <v/>
      </c>
      <c r="AD397" s="45">
        <f>IFERROR(IF($A397="","",$AB397+$AC397),"")</f>
        <v/>
      </c>
      <c r="AE397" s="45">
        <f>IFERROR(IF($A397="","",($M397+$N397)*'Assumptions'!$B$7),"")</f>
        <v/>
      </c>
      <c r="AF397" s="45">
        <f>IFERROR(IF($A397="","",($Q397/60)*'Assumptions'!$B$8),"")</f>
        <v/>
      </c>
      <c r="AG397" s="45">
        <f>IFERROR(IF($A397="","",$P397+$AE397+$AF397),"")</f>
        <v/>
      </c>
      <c r="AH397" s="45">
        <f>IFERROR(IF($A397="","",$M397+$O397),"")</f>
        <v/>
      </c>
      <c r="AI397" s="46">
        <f>IFERROR(IF($A397="","",IFERROR($AH397/$W397,0)),"")</f>
        <v/>
      </c>
      <c r="AJ397" s="45">
        <f>IFERROR(IF($A397="","",$W397-$AH397-$AD397+$AG397),"")</f>
        <v/>
      </c>
      <c r="AK397" s="47">
        <f>IFERROR(IF($A397="","",IF(OR($S397="Collected",$S397="Waived",$S397="Uncollectible",$S397="No Charge Due"),"",IF($T397="",$B397+'Assumptions'!$B$9,$T397+'Assumptions'!$B$9))),"")</f>
        <v/>
      </c>
      <c r="AL397" s="48">
        <f>IFERROR(IF($A397="","",IF(OR($S397="Collected",$S397="Waived",$S397="Uncollectible",$S397="No Charge Due"),"Closed",IF($AK397&lt;TODAY(),"Overdue",IF($AK397=TODAY(),"Due","Open")))),"")</f>
        <v/>
      </c>
      <c r="AM397" s="49">
        <f>IFERROR(IF($A397="","",IF(COUNTIF($A$5:$A$504,$A397)&gt;1,"Duplicate reservation ID",IF($C397&lt;=$B397,"Check stay dates",IF($G397&gt;$F397,"Resold nights exceed booked nights",IF($M397+$N397&gt;$AA397+0.01,"Collection exceeds expected amount",IF(AND($S397="Collected",$M397=0),"Collected status has no amount",IF($AJ397&gt;='Assumptions'!$B$10,"High-cost review","OK"))))))),"")</f>
        <v/>
      </c>
    </row>
    <row r="398">
      <c r="A398" s="38" t="n"/>
      <c r="B398" s="39" t="n"/>
      <c r="C398" s="39" t="n"/>
      <c r="D398" s="38" t="n"/>
      <c r="E398" s="38" t="n"/>
      <c r="F398" s="40" t="n"/>
      <c r="G398" s="40" t="n"/>
      <c r="H398" s="41" t="n"/>
      <c r="I398" s="41" t="n"/>
      <c r="J398" s="42" t="n"/>
      <c r="K398" s="42" t="n"/>
      <c r="L398" s="42" t="n"/>
      <c r="M398" s="41" t="n"/>
      <c r="N398" s="41" t="n"/>
      <c r="O398" s="41" t="n"/>
      <c r="P398" s="41" t="n"/>
      <c r="Q398" s="40" t="n"/>
      <c r="R398" s="38" t="n"/>
      <c r="S398" s="38" t="n"/>
      <c r="T398" s="39" t="n"/>
      <c r="U398" s="43" t="n"/>
      <c r="V398" s="44">
        <f>IFERROR(IF($A398="","",MAX($F398-$G398,0)),"")</f>
        <v/>
      </c>
      <c r="W398" s="45">
        <f>IFERROR(IF($A398="","",$H398+$I398),"")</f>
        <v/>
      </c>
      <c r="X398" s="45">
        <f>IFERROR(IF($A398="","",$H398*IF($J398="",'Assumptions'!$B$4,$J398)),"")</f>
        <v/>
      </c>
      <c r="Y398" s="45">
        <f>IFERROR(IF($A398="","",$X398*IF($K398="",'Assumptions'!$B$12,$K398)),"")</f>
        <v/>
      </c>
      <c r="Z398" s="45">
        <f>IFERROR(IF($A398="","",($X398+$Y398)*IF($L398="",'Assumptions'!$B$13,$L398)),"")</f>
        <v/>
      </c>
      <c r="AA398" s="45">
        <f>IFERROR(IF($A398="","",$X398+$Y398+$Z398),"")</f>
        <v/>
      </c>
      <c r="AB398" s="45">
        <f>IFERROR(IF($A398="","",$V398*'Assumptions'!$B$5),"")</f>
        <v/>
      </c>
      <c r="AC398" s="45">
        <f>IFERROR(IF($A398="","",$I398*'Assumptions'!$B$6),"")</f>
        <v/>
      </c>
      <c r="AD398" s="45">
        <f>IFERROR(IF($A398="","",$AB398+$AC398),"")</f>
        <v/>
      </c>
      <c r="AE398" s="45">
        <f>IFERROR(IF($A398="","",($M398+$N398)*'Assumptions'!$B$7),"")</f>
        <v/>
      </c>
      <c r="AF398" s="45">
        <f>IFERROR(IF($A398="","",($Q398/60)*'Assumptions'!$B$8),"")</f>
        <v/>
      </c>
      <c r="AG398" s="45">
        <f>IFERROR(IF($A398="","",$P398+$AE398+$AF398),"")</f>
        <v/>
      </c>
      <c r="AH398" s="45">
        <f>IFERROR(IF($A398="","",$M398+$O398),"")</f>
        <v/>
      </c>
      <c r="AI398" s="46">
        <f>IFERROR(IF($A398="","",IFERROR($AH398/$W398,0)),"")</f>
        <v/>
      </c>
      <c r="AJ398" s="45">
        <f>IFERROR(IF($A398="","",$W398-$AH398-$AD398+$AG398),"")</f>
        <v/>
      </c>
      <c r="AK398" s="47">
        <f>IFERROR(IF($A398="","",IF(OR($S398="Collected",$S398="Waived",$S398="Uncollectible",$S398="No Charge Due"),"",IF($T398="",$B398+'Assumptions'!$B$9,$T398+'Assumptions'!$B$9))),"")</f>
        <v/>
      </c>
      <c r="AL398" s="48">
        <f>IFERROR(IF($A398="","",IF(OR($S398="Collected",$S398="Waived",$S398="Uncollectible",$S398="No Charge Due"),"Closed",IF($AK398&lt;TODAY(),"Overdue",IF($AK398=TODAY(),"Due","Open")))),"")</f>
        <v/>
      </c>
      <c r="AM398" s="49">
        <f>IFERROR(IF($A398="","",IF(COUNTIF($A$5:$A$504,$A398)&gt;1,"Duplicate reservation ID",IF($C398&lt;=$B398,"Check stay dates",IF($G398&gt;$F398,"Resold nights exceed booked nights",IF($M398+$N398&gt;$AA398+0.01,"Collection exceeds expected amount",IF(AND($S398="Collected",$M398=0),"Collected status has no amount",IF($AJ398&gt;='Assumptions'!$B$10,"High-cost review","OK"))))))),"")</f>
        <v/>
      </c>
    </row>
    <row r="399">
      <c r="A399" s="38" t="n"/>
      <c r="B399" s="39" t="n"/>
      <c r="C399" s="39" t="n"/>
      <c r="D399" s="38" t="n"/>
      <c r="E399" s="38" t="n"/>
      <c r="F399" s="40" t="n"/>
      <c r="G399" s="40" t="n"/>
      <c r="H399" s="41" t="n"/>
      <c r="I399" s="41" t="n"/>
      <c r="J399" s="42" t="n"/>
      <c r="K399" s="42" t="n"/>
      <c r="L399" s="42" t="n"/>
      <c r="M399" s="41" t="n"/>
      <c r="N399" s="41" t="n"/>
      <c r="O399" s="41" t="n"/>
      <c r="P399" s="41" t="n"/>
      <c r="Q399" s="40" t="n"/>
      <c r="R399" s="38" t="n"/>
      <c r="S399" s="38" t="n"/>
      <c r="T399" s="39" t="n"/>
      <c r="U399" s="43" t="n"/>
      <c r="V399" s="44">
        <f>IFERROR(IF($A399="","",MAX($F399-$G399,0)),"")</f>
        <v/>
      </c>
      <c r="W399" s="45">
        <f>IFERROR(IF($A399="","",$H399+$I399),"")</f>
        <v/>
      </c>
      <c r="X399" s="45">
        <f>IFERROR(IF($A399="","",$H399*IF($J399="",'Assumptions'!$B$4,$J399)),"")</f>
        <v/>
      </c>
      <c r="Y399" s="45">
        <f>IFERROR(IF($A399="","",$X399*IF($K399="",'Assumptions'!$B$12,$K399)),"")</f>
        <v/>
      </c>
      <c r="Z399" s="45">
        <f>IFERROR(IF($A399="","",($X399+$Y399)*IF($L399="",'Assumptions'!$B$13,$L399)),"")</f>
        <v/>
      </c>
      <c r="AA399" s="45">
        <f>IFERROR(IF($A399="","",$X399+$Y399+$Z399),"")</f>
        <v/>
      </c>
      <c r="AB399" s="45">
        <f>IFERROR(IF($A399="","",$V399*'Assumptions'!$B$5),"")</f>
        <v/>
      </c>
      <c r="AC399" s="45">
        <f>IFERROR(IF($A399="","",$I399*'Assumptions'!$B$6),"")</f>
        <v/>
      </c>
      <c r="AD399" s="45">
        <f>IFERROR(IF($A399="","",$AB399+$AC399),"")</f>
        <v/>
      </c>
      <c r="AE399" s="45">
        <f>IFERROR(IF($A399="","",($M399+$N399)*'Assumptions'!$B$7),"")</f>
        <v/>
      </c>
      <c r="AF399" s="45">
        <f>IFERROR(IF($A399="","",($Q399/60)*'Assumptions'!$B$8),"")</f>
        <v/>
      </c>
      <c r="AG399" s="45">
        <f>IFERROR(IF($A399="","",$P399+$AE399+$AF399),"")</f>
        <v/>
      </c>
      <c r="AH399" s="45">
        <f>IFERROR(IF($A399="","",$M399+$O399),"")</f>
        <v/>
      </c>
      <c r="AI399" s="46">
        <f>IFERROR(IF($A399="","",IFERROR($AH399/$W399,0)),"")</f>
        <v/>
      </c>
      <c r="AJ399" s="45">
        <f>IFERROR(IF($A399="","",$W399-$AH399-$AD399+$AG399),"")</f>
        <v/>
      </c>
      <c r="AK399" s="47">
        <f>IFERROR(IF($A399="","",IF(OR($S399="Collected",$S399="Waived",$S399="Uncollectible",$S399="No Charge Due"),"",IF($T399="",$B399+'Assumptions'!$B$9,$T399+'Assumptions'!$B$9))),"")</f>
        <v/>
      </c>
      <c r="AL399" s="48">
        <f>IFERROR(IF($A399="","",IF(OR($S399="Collected",$S399="Waived",$S399="Uncollectible",$S399="No Charge Due"),"Closed",IF($AK399&lt;TODAY(),"Overdue",IF($AK399=TODAY(),"Due","Open")))),"")</f>
        <v/>
      </c>
      <c r="AM399" s="49">
        <f>IFERROR(IF($A399="","",IF(COUNTIF($A$5:$A$504,$A399)&gt;1,"Duplicate reservation ID",IF($C399&lt;=$B399,"Check stay dates",IF($G399&gt;$F399,"Resold nights exceed booked nights",IF($M399+$N399&gt;$AA399+0.01,"Collection exceeds expected amount",IF(AND($S399="Collected",$M399=0),"Collected status has no amount",IF($AJ399&gt;='Assumptions'!$B$10,"High-cost review","OK"))))))),"")</f>
        <v/>
      </c>
    </row>
    <row r="400">
      <c r="A400" s="38" t="n"/>
      <c r="B400" s="39" t="n"/>
      <c r="C400" s="39" t="n"/>
      <c r="D400" s="38" t="n"/>
      <c r="E400" s="38" t="n"/>
      <c r="F400" s="40" t="n"/>
      <c r="G400" s="40" t="n"/>
      <c r="H400" s="41" t="n"/>
      <c r="I400" s="41" t="n"/>
      <c r="J400" s="42" t="n"/>
      <c r="K400" s="42" t="n"/>
      <c r="L400" s="42" t="n"/>
      <c r="M400" s="41" t="n"/>
      <c r="N400" s="41" t="n"/>
      <c r="O400" s="41" t="n"/>
      <c r="P400" s="41" t="n"/>
      <c r="Q400" s="40" t="n"/>
      <c r="R400" s="38" t="n"/>
      <c r="S400" s="38" t="n"/>
      <c r="T400" s="39" t="n"/>
      <c r="U400" s="43" t="n"/>
      <c r="V400" s="44">
        <f>IFERROR(IF($A400="","",MAX($F400-$G400,0)),"")</f>
        <v/>
      </c>
      <c r="W400" s="45">
        <f>IFERROR(IF($A400="","",$H400+$I400),"")</f>
        <v/>
      </c>
      <c r="X400" s="45">
        <f>IFERROR(IF($A400="","",$H400*IF($J400="",'Assumptions'!$B$4,$J400)),"")</f>
        <v/>
      </c>
      <c r="Y400" s="45">
        <f>IFERROR(IF($A400="","",$X400*IF($K400="",'Assumptions'!$B$12,$K400)),"")</f>
        <v/>
      </c>
      <c r="Z400" s="45">
        <f>IFERROR(IF($A400="","",($X400+$Y400)*IF($L400="",'Assumptions'!$B$13,$L400)),"")</f>
        <v/>
      </c>
      <c r="AA400" s="45">
        <f>IFERROR(IF($A400="","",$X400+$Y400+$Z400),"")</f>
        <v/>
      </c>
      <c r="AB400" s="45">
        <f>IFERROR(IF($A400="","",$V400*'Assumptions'!$B$5),"")</f>
        <v/>
      </c>
      <c r="AC400" s="45">
        <f>IFERROR(IF($A400="","",$I400*'Assumptions'!$B$6),"")</f>
        <v/>
      </c>
      <c r="AD400" s="45">
        <f>IFERROR(IF($A400="","",$AB400+$AC400),"")</f>
        <v/>
      </c>
      <c r="AE400" s="45">
        <f>IFERROR(IF($A400="","",($M400+$N400)*'Assumptions'!$B$7),"")</f>
        <v/>
      </c>
      <c r="AF400" s="45">
        <f>IFERROR(IF($A400="","",($Q400/60)*'Assumptions'!$B$8),"")</f>
        <v/>
      </c>
      <c r="AG400" s="45">
        <f>IFERROR(IF($A400="","",$P400+$AE400+$AF400),"")</f>
        <v/>
      </c>
      <c r="AH400" s="45">
        <f>IFERROR(IF($A400="","",$M400+$O400),"")</f>
        <v/>
      </c>
      <c r="AI400" s="46">
        <f>IFERROR(IF($A400="","",IFERROR($AH400/$W400,0)),"")</f>
        <v/>
      </c>
      <c r="AJ400" s="45">
        <f>IFERROR(IF($A400="","",$W400-$AH400-$AD400+$AG400),"")</f>
        <v/>
      </c>
      <c r="AK400" s="47">
        <f>IFERROR(IF($A400="","",IF(OR($S400="Collected",$S400="Waived",$S400="Uncollectible",$S400="No Charge Due"),"",IF($T400="",$B400+'Assumptions'!$B$9,$T400+'Assumptions'!$B$9))),"")</f>
        <v/>
      </c>
      <c r="AL400" s="48">
        <f>IFERROR(IF($A400="","",IF(OR($S400="Collected",$S400="Waived",$S400="Uncollectible",$S400="No Charge Due"),"Closed",IF($AK400&lt;TODAY(),"Overdue",IF($AK400=TODAY(),"Due","Open")))),"")</f>
        <v/>
      </c>
      <c r="AM400" s="49">
        <f>IFERROR(IF($A400="","",IF(COUNTIF($A$5:$A$504,$A400)&gt;1,"Duplicate reservation ID",IF($C400&lt;=$B400,"Check stay dates",IF($G400&gt;$F400,"Resold nights exceed booked nights",IF($M400+$N400&gt;$AA400+0.01,"Collection exceeds expected amount",IF(AND($S400="Collected",$M400=0),"Collected status has no amount",IF($AJ400&gt;='Assumptions'!$B$10,"High-cost review","OK"))))))),"")</f>
        <v/>
      </c>
    </row>
    <row r="401">
      <c r="A401" s="38" t="n"/>
      <c r="B401" s="39" t="n"/>
      <c r="C401" s="39" t="n"/>
      <c r="D401" s="38" t="n"/>
      <c r="E401" s="38" t="n"/>
      <c r="F401" s="40" t="n"/>
      <c r="G401" s="40" t="n"/>
      <c r="H401" s="41" t="n"/>
      <c r="I401" s="41" t="n"/>
      <c r="J401" s="42" t="n"/>
      <c r="K401" s="42" t="n"/>
      <c r="L401" s="42" t="n"/>
      <c r="M401" s="41" t="n"/>
      <c r="N401" s="41" t="n"/>
      <c r="O401" s="41" t="n"/>
      <c r="P401" s="41" t="n"/>
      <c r="Q401" s="40" t="n"/>
      <c r="R401" s="38" t="n"/>
      <c r="S401" s="38" t="n"/>
      <c r="T401" s="39" t="n"/>
      <c r="U401" s="43" t="n"/>
      <c r="V401" s="44">
        <f>IFERROR(IF($A401="","",MAX($F401-$G401,0)),"")</f>
        <v/>
      </c>
      <c r="W401" s="45">
        <f>IFERROR(IF($A401="","",$H401+$I401),"")</f>
        <v/>
      </c>
      <c r="X401" s="45">
        <f>IFERROR(IF($A401="","",$H401*IF($J401="",'Assumptions'!$B$4,$J401)),"")</f>
        <v/>
      </c>
      <c r="Y401" s="45">
        <f>IFERROR(IF($A401="","",$X401*IF($K401="",'Assumptions'!$B$12,$K401)),"")</f>
        <v/>
      </c>
      <c r="Z401" s="45">
        <f>IFERROR(IF($A401="","",($X401+$Y401)*IF($L401="",'Assumptions'!$B$13,$L401)),"")</f>
        <v/>
      </c>
      <c r="AA401" s="45">
        <f>IFERROR(IF($A401="","",$X401+$Y401+$Z401),"")</f>
        <v/>
      </c>
      <c r="AB401" s="45">
        <f>IFERROR(IF($A401="","",$V401*'Assumptions'!$B$5),"")</f>
        <v/>
      </c>
      <c r="AC401" s="45">
        <f>IFERROR(IF($A401="","",$I401*'Assumptions'!$B$6),"")</f>
        <v/>
      </c>
      <c r="AD401" s="45">
        <f>IFERROR(IF($A401="","",$AB401+$AC401),"")</f>
        <v/>
      </c>
      <c r="AE401" s="45">
        <f>IFERROR(IF($A401="","",($M401+$N401)*'Assumptions'!$B$7),"")</f>
        <v/>
      </c>
      <c r="AF401" s="45">
        <f>IFERROR(IF($A401="","",($Q401/60)*'Assumptions'!$B$8),"")</f>
        <v/>
      </c>
      <c r="AG401" s="45">
        <f>IFERROR(IF($A401="","",$P401+$AE401+$AF401),"")</f>
        <v/>
      </c>
      <c r="AH401" s="45">
        <f>IFERROR(IF($A401="","",$M401+$O401),"")</f>
        <v/>
      </c>
      <c r="AI401" s="46">
        <f>IFERROR(IF($A401="","",IFERROR($AH401/$W401,0)),"")</f>
        <v/>
      </c>
      <c r="AJ401" s="45">
        <f>IFERROR(IF($A401="","",$W401-$AH401-$AD401+$AG401),"")</f>
        <v/>
      </c>
      <c r="AK401" s="47">
        <f>IFERROR(IF($A401="","",IF(OR($S401="Collected",$S401="Waived",$S401="Uncollectible",$S401="No Charge Due"),"",IF($T401="",$B401+'Assumptions'!$B$9,$T401+'Assumptions'!$B$9))),"")</f>
        <v/>
      </c>
      <c r="AL401" s="48">
        <f>IFERROR(IF($A401="","",IF(OR($S401="Collected",$S401="Waived",$S401="Uncollectible",$S401="No Charge Due"),"Closed",IF($AK401&lt;TODAY(),"Overdue",IF($AK401=TODAY(),"Due","Open")))),"")</f>
        <v/>
      </c>
      <c r="AM401" s="49">
        <f>IFERROR(IF($A401="","",IF(COUNTIF($A$5:$A$504,$A401)&gt;1,"Duplicate reservation ID",IF($C401&lt;=$B401,"Check stay dates",IF($G401&gt;$F401,"Resold nights exceed booked nights",IF($M401+$N401&gt;$AA401+0.01,"Collection exceeds expected amount",IF(AND($S401="Collected",$M401=0),"Collected status has no amount",IF($AJ401&gt;='Assumptions'!$B$10,"High-cost review","OK"))))))),"")</f>
        <v/>
      </c>
    </row>
    <row r="402">
      <c r="A402" s="38" t="n"/>
      <c r="B402" s="39" t="n"/>
      <c r="C402" s="39" t="n"/>
      <c r="D402" s="38" t="n"/>
      <c r="E402" s="38" t="n"/>
      <c r="F402" s="40" t="n"/>
      <c r="G402" s="40" t="n"/>
      <c r="H402" s="41" t="n"/>
      <c r="I402" s="41" t="n"/>
      <c r="J402" s="42" t="n"/>
      <c r="K402" s="42" t="n"/>
      <c r="L402" s="42" t="n"/>
      <c r="M402" s="41" t="n"/>
      <c r="N402" s="41" t="n"/>
      <c r="O402" s="41" t="n"/>
      <c r="P402" s="41" t="n"/>
      <c r="Q402" s="40" t="n"/>
      <c r="R402" s="38" t="n"/>
      <c r="S402" s="38" t="n"/>
      <c r="T402" s="39" t="n"/>
      <c r="U402" s="43" t="n"/>
      <c r="V402" s="44">
        <f>IFERROR(IF($A402="","",MAX($F402-$G402,0)),"")</f>
        <v/>
      </c>
      <c r="W402" s="45">
        <f>IFERROR(IF($A402="","",$H402+$I402),"")</f>
        <v/>
      </c>
      <c r="X402" s="45">
        <f>IFERROR(IF($A402="","",$H402*IF($J402="",'Assumptions'!$B$4,$J402)),"")</f>
        <v/>
      </c>
      <c r="Y402" s="45">
        <f>IFERROR(IF($A402="","",$X402*IF($K402="",'Assumptions'!$B$12,$K402)),"")</f>
        <v/>
      </c>
      <c r="Z402" s="45">
        <f>IFERROR(IF($A402="","",($X402+$Y402)*IF($L402="",'Assumptions'!$B$13,$L402)),"")</f>
        <v/>
      </c>
      <c r="AA402" s="45">
        <f>IFERROR(IF($A402="","",$X402+$Y402+$Z402),"")</f>
        <v/>
      </c>
      <c r="AB402" s="45">
        <f>IFERROR(IF($A402="","",$V402*'Assumptions'!$B$5),"")</f>
        <v/>
      </c>
      <c r="AC402" s="45">
        <f>IFERROR(IF($A402="","",$I402*'Assumptions'!$B$6),"")</f>
        <v/>
      </c>
      <c r="AD402" s="45">
        <f>IFERROR(IF($A402="","",$AB402+$AC402),"")</f>
        <v/>
      </c>
      <c r="AE402" s="45">
        <f>IFERROR(IF($A402="","",($M402+$N402)*'Assumptions'!$B$7),"")</f>
        <v/>
      </c>
      <c r="AF402" s="45">
        <f>IFERROR(IF($A402="","",($Q402/60)*'Assumptions'!$B$8),"")</f>
        <v/>
      </c>
      <c r="AG402" s="45">
        <f>IFERROR(IF($A402="","",$P402+$AE402+$AF402),"")</f>
        <v/>
      </c>
      <c r="AH402" s="45">
        <f>IFERROR(IF($A402="","",$M402+$O402),"")</f>
        <v/>
      </c>
      <c r="AI402" s="46">
        <f>IFERROR(IF($A402="","",IFERROR($AH402/$W402,0)),"")</f>
        <v/>
      </c>
      <c r="AJ402" s="45">
        <f>IFERROR(IF($A402="","",$W402-$AH402-$AD402+$AG402),"")</f>
        <v/>
      </c>
      <c r="AK402" s="47">
        <f>IFERROR(IF($A402="","",IF(OR($S402="Collected",$S402="Waived",$S402="Uncollectible",$S402="No Charge Due"),"",IF($T402="",$B402+'Assumptions'!$B$9,$T402+'Assumptions'!$B$9))),"")</f>
        <v/>
      </c>
      <c r="AL402" s="48">
        <f>IFERROR(IF($A402="","",IF(OR($S402="Collected",$S402="Waived",$S402="Uncollectible",$S402="No Charge Due"),"Closed",IF($AK402&lt;TODAY(),"Overdue",IF($AK402=TODAY(),"Due","Open")))),"")</f>
        <v/>
      </c>
      <c r="AM402" s="49">
        <f>IFERROR(IF($A402="","",IF(COUNTIF($A$5:$A$504,$A402)&gt;1,"Duplicate reservation ID",IF($C402&lt;=$B402,"Check stay dates",IF($G402&gt;$F402,"Resold nights exceed booked nights",IF($M402+$N402&gt;$AA402+0.01,"Collection exceeds expected amount",IF(AND($S402="Collected",$M402=0),"Collected status has no amount",IF($AJ402&gt;='Assumptions'!$B$10,"High-cost review","OK"))))))),"")</f>
        <v/>
      </c>
    </row>
    <row r="403">
      <c r="A403" s="38" t="n"/>
      <c r="B403" s="39" t="n"/>
      <c r="C403" s="39" t="n"/>
      <c r="D403" s="38" t="n"/>
      <c r="E403" s="38" t="n"/>
      <c r="F403" s="40" t="n"/>
      <c r="G403" s="40" t="n"/>
      <c r="H403" s="41" t="n"/>
      <c r="I403" s="41" t="n"/>
      <c r="J403" s="42" t="n"/>
      <c r="K403" s="42" t="n"/>
      <c r="L403" s="42" t="n"/>
      <c r="M403" s="41" t="n"/>
      <c r="N403" s="41" t="n"/>
      <c r="O403" s="41" t="n"/>
      <c r="P403" s="41" t="n"/>
      <c r="Q403" s="40" t="n"/>
      <c r="R403" s="38" t="n"/>
      <c r="S403" s="38" t="n"/>
      <c r="T403" s="39" t="n"/>
      <c r="U403" s="43" t="n"/>
      <c r="V403" s="44">
        <f>IFERROR(IF($A403="","",MAX($F403-$G403,0)),"")</f>
        <v/>
      </c>
      <c r="W403" s="45">
        <f>IFERROR(IF($A403="","",$H403+$I403),"")</f>
        <v/>
      </c>
      <c r="X403" s="45">
        <f>IFERROR(IF($A403="","",$H403*IF($J403="",'Assumptions'!$B$4,$J403)),"")</f>
        <v/>
      </c>
      <c r="Y403" s="45">
        <f>IFERROR(IF($A403="","",$X403*IF($K403="",'Assumptions'!$B$12,$K403)),"")</f>
        <v/>
      </c>
      <c r="Z403" s="45">
        <f>IFERROR(IF($A403="","",($X403+$Y403)*IF($L403="",'Assumptions'!$B$13,$L403)),"")</f>
        <v/>
      </c>
      <c r="AA403" s="45">
        <f>IFERROR(IF($A403="","",$X403+$Y403+$Z403),"")</f>
        <v/>
      </c>
      <c r="AB403" s="45">
        <f>IFERROR(IF($A403="","",$V403*'Assumptions'!$B$5),"")</f>
        <v/>
      </c>
      <c r="AC403" s="45">
        <f>IFERROR(IF($A403="","",$I403*'Assumptions'!$B$6),"")</f>
        <v/>
      </c>
      <c r="AD403" s="45">
        <f>IFERROR(IF($A403="","",$AB403+$AC403),"")</f>
        <v/>
      </c>
      <c r="AE403" s="45">
        <f>IFERROR(IF($A403="","",($M403+$N403)*'Assumptions'!$B$7),"")</f>
        <v/>
      </c>
      <c r="AF403" s="45">
        <f>IFERROR(IF($A403="","",($Q403/60)*'Assumptions'!$B$8),"")</f>
        <v/>
      </c>
      <c r="AG403" s="45">
        <f>IFERROR(IF($A403="","",$P403+$AE403+$AF403),"")</f>
        <v/>
      </c>
      <c r="AH403" s="45">
        <f>IFERROR(IF($A403="","",$M403+$O403),"")</f>
        <v/>
      </c>
      <c r="AI403" s="46">
        <f>IFERROR(IF($A403="","",IFERROR($AH403/$W403,0)),"")</f>
        <v/>
      </c>
      <c r="AJ403" s="45">
        <f>IFERROR(IF($A403="","",$W403-$AH403-$AD403+$AG403),"")</f>
        <v/>
      </c>
      <c r="AK403" s="47">
        <f>IFERROR(IF($A403="","",IF(OR($S403="Collected",$S403="Waived",$S403="Uncollectible",$S403="No Charge Due"),"",IF($T403="",$B403+'Assumptions'!$B$9,$T403+'Assumptions'!$B$9))),"")</f>
        <v/>
      </c>
      <c r="AL403" s="48">
        <f>IFERROR(IF($A403="","",IF(OR($S403="Collected",$S403="Waived",$S403="Uncollectible",$S403="No Charge Due"),"Closed",IF($AK403&lt;TODAY(),"Overdue",IF($AK403=TODAY(),"Due","Open")))),"")</f>
        <v/>
      </c>
      <c r="AM403" s="49">
        <f>IFERROR(IF($A403="","",IF(COUNTIF($A$5:$A$504,$A403)&gt;1,"Duplicate reservation ID",IF($C403&lt;=$B403,"Check stay dates",IF($G403&gt;$F403,"Resold nights exceed booked nights",IF($M403+$N403&gt;$AA403+0.01,"Collection exceeds expected amount",IF(AND($S403="Collected",$M403=0),"Collected status has no amount",IF($AJ403&gt;='Assumptions'!$B$10,"High-cost review","OK"))))))),"")</f>
        <v/>
      </c>
    </row>
    <row r="404">
      <c r="A404" s="38" t="n"/>
      <c r="B404" s="39" t="n"/>
      <c r="C404" s="39" t="n"/>
      <c r="D404" s="38" t="n"/>
      <c r="E404" s="38" t="n"/>
      <c r="F404" s="40" t="n"/>
      <c r="G404" s="40" t="n"/>
      <c r="H404" s="41" t="n"/>
      <c r="I404" s="41" t="n"/>
      <c r="J404" s="42" t="n"/>
      <c r="K404" s="42" t="n"/>
      <c r="L404" s="42" t="n"/>
      <c r="M404" s="41" t="n"/>
      <c r="N404" s="41" t="n"/>
      <c r="O404" s="41" t="n"/>
      <c r="P404" s="41" t="n"/>
      <c r="Q404" s="40" t="n"/>
      <c r="R404" s="38" t="n"/>
      <c r="S404" s="38" t="n"/>
      <c r="T404" s="39" t="n"/>
      <c r="U404" s="43" t="n"/>
      <c r="V404" s="44">
        <f>IFERROR(IF($A404="","",MAX($F404-$G404,0)),"")</f>
        <v/>
      </c>
      <c r="W404" s="45">
        <f>IFERROR(IF($A404="","",$H404+$I404),"")</f>
        <v/>
      </c>
      <c r="X404" s="45">
        <f>IFERROR(IF($A404="","",$H404*IF($J404="",'Assumptions'!$B$4,$J404)),"")</f>
        <v/>
      </c>
      <c r="Y404" s="45">
        <f>IFERROR(IF($A404="","",$X404*IF($K404="",'Assumptions'!$B$12,$K404)),"")</f>
        <v/>
      </c>
      <c r="Z404" s="45">
        <f>IFERROR(IF($A404="","",($X404+$Y404)*IF($L404="",'Assumptions'!$B$13,$L404)),"")</f>
        <v/>
      </c>
      <c r="AA404" s="45">
        <f>IFERROR(IF($A404="","",$X404+$Y404+$Z404),"")</f>
        <v/>
      </c>
      <c r="AB404" s="45">
        <f>IFERROR(IF($A404="","",$V404*'Assumptions'!$B$5),"")</f>
        <v/>
      </c>
      <c r="AC404" s="45">
        <f>IFERROR(IF($A404="","",$I404*'Assumptions'!$B$6),"")</f>
        <v/>
      </c>
      <c r="AD404" s="45">
        <f>IFERROR(IF($A404="","",$AB404+$AC404),"")</f>
        <v/>
      </c>
      <c r="AE404" s="45">
        <f>IFERROR(IF($A404="","",($M404+$N404)*'Assumptions'!$B$7),"")</f>
        <v/>
      </c>
      <c r="AF404" s="45">
        <f>IFERROR(IF($A404="","",($Q404/60)*'Assumptions'!$B$8),"")</f>
        <v/>
      </c>
      <c r="AG404" s="45">
        <f>IFERROR(IF($A404="","",$P404+$AE404+$AF404),"")</f>
        <v/>
      </c>
      <c r="AH404" s="45">
        <f>IFERROR(IF($A404="","",$M404+$O404),"")</f>
        <v/>
      </c>
      <c r="AI404" s="46">
        <f>IFERROR(IF($A404="","",IFERROR($AH404/$W404,0)),"")</f>
        <v/>
      </c>
      <c r="AJ404" s="45">
        <f>IFERROR(IF($A404="","",$W404-$AH404-$AD404+$AG404),"")</f>
        <v/>
      </c>
      <c r="AK404" s="47">
        <f>IFERROR(IF($A404="","",IF(OR($S404="Collected",$S404="Waived",$S404="Uncollectible",$S404="No Charge Due"),"",IF($T404="",$B404+'Assumptions'!$B$9,$T404+'Assumptions'!$B$9))),"")</f>
        <v/>
      </c>
      <c r="AL404" s="48">
        <f>IFERROR(IF($A404="","",IF(OR($S404="Collected",$S404="Waived",$S404="Uncollectible",$S404="No Charge Due"),"Closed",IF($AK404&lt;TODAY(),"Overdue",IF($AK404=TODAY(),"Due","Open")))),"")</f>
        <v/>
      </c>
      <c r="AM404" s="49">
        <f>IFERROR(IF($A404="","",IF(COUNTIF($A$5:$A$504,$A404)&gt;1,"Duplicate reservation ID",IF($C404&lt;=$B404,"Check stay dates",IF($G404&gt;$F404,"Resold nights exceed booked nights",IF($M404+$N404&gt;$AA404+0.01,"Collection exceeds expected amount",IF(AND($S404="Collected",$M404=0),"Collected status has no amount",IF($AJ404&gt;='Assumptions'!$B$10,"High-cost review","OK"))))))),"")</f>
        <v/>
      </c>
    </row>
    <row r="405">
      <c r="A405" s="38" t="n"/>
      <c r="B405" s="39" t="n"/>
      <c r="C405" s="39" t="n"/>
      <c r="D405" s="38" t="n"/>
      <c r="E405" s="38" t="n"/>
      <c r="F405" s="40" t="n"/>
      <c r="G405" s="40" t="n"/>
      <c r="H405" s="41" t="n"/>
      <c r="I405" s="41" t="n"/>
      <c r="J405" s="42" t="n"/>
      <c r="K405" s="42" t="n"/>
      <c r="L405" s="42" t="n"/>
      <c r="M405" s="41" t="n"/>
      <c r="N405" s="41" t="n"/>
      <c r="O405" s="41" t="n"/>
      <c r="P405" s="41" t="n"/>
      <c r="Q405" s="40" t="n"/>
      <c r="R405" s="38" t="n"/>
      <c r="S405" s="38" t="n"/>
      <c r="T405" s="39" t="n"/>
      <c r="U405" s="43" t="n"/>
      <c r="V405" s="44">
        <f>IFERROR(IF($A405="","",MAX($F405-$G405,0)),"")</f>
        <v/>
      </c>
      <c r="W405" s="45">
        <f>IFERROR(IF($A405="","",$H405+$I405),"")</f>
        <v/>
      </c>
      <c r="X405" s="45">
        <f>IFERROR(IF($A405="","",$H405*IF($J405="",'Assumptions'!$B$4,$J405)),"")</f>
        <v/>
      </c>
      <c r="Y405" s="45">
        <f>IFERROR(IF($A405="","",$X405*IF($K405="",'Assumptions'!$B$12,$K405)),"")</f>
        <v/>
      </c>
      <c r="Z405" s="45">
        <f>IFERROR(IF($A405="","",($X405+$Y405)*IF($L405="",'Assumptions'!$B$13,$L405)),"")</f>
        <v/>
      </c>
      <c r="AA405" s="45">
        <f>IFERROR(IF($A405="","",$X405+$Y405+$Z405),"")</f>
        <v/>
      </c>
      <c r="AB405" s="45">
        <f>IFERROR(IF($A405="","",$V405*'Assumptions'!$B$5),"")</f>
        <v/>
      </c>
      <c r="AC405" s="45">
        <f>IFERROR(IF($A405="","",$I405*'Assumptions'!$B$6),"")</f>
        <v/>
      </c>
      <c r="AD405" s="45">
        <f>IFERROR(IF($A405="","",$AB405+$AC405),"")</f>
        <v/>
      </c>
      <c r="AE405" s="45">
        <f>IFERROR(IF($A405="","",($M405+$N405)*'Assumptions'!$B$7),"")</f>
        <v/>
      </c>
      <c r="AF405" s="45">
        <f>IFERROR(IF($A405="","",($Q405/60)*'Assumptions'!$B$8),"")</f>
        <v/>
      </c>
      <c r="AG405" s="45">
        <f>IFERROR(IF($A405="","",$P405+$AE405+$AF405),"")</f>
        <v/>
      </c>
      <c r="AH405" s="45">
        <f>IFERROR(IF($A405="","",$M405+$O405),"")</f>
        <v/>
      </c>
      <c r="AI405" s="46">
        <f>IFERROR(IF($A405="","",IFERROR($AH405/$W405,0)),"")</f>
        <v/>
      </c>
      <c r="AJ405" s="45">
        <f>IFERROR(IF($A405="","",$W405-$AH405-$AD405+$AG405),"")</f>
        <v/>
      </c>
      <c r="AK405" s="47">
        <f>IFERROR(IF($A405="","",IF(OR($S405="Collected",$S405="Waived",$S405="Uncollectible",$S405="No Charge Due"),"",IF($T405="",$B405+'Assumptions'!$B$9,$T405+'Assumptions'!$B$9))),"")</f>
        <v/>
      </c>
      <c r="AL405" s="48">
        <f>IFERROR(IF($A405="","",IF(OR($S405="Collected",$S405="Waived",$S405="Uncollectible",$S405="No Charge Due"),"Closed",IF($AK405&lt;TODAY(),"Overdue",IF($AK405=TODAY(),"Due","Open")))),"")</f>
        <v/>
      </c>
      <c r="AM405" s="49">
        <f>IFERROR(IF($A405="","",IF(COUNTIF($A$5:$A$504,$A405)&gt;1,"Duplicate reservation ID",IF($C405&lt;=$B405,"Check stay dates",IF($G405&gt;$F405,"Resold nights exceed booked nights",IF($M405+$N405&gt;$AA405+0.01,"Collection exceeds expected amount",IF(AND($S405="Collected",$M405=0),"Collected status has no amount",IF($AJ405&gt;='Assumptions'!$B$10,"High-cost review","OK"))))))),"")</f>
        <v/>
      </c>
    </row>
    <row r="406">
      <c r="A406" s="38" t="n"/>
      <c r="B406" s="39" t="n"/>
      <c r="C406" s="39" t="n"/>
      <c r="D406" s="38" t="n"/>
      <c r="E406" s="38" t="n"/>
      <c r="F406" s="40" t="n"/>
      <c r="G406" s="40" t="n"/>
      <c r="H406" s="41" t="n"/>
      <c r="I406" s="41" t="n"/>
      <c r="J406" s="42" t="n"/>
      <c r="K406" s="42" t="n"/>
      <c r="L406" s="42" t="n"/>
      <c r="M406" s="41" t="n"/>
      <c r="N406" s="41" t="n"/>
      <c r="O406" s="41" t="n"/>
      <c r="P406" s="41" t="n"/>
      <c r="Q406" s="40" t="n"/>
      <c r="R406" s="38" t="n"/>
      <c r="S406" s="38" t="n"/>
      <c r="T406" s="39" t="n"/>
      <c r="U406" s="43" t="n"/>
      <c r="V406" s="44">
        <f>IFERROR(IF($A406="","",MAX($F406-$G406,0)),"")</f>
        <v/>
      </c>
      <c r="W406" s="45">
        <f>IFERROR(IF($A406="","",$H406+$I406),"")</f>
        <v/>
      </c>
      <c r="X406" s="45">
        <f>IFERROR(IF($A406="","",$H406*IF($J406="",'Assumptions'!$B$4,$J406)),"")</f>
        <v/>
      </c>
      <c r="Y406" s="45">
        <f>IFERROR(IF($A406="","",$X406*IF($K406="",'Assumptions'!$B$12,$K406)),"")</f>
        <v/>
      </c>
      <c r="Z406" s="45">
        <f>IFERROR(IF($A406="","",($X406+$Y406)*IF($L406="",'Assumptions'!$B$13,$L406)),"")</f>
        <v/>
      </c>
      <c r="AA406" s="45">
        <f>IFERROR(IF($A406="","",$X406+$Y406+$Z406),"")</f>
        <v/>
      </c>
      <c r="AB406" s="45">
        <f>IFERROR(IF($A406="","",$V406*'Assumptions'!$B$5),"")</f>
        <v/>
      </c>
      <c r="AC406" s="45">
        <f>IFERROR(IF($A406="","",$I406*'Assumptions'!$B$6),"")</f>
        <v/>
      </c>
      <c r="AD406" s="45">
        <f>IFERROR(IF($A406="","",$AB406+$AC406),"")</f>
        <v/>
      </c>
      <c r="AE406" s="45">
        <f>IFERROR(IF($A406="","",($M406+$N406)*'Assumptions'!$B$7),"")</f>
        <v/>
      </c>
      <c r="AF406" s="45">
        <f>IFERROR(IF($A406="","",($Q406/60)*'Assumptions'!$B$8),"")</f>
        <v/>
      </c>
      <c r="AG406" s="45">
        <f>IFERROR(IF($A406="","",$P406+$AE406+$AF406),"")</f>
        <v/>
      </c>
      <c r="AH406" s="45">
        <f>IFERROR(IF($A406="","",$M406+$O406),"")</f>
        <v/>
      </c>
      <c r="AI406" s="46">
        <f>IFERROR(IF($A406="","",IFERROR($AH406/$W406,0)),"")</f>
        <v/>
      </c>
      <c r="AJ406" s="45">
        <f>IFERROR(IF($A406="","",$W406-$AH406-$AD406+$AG406),"")</f>
        <v/>
      </c>
      <c r="AK406" s="47">
        <f>IFERROR(IF($A406="","",IF(OR($S406="Collected",$S406="Waived",$S406="Uncollectible",$S406="No Charge Due"),"",IF($T406="",$B406+'Assumptions'!$B$9,$T406+'Assumptions'!$B$9))),"")</f>
        <v/>
      </c>
      <c r="AL406" s="48">
        <f>IFERROR(IF($A406="","",IF(OR($S406="Collected",$S406="Waived",$S406="Uncollectible",$S406="No Charge Due"),"Closed",IF($AK406&lt;TODAY(),"Overdue",IF($AK406=TODAY(),"Due","Open")))),"")</f>
        <v/>
      </c>
      <c r="AM406" s="49">
        <f>IFERROR(IF($A406="","",IF(COUNTIF($A$5:$A$504,$A406)&gt;1,"Duplicate reservation ID",IF($C406&lt;=$B406,"Check stay dates",IF($G406&gt;$F406,"Resold nights exceed booked nights",IF($M406+$N406&gt;$AA406+0.01,"Collection exceeds expected amount",IF(AND($S406="Collected",$M406=0),"Collected status has no amount",IF($AJ406&gt;='Assumptions'!$B$10,"High-cost review","OK"))))))),"")</f>
        <v/>
      </c>
    </row>
    <row r="407">
      <c r="A407" s="38" t="n"/>
      <c r="B407" s="39" t="n"/>
      <c r="C407" s="39" t="n"/>
      <c r="D407" s="38" t="n"/>
      <c r="E407" s="38" t="n"/>
      <c r="F407" s="40" t="n"/>
      <c r="G407" s="40" t="n"/>
      <c r="H407" s="41" t="n"/>
      <c r="I407" s="41" t="n"/>
      <c r="J407" s="42" t="n"/>
      <c r="K407" s="42" t="n"/>
      <c r="L407" s="42" t="n"/>
      <c r="M407" s="41" t="n"/>
      <c r="N407" s="41" t="n"/>
      <c r="O407" s="41" t="n"/>
      <c r="P407" s="41" t="n"/>
      <c r="Q407" s="40" t="n"/>
      <c r="R407" s="38" t="n"/>
      <c r="S407" s="38" t="n"/>
      <c r="T407" s="39" t="n"/>
      <c r="U407" s="43" t="n"/>
      <c r="V407" s="44">
        <f>IFERROR(IF($A407="","",MAX($F407-$G407,0)),"")</f>
        <v/>
      </c>
      <c r="W407" s="45">
        <f>IFERROR(IF($A407="","",$H407+$I407),"")</f>
        <v/>
      </c>
      <c r="X407" s="45">
        <f>IFERROR(IF($A407="","",$H407*IF($J407="",'Assumptions'!$B$4,$J407)),"")</f>
        <v/>
      </c>
      <c r="Y407" s="45">
        <f>IFERROR(IF($A407="","",$X407*IF($K407="",'Assumptions'!$B$12,$K407)),"")</f>
        <v/>
      </c>
      <c r="Z407" s="45">
        <f>IFERROR(IF($A407="","",($X407+$Y407)*IF($L407="",'Assumptions'!$B$13,$L407)),"")</f>
        <v/>
      </c>
      <c r="AA407" s="45">
        <f>IFERROR(IF($A407="","",$X407+$Y407+$Z407),"")</f>
        <v/>
      </c>
      <c r="AB407" s="45">
        <f>IFERROR(IF($A407="","",$V407*'Assumptions'!$B$5),"")</f>
        <v/>
      </c>
      <c r="AC407" s="45">
        <f>IFERROR(IF($A407="","",$I407*'Assumptions'!$B$6),"")</f>
        <v/>
      </c>
      <c r="AD407" s="45">
        <f>IFERROR(IF($A407="","",$AB407+$AC407),"")</f>
        <v/>
      </c>
      <c r="AE407" s="45">
        <f>IFERROR(IF($A407="","",($M407+$N407)*'Assumptions'!$B$7),"")</f>
        <v/>
      </c>
      <c r="AF407" s="45">
        <f>IFERROR(IF($A407="","",($Q407/60)*'Assumptions'!$B$8),"")</f>
        <v/>
      </c>
      <c r="AG407" s="45">
        <f>IFERROR(IF($A407="","",$P407+$AE407+$AF407),"")</f>
        <v/>
      </c>
      <c r="AH407" s="45">
        <f>IFERROR(IF($A407="","",$M407+$O407),"")</f>
        <v/>
      </c>
      <c r="AI407" s="46">
        <f>IFERROR(IF($A407="","",IFERROR($AH407/$W407,0)),"")</f>
        <v/>
      </c>
      <c r="AJ407" s="45">
        <f>IFERROR(IF($A407="","",$W407-$AH407-$AD407+$AG407),"")</f>
        <v/>
      </c>
      <c r="AK407" s="47">
        <f>IFERROR(IF($A407="","",IF(OR($S407="Collected",$S407="Waived",$S407="Uncollectible",$S407="No Charge Due"),"",IF($T407="",$B407+'Assumptions'!$B$9,$T407+'Assumptions'!$B$9))),"")</f>
        <v/>
      </c>
      <c r="AL407" s="48">
        <f>IFERROR(IF($A407="","",IF(OR($S407="Collected",$S407="Waived",$S407="Uncollectible",$S407="No Charge Due"),"Closed",IF($AK407&lt;TODAY(),"Overdue",IF($AK407=TODAY(),"Due","Open")))),"")</f>
        <v/>
      </c>
      <c r="AM407" s="49">
        <f>IFERROR(IF($A407="","",IF(COUNTIF($A$5:$A$504,$A407)&gt;1,"Duplicate reservation ID",IF($C407&lt;=$B407,"Check stay dates",IF($G407&gt;$F407,"Resold nights exceed booked nights",IF($M407+$N407&gt;$AA407+0.01,"Collection exceeds expected amount",IF(AND($S407="Collected",$M407=0),"Collected status has no amount",IF($AJ407&gt;='Assumptions'!$B$10,"High-cost review","OK"))))))),"")</f>
        <v/>
      </c>
    </row>
    <row r="408">
      <c r="A408" s="38" t="n"/>
      <c r="B408" s="39" t="n"/>
      <c r="C408" s="39" t="n"/>
      <c r="D408" s="38" t="n"/>
      <c r="E408" s="38" t="n"/>
      <c r="F408" s="40" t="n"/>
      <c r="G408" s="40" t="n"/>
      <c r="H408" s="41" t="n"/>
      <c r="I408" s="41" t="n"/>
      <c r="J408" s="42" t="n"/>
      <c r="K408" s="42" t="n"/>
      <c r="L408" s="42" t="n"/>
      <c r="M408" s="41" t="n"/>
      <c r="N408" s="41" t="n"/>
      <c r="O408" s="41" t="n"/>
      <c r="P408" s="41" t="n"/>
      <c r="Q408" s="40" t="n"/>
      <c r="R408" s="38" t="n"/>
      <c r="S408" s="38" t="n"/>
      <c r="T408" s="39" t="n"/>
      <c r="U408" s="43" t="n"/>
      <c r="V408" s="44">
        <f>IFERROR(IF($A408="","",MAX($F408-$G408,0)),"")</f>
        <v/>
      </c>
      <c r="W408" s="45">
        <f>IFERROR(IF($A408="","",$H408+$I408),"")</f>
        <v/>
      </c>
      <c r="X408" s="45">
        <f>IFERROR(IF($A408="","",$H408*IF($J408="",'Assumptions'!$B$4,$J408)),"")</f>
        <v/>
      </c>
      <c r="Y408" s="45">
        <f>IFERROR(IF($A408="","",$X408*IF($K408="",'Assumptions'!$B$12,$K408)),"")</f>
        <v/>
      </c>
      <c r="Z408" s="45">
        <f>IFERROR(IF($A408="","",($X408+$Y408)*IF($L408="",'Assumptions'!$B$13,$L408)),"")</f>
        <v/>
      </c>
      <c r="AA408" s="45">
        <f>IFERROR(IF($A408="","",$X408+$Y408+$Z408),"")</f>
        <v/>
      </c>
      <c r="AB408" s="45">
        <f>IFERROR(IF($A408="","",$V408*'Assumptions'!$B$5),"")</f>
        <v/>
      </c>
      <c r="AC408" s="45">
        <f>IFERROR(IF($A408="","",$I408*'Assumptions'!$B$6),"")</f>
        <v/>
      </c>
      <c r="AD408" s="45">
        <f>IFERROR(IF($A408="","",$AB408+$AC408),"")</f>
        <v/>
      </c>
      <c r="AE408" s="45">
        <f>IFERROR(IF($A408="","",($M408+$N408)*'Assumptions'!$B$7),"")</f>
        <v/>
      </c>
      <c r="AF408" s="45">
        <f>IFERROR(IF($A408="","",($Q408/60)*'Assumptions'!$B$8),"")</f>
        <v/>
      </c>
      <c r="AG408" s="45">
        <f>IFERROR(IF($A408="","",$P408+$AE408+$AF408),"")</f>
        <v/>
      </c>
      <c r="AH408" s="45">
        <f>IFERROR(IF($A408="","",$M408+$O408),"")</f>
        <v/>
      </c>
      <c r="AI408" s="46">
        <f>IFERROR(IF($A408="","",IFERROR($AH408/$W408,0)),"")</f>
        <v/>
      </c>
      <c r="AJ408" s="45">
        <f>IFERROR(IF($A408="","",$W408-$AH408-$AD408+$AG408),"")</f>
        <v/>
      </c>
      <c r="AK408" s="47">
        <f>IFERROR(IF($A408="","",IF(OR($S408="Collected",$S408="Waived",$S408="Uncollectible",$S408="No Charge Due"),"",IF($T408="",$B408+'Assumptions'!$B$9,$T408+'Assumptions'!$B$9))),"")</f>
        <v/>
      </c>
      <c r="AL408" s="48">
        <f>IFERROR(IF($A408="","",IF(OR($S408="Collected",$S408="Waived",$S408="Uncollectible",$S408="No Charge Due"),"Closed",IF($AK408&lt;TODAY(),"Overdue",IF($AK408=TODAY(),"Due","Open")))),"")</f>
        <v/>
      </c>
      <c r="AM408" s="49">
        <f>IFERROR(IF($A408="","",IF(COUNTIF($A$5:$A$504,$A408)&gt;1,"Duplicate reservation ID",IF($C408&lt;=$B408,"Check stay dates",IF($G408&gt;$F408,"Resold nights exceed booked nights",IF($M408+$N408&gt;$AA408+0.01,"Collection exceeds expected amount",IF(AND($S408="Collected",$M408=0),"Collected status has no amount",IF($AJ408&gt;='Assumptions'!$B$10,"High-cost review","OK"))))))),"")</f>
        <v/>
      </c>
    </row>
    <row r="409">
      <c r="A409" s="38" t="n"/>
      <c r="B409" s="39" t="n"/>
      <c r="C409" s="39" t="n"/>
      <c r="D409" s="38" t="n"/>
      <c r="E409" s="38" t="n"/>
      <c r="F409" s="40" t="n"/>
      <c r="G409" s="40" t="n"/>
      <c r="H409" s="41" t="n"/>
      <c r="I409" s="41" t="n"/>
      <c r="J409" s="42" t="n"/>
      <c r="K409" s="42" t="n"/>
      <c r="L409" s="42" t="n"/>
      <c r="M409" s="41" t="n"/>
      <c r="N409" s="41" t="n"/>
      <c r="O409" s="41" t="n"/>
      <c r="P409" s="41" t="n"/>
      <c r="Q409" s="40" t="n"/>
      <c r="R409" s="38" t="n"/>
      <c r="S409" s="38" t="n"/>
      <c r="T409" s="39" t="n"/>
      <c r="U409" s="43" t="n"/>
      <c r="V409" s="44">
        <f>IFERROR(IF($A409="","",MAX($F409-$G409,0)),"")</f>
        <v/>
      </c>
      <c r="W409" s="45">
        <f>IFERROR(IF($A409="","",$H409+$I409),"")</f>
        <v/>
      </c>
      <c r="X409" s="45">
        <f>IFERROR(IF($A409="","",$H409*IF($J409="",'Assumptions'!$B$4,$J409)),"")</f>
        <v/>
      </c>
      <c r="Y409" s="45">
        <f>IFERROR(IF($A409="","",$X409*IF($K409="",'Assumptions'!$B$12,$K409)),"")</f>
        <v/>
      </c>
      <c r="Z409" s="45">
        <f>IFERROR(IF($A409="","",($X409+$Y409)*IF($L409="",'Assumptions'!$B$13,$L409)),"")</f>
        <v/>
      </c>
      <c r="AA409" s="45">
        <f>IFERROR(IF($A409="","",$X409+$Y409+$Z409),"")</f>
        <v/>
      </c>
      <c r="AB409" s="45">
        <f>IFERROR(IF($A409="","",$V409*'Assumptions'!$B$5),"")</f>
        <v/>
      </c>
      <c r="AC409" s="45">
        <f>IFERROR(IF($A409="","",$I409*'Assumptions'!$B$6),"")</f>
        <v/>
      </c>
      <c r="AD409" s="45">
        <f>IFERROR(IF($A409="","",$AB409+$AC409),"")</f>
        <v/>
      </c>
      <c r="AE409" s="45">
        <f>IFERROR(IF($A409="","",($M409+$N409)*'Assumptions'!$B$7),"")</f>
        <v/>
      </c>
      <c r="AF409" s="45">
        <f>IFERROR(IF($A409="","",($Q409/60)*'Assumptions'!$B$8),"")</f>
        <v/>
      </c>
      <c r="AG409" s="45">
        <f>IFERROR(IF($A409="","",$P409+$AE409+$AF409),"")</f>
        <v/>
      </c>
      <c r="AH409" s="45">
        <f>IFERROR(IF($A409="","",$M409+$O409),"")</f>
        <v/>
      </c>
      <c r="AI409" s="46">
        <f>IFERROR(IF($A409="","",IFERROR($AH409/$W409,0)),"")</f>
        <v/>
      </c>
      <c r="AJ409" s="45">
        <f>IFERROR(IF($A409="","",$W409-$AH409-$AD409+$AG409),"")</f>
        <v/>
      </c>
      <c r="AK409" s="47">
        <f>IFERROR(IF($A409="","",IF(OR($S409="Collected",$S409="Waived",$S409="Uncollectible",$S409="No Charge Due"),"",IF($T409="",$B409+'Assumptions'!$B$9,$T409+'Assumptions'!$B$9))),"")</f>
        <v/>
      </c>
      <c r="AL409" s="48">
        <f>IFERROR(IF($A409="","",IF(OR($S409="Collected",$S409="Waived",$S409="Uncollectible",$S409="No Charge Due"),"Closed",IF($AK409&lt;TODAY(),"Overdue",IF($AK409=TODAY(),"Due","Open")))),"")</f>
        <v/>
      </c>
      <c r="AM409" s="49">
        <f>IFERROR(IF($A409="","",IF(COUNTIF($A$5:$A$504,$A409)&gt;1,"Duplicate reservation ID",IF($C409&lt;=$B409,"Check stay dates",IF($G409&gt;$F409,"Resold nights exceed booked nights",IF($M409+$N409&gt;$AA409+0.01,"Collection exceeds expected amount",IF(AND($S409="Collected",$M409=0),"Collected status has no amount",IF($AJ409&gt;='Assumptions'!$B$10,"High-cost review","OK"))))))),"")</f>
        <v/>
      </c>
    </row>
    <row r="410">
      <c r="A410" s="38" t="n"/>
      <c r="B410" s="39" t="n"/>
      <c r="C410" s="39" t="n"/>
      <c r="D410" s="38" t="n"/>
      <c r="E410" s="38" t="n"/>
      <c r="F410" s="40" t="n"/>
      <c r="G410" s="40" t="n"/>
      <c r="H410" s="41" t="n"/>
      <c r="I410" s="41" t="n"/>
      <c r="J410" s="42" t="n"/>
      <c r="K410" s="42" t="n"/>
      <c r="L410" s="42" t="n"/>
      <c r="M410" s="41" t="n"/>
      <c r="N410" s="41" t="n"/>
      <c r="O410" s="41" t="n"/>
      <c r="P410" s="41" t="n"/>
      <c r="Q410" s="40" t="n"/>
      <c r="R410" s="38" t="n"/>
      <c r="S410" s="38" t="n"/>
      <c r="T410" s="39" t="n"/>
      <c r="U410" s="43" t="n"/>
      <c r="V410" s="44">
        <f>IFERROR(IF($A410="","",MAX($F410-$G410,0)),"")</f>
        <v/>
      </c>
      <c r="W410" s="45">
        <f>IFERROR(IF($A410="","",$H410+$I410),"")</f>
        <v/>
      </c>
      <c r="X410" s="45">
        <f>IFERROR(IF($A410="","",$H410*IF($J410="",'Assumptions'!$B$4,$J410)),"")</f>
        <v/>
      </c>
      <c r="Y410" s="45">
        <f>IFERROR(IF($A410="","",$X410*IF($K410="",'Assumptions'!$B$12,$K410)),"")</f>
        <v/>
      </c>
      <c r="Z410" s="45">
        <f>IFERROR(IF($A410="","",($X410+$Y410)*IF($L410="",'Assumptions'!$B$13,$L410)),"")</f>
        <v/>
      </c>
      <c r="AA410" s="45">
        <f>IFERROR(IF($A410="","",$X410+$Y410+$Z410),"")</f>
        <v/>
      </c>
      <c r="AB410" s="45">
        <f>IFERROR(IF($A410="","",$V410*'Assumptions'!$B$5),"")</f>
        <v/>
      </c>
      <c r="AC410" s="45">
        <f>IFERROR(IF($A410="","",$I410*'Assumptions'!$B$6),"")</f>
        <v/>
      </c>
      <c r="AD410" s="45">
        <f>IFERROR(IF($A410="","",$AB410+$AC410),"")</f>
        <v/>
      </c>
      <c r="AE410" s="45">
        <f>IFERROR(IF($A410="","",($M410+$N410)*'Assumptions'!$B$7),"")</f>
        <v/>
      </c>
      <c r="AF410" s="45">
        <f>IFERROR(IF($A410="","",($Q410/60)*'Assumptions'!$B$8),"")</f>
        <v/>
      </c>
      <c r="AG410" s="45">
        <f>IFERROR(IF($A410="","",$P410+$AE410+$AF410),"")</f>
        <v/>
      </c>
      <c r="AH410" s="45">
        <f>IFERROR(IF($A410="","",$M410+$O410),"")</f>
        <v/>
      </c>
      <c r="AI410" s="46">
        <f>IFERROR(IF($A410="","",IFERROR($AH410/$W410,0)),"")</f>
        <v/>
      </c>
      <c r="AJ410" s="45">
        <f>IFERROR(IF($A410="","",$W410-$AH410-$AD410+$AG410),"")</f>
        <v/>
      </c>
      <c r="AK410" s="47">
        <f>IFERROR(IF($A410="","",IF(OR($S410="Collected",$S410="Waived",$S410="Uncollectible",$S410="No Charge Due"),"",IF($T410="",$B410+'Assumptions'!$B$9,$T410+'Assumptions'!$B$9))),"")</f>
        <v/>
      </c>
      <c r="AL410" s="48">
        <f>IFERROR(IF($A410="","",IF(OR($S410="Collected",$S410="Waived",$S410="Uncollectible",$S410="No Charge Due"),"Closed",IF($AK410&lt;TODAY(),"Overdue",IF($AK410=TODAY(),"Due","Open")))),"")</f>
        <v/>
      </c>
      <c r="AM410" s="49">
        <f>IFERROR(IF($A410="","",IF(COUNTIF($A$5:$A$504,$A410)&gt;1,"Duplicate reservation ID",IF($C410&lt;=$B410,"Check stay dates",IF($G410&gt;$F410,"Resold nights exceed booked nights",IF($M410+$N410&gt;$AA410+0.01,"Collection exceeds expected amount",IF(AND($S410="Collected",$M410=0),"Collected status has no amount",IF($AJ410&gt;='Assumptions'!$B$10,"High-cost review","OK"))))))),"")</f>
        <v/>
      </c>
    </row>
    <row r="411">
      <c r="A411" s="38" t="n"/>
      <c r="B411" s="39" t="n"/>
      <c r="C411" s="39" t="n"/>
      <c r="D411" s="38" t="n"/>
      <c r="E411" s="38" t="n"/>
      <c r="F411" s="40" t="n"/>
      <c r="G411" s="40" t="n"/>
      <c r="H411" s="41" t="n"/>
      <c r="I411" s="41" t="n"/>
      <c r="J411" s="42" t="n"/>
      <c r="K411" s="42" t="n"/>
      <c r="L411" s="42" t="n"/>
      <c r="M411" s="41" t="n"/>
      <c r="N411" s="41" t="n"/>
      <c r="O411" s="41" t="n"/>
      <c r="P411" s="41" t="n"/>
      <c r="Q411" s="40" t="n"/>
      <c r="R411" s="38" t="n"/>
      <c r="S411" s="38" t="n"/>
      <c r="T411" s="39" t="n"/>
      <c r="U411" s="43" t="n"/>
      <c r="V411" s="44">
        <f>IFERROR(IF($A411="","",MAX($F411-$G411,0)),"")</f>
        <v/>
      </c>
      <c r="W411" s="45">
        <f>IFERROR(IF($A411="","",$H411+$I411),"")</f>
        <v/>
      </c>
      <c r="X411" s="45">
        <f>IFERROR(IF($A411="","",$H411*IF($J411="",'Assumptions'!$B$4,$J411)),"")</f>
        <v/>
      </c>
      <c r="Y411" s="45">
        <f>IFERROR(IF($A411="","",$X411*IF($K411="",'Assumptions'!$B$12,$K411)),"")</f>
        <v/>
      </c>
      <c r="Z411" s="45">
        <f>IFERROR(IF($A411="","",($X411+$Y411)*IF($L411="",'Assumptions'!$B$13,$L411)),"")</f>
        <v/>
      </c>
      <c r="AA411" s="45">
        <f>IFERROR(IF($A411="","",$X411+$Y411+$Z411),"")</f>
        <v/>
      </c>
      <c r="AB411" s="45">
        <f>IFERROR(IF($A411="","",$V411*'Assumptions'!$B$5),"")</f>
        <v/>
      </c>
      <c r="AC411" s="45">
        <f>IFERROR(IF($A411="","",$I411*'Assumptions'!$B$6),"")</f>
        <v/>
      </c>
      <c r="AD411" s="45">
        <f>IFERROR(IF($A411="","",$AB411+$AC411),"")</f>
        <v/>
      </c>
      <c r="AE411" s="45">
        <f>IFERROR(IF($A411="","",($M411+$N411)*'Assumptions'!$B$7),"")</f>
        <v/>
      </c>
      <c r="AF411" s="45">
        <f>IFERROR(IF($A411="","",($Q411/60)*'Assumptions'!$B$8),"")</f>
        <v/>
      </c>
      <c r="AG411" s="45">
        <f>IFERROR(IF($A411="","",$P411+$AE411+$AF411),"")</f>
        <v/>
      </c>
      <c r="AH411" s="45">
        <f>IFERROR(IF($A411="","",$M411+$O411),"")</f>
        <v/>
      </c>
      <c r="AI411" s="46">
        <f>IFERROR(IF($A411="","",IFERROR($AH411/$W411,0)),"")</f>
        <v/>
      </c>
      <c r="AJ411" s="45">
        <f>IFERROR(IF($A411="","",$W411-$AH411-$AD411+$AG411),"")</f>
        <v/>
      </c>
      <c r="AK411" s="47">
        <f>IFERROR(IF($A411="","",IF(OR($S411="Collected",$S411="Waived",$S411="Uncollectible",$S411="No Charge Due"),"",IF($T411="",$B411+'Assumptions'!$B$9,$T411+'Assumptions'!$B$9))),"")</f>
        <v/>
      </c>
      <c r="AL411" s="48">
        <f>IFERROR(IF($A411="","",IF(OR($S411="Collected",$S411="Waived",$S411="Uncollectible",$S411="No Charge Due"),"Closed",IF($AK411&lt;TODAY(),"Overdue",IF($AK411=TODAY(),"Due","Open")))),"")</f>
        <v/>
      </c>
      <c r="AM411" s="49">
        <f>IFERROR(IF($A411="","",IF(COUNTIF($A$5:$A$504,$A411)&gt;1,"Duplicate reservation ID",IF($C411&lt;=$B411,"Check stay dates",IF($G411&gt;$F411,"Resold nights exceed booked nights",IF($M411+$N411&gt;$AA411+0.01,"Collection exceeds expected amount",IF(AND($S411="Collected",$M411=0),"Collected status has no amount",IF($AJ411&gt;='Assumptions'!$B$10,"High-cost review","OK"))))))),"")</f>
        <v/>
      </c>
    </row>
    <row r="412">
      <c r="A412" s="38" t="n"/>
      <c r="B412" s="39" t="n"/>
      <c r="C412" s="39" t="n"/>
      <c r="D412" s="38" t="n"/>
      <c r="E412" s="38" t="n"/>
      <c r="F412" s="40" t="n"/>
      <c r="G412" s="40" t="n"/>
      <c r="H412" s="41" t="n"/>
      <c r="I412" s="41" t="n"/>
      <c r="J412" s="42" t="n"/>
      <c r="K412" s="42" t="n"/>
      <c r="L412" s="42" t="n"/>
      <c r="M412" s="41" t="n"/>
      <c r="N412" s="41" t="n"/>
      <c r="O412" s="41" t="n"/>
      <c r="P412" s="41" t="n"/>
      <c r="Q412" s="40" t="n"/>
      <c r="R412" s="38" t="n"/>
      <c r="S412" s="38" t="n"/>
      <c r="T412" s="39" t="n"/>
      <c r="U412" s="43" t="n"/>
      <c r="V412" s="44">
        <f>IFERROR(IF($A412="","",MAX($F412-$G412,0)),"")</f>
        <v/>
      </c>
      <c r="W412" s="45">
        <f>IFERROR(IF($A412="","",$H412+$I412),"")</f>
        <v/>
      </c>
      <c r="X412" s="45">
        <f>IFERROR(IF($A412="","",$H412*IF($J412="",'Assumptions'!$B$4,$J412)),"")</f>
        <v/>
      </c>
      <c r="Y412" s="45">
        <f>IFERROR(IF($A412="","",$X412*IF($K412="",'Assumptions'!$B$12,$K412)),"")</f>
        <v/>
      </c>
      <c r="Z412" s="45">
        <f>IFERROR(IF($A412="","",($X412+$Y412)*IF($L412="",'Assumptions'!$B$13,$L412)),"")</f>
        <v/>
      </c>
      <c r="AA412" s="45">
        <f>IFERROR(IF($A412="","",$X412+$Y412+$Z412),"")</f>
        <v/>
      </c>
      <c r="AB412" s="45">
        <f>IFERROR(IF($A412="","",$V412*'Assumptions'!$B$5),"")</f>
        <v/>
      </c>
      <c r="AC412" s="45">
        <f>IFERROR(IF($A412="","",$I412*'Assumptions'!$B$6),"")</f>
        <v/>
      </c>
      <c r="AD412" s="45">
        <f>IFERROR(IF($A412="","",$AB412+$AC412),"")</f>
        <v/>
      </c>
      <c r="AE412" s="45">
        <f>IFERROR(IF($A412="","",($M412+$N412)*'Assumptions'!$B$7),"")</f>
        <v/>
      </c>
      <c r="AF412" s="45">
        <f>IFERROR(IF($A412="","",($Q412/60)*'Assumptions'!$B$8),"")</f>
        <v/>
      </c>
      <c r="AG412" s="45">
        <f>IFERROR(IF($A412="","",$P412+$AE412+$AF412),"")</f>
        <v/>
      </c>
      <c r="AH412" s="45">
        <f>IFERROR(IF($A412="","",$M412+$O412),"")</f>
        <v/>
      </c>
      <c r="AI412" s="46">
        <f>IFERROR(IF($A412="","",IFERROR($AH412/$W412,0)),"")</f>
        <v/>
      </c>
      <c r="AJ412" s="45">
        <f>IFERROR(IF($A412="","",$W412-$AH412-$AD412+$AG412),"")</f>
        <v/>
      </c>
      <c r="AK412" s="47">
        <f>IFERROR(IF($A412="","",IF(OR($S412="Collected",$S412="Waived",$S412="Uncollectible",$S412="No Charge Due"),"",IF($T412="",$B412+'Assumptions'!$B$9,$T412+'Assumptions'!$B$9))),"")</f>
        <v/>
      </c>
      <c r="AL412" s="48">
        <f>IFERROR(IF($A412="","",IF(OR($S412="Collected",$S412="Waived",$S412="Uncollectible",$S412="No Charge Due"),"Closed",IF($AK412&lt;TODAY(),"Overdue",IF($AK412=TODAY(),"Due","Open")))),"")</f>
        <v/>
      </c>
      <c r="AM412" s="49">
        <f>IFERROR(IF($A412="","",IF(COUNTIF($A$5:$A$504,$A412)&gt;1,"Duplicate reservation ID",IF($C412&lt;=$B412,"Check stay dates",IF($G412&gt;$F412,"Resold nights exceed booked nights",IF($M412+$N412&gt;$AA412+0.01,"Collection exceeds expected amount",IF(AND($S412="Collected",$M412=0),"Collected status has no amount",IF($AJ412&gt;='Assumptions'!$B$10,"High-cost review","OK"))))))),"")</f>
        <v/>
      </c>
    </row>
    <row r="413">
      <c r="A413" s="38" t="n"/>
      <c r="B413" s="39" t="n"/>
      <c r="C413" s="39" t="n"/>
      <c r="D413" s="38" t="n"/>
      <c r="E413" s="38" t="n"/>
      <c r="F413" s="40" t="n"/>
      <c r="G413" s="40" t="n"/>
      <c r="H413" s="41" t="n"/>
      <c r="I413" s="41" t="n"/>
      <c r="J413" s="42" t="n"/>
      <c r="K413" s="42" t="n"/>
      <c r="L413" s="42" t="n"/>
      <c r="M413" s="41" t="n"/>
      <c r="N413" s="41" t="n"/>
      <c r="O413" s="41" t="n"/>
      <c r="P413" s="41" t="n"/>
      <c r="Q413" s="40" t="n"/>
      <c r="R413" s="38" t="n"/>
      <c r="S413" s="38" t="n"/>
      <c r="T413" s="39" t="n"/>
      <c r="U413" s="43" t="n"/>
      <c r="V413" s="44">
        <f>IFERROR(IF($A413="","",MAX($F413-$G413,0)),"")</f>
        <v/>
      </c>
      <c r="W413" s="45">
        <f>IFERROR(IF($A413="","",$H413+$I413),"")</f>
        <v/>
      </c>
      <c r="X413" s="45">
        <f>IFERROR(IF($A413="","",$H413*IF($J413="",'Assumptions'!$B$4,$J413)),"")</f>
        <v/>
      </c>
      <c r="Y413" s="45">
        <f>IFERROR(IF($A413="","",$X413*IF($K413="",'Assumptions'!$B$12,$K413)),"")</f>
        <v/>
      </c>
      <c r="Z413" s="45">
        <f>IFERROR(IF($A413="","",($X413+$Y413)*IF($L413="",'Assumptions'!$B$13,$L413)),"")</f>
        <v/>
      </c>
      <c r="AA413" s="45">
        <f>IFERROR(IF($A413="","",$X413+$Y413+$Z413),"")</f>
        <v/>
      </c>
      <c r="AB413" s="45">
        <f>IFERROR(IF($A413="","",$V413*'Assumptions'!$B$5),"")</f>
        <v/>
      </c>
      <c r="AC413" s="45">
        <f>IFERROR(IF($A413="","",$I413*'Assumptions'!$B$6),"")</f>
        <v/>
      </c>
      <c r="AD413" s="45">
        <f>IFERROR(IF($A413="","",$AB413+$AC413),"")</f>
        <v/>
      </c>
      <c r="AE413" s="45">
        <f>IFERROR(IF($A413="","",($M413+$N413)*'Assumptions'!$B$7),"")</f>
        <v/>
      </c>
      <c r="AF413" s="45">
        <f>IFERROR(IF($A413="","",($Q413/60)*'Assumptions'!$B$8),"")</f>
        <v/>
      </c>
      <c r="AG413" s="45">
        <f>IFERROR(IF($A413="","",$P413+$AE413+$AF413),"")</f>
        <v/>
      </c>
      <c r="AH413" s="45">
        <f>IFERROR(IF($A413="","",$M413+$O413),"")</f>
        <v/>
      </c>
      <c r="AI413" s="46">
        <f>IFERROR(IF($A413="","",IFERROR($AH413/$W413,0)),"")</f>
        <v/>
      </c>
      <c r="AJ413" s="45">
        <f>IFERROR(IF($A413="","",$W413-$AH413-$AD413+$AG413),"")</f>
        <v/>
      </c>
      <c r="AK413" s="47">
        <f>IFERROR(IF($A413="","",IF(OR($S413="Collected",$S413="Waived",$S413="Uncollectible",$S413="No Charge Due"),"",IF($T413="",$B413+'Assumptions'!$B$9,$T413+'Assumptions'!$B$9))),"")</f>
        <v/>
      </c>
      <c r="AL413" s="48">
        <f>IFERROR(IF($A413="","",IF(OR($S413="Collected",$S413="Waived",$S413="Uncollectible",$S413="No Charge Due"),"Closed",IF($AK413&lt;TODAY(),"Overdue",IF($AK413=TODAY(),"Due","Open")))),"")</f>
        <v/>
      </c>
      <c r="AM413" s="49">
        <f>IFERROR(IF($A413="","",IF(COUNTIF($A$5:$A$504,$A413)&gt;1,"Duplicate reservation ID",IF($C413&lt;=$B413,"Check stay dates",IF($G413&gt;$F413,"Resold nights exceed booked nights",IF($M413+$N413&gt;$AA413+0.01,"Collection exceeds expected amount",IF(AND($S413="Collected",$M413=0),"Collected status has no amount",IF($AJ413&gt;='Assumptions'!$B$10,"High-cost review","OK"))))))),"")</f>
        <v/>
      </c>
    </row>
    <row r="414">
      <c r="A414" s="38" t="n"/>
      <c r="B414" s="39" t="n"/>
      <c r="C414" s="39" t="n"/>
      <c r="D414" s="38" t="n"/>
      <c r="E414" s="38" t="n"/>
      <c r="F414" s="40" t="n"/>
      <c r="G414" s="40" t="n"/>
      <c r="H414" s="41" t="n"/>
      <c r="I414" s="41" t="n"/>
      <c r="J414" s="42" t="n"/>
      <c r="K414" s="42" t="n"/>
      <c r="L414" s="42" t="n"/>
      <c r="M414" s="41" t="n"/>
      <c r="N414" s="41" t="n"/>
      <c r="O414" s="41" t="n"/>
      <c r="P414" s="41" t="n"/>
      <c r="Q414" s="40" t="n"/>
      <c r="R414" s="38" t="n"/>
      <c r="S414" s="38" t="n"/>
      <c r="T414" s="39" t="n"/>
      <c r="U414" s="43" t="n"/>
      <c r="V414" s="44">
        <f>IFERROR(IF($A414="","",MAX($F414-$G414,0)),"")</f>
        <v/>
      </c>
      <c r="W414" s="45">
        <f>IFERROR(IF($A414="","",$H414+$I414),"")</f>
        <v/>
      </c>
      <c r="X414" s="45">
        <f>IFERROR(IF($A414="","",$H414*IF($J414="",'Assumptions'!$B$4,$J414)),"")</f>
        <v/>
      </c>
      <c r="Y414" s="45">
        <f>IFERROR(IF($A414="","",$X414*IF($K414="",'Assumptions'!$B$12,$K414)),"")</f>
        <v/>
      </c>
      <c r="Z414" s="45">
        <f>IFERROR(IF($A414="","",($X414+$Y414)*IF($L414="",'Assumptions'!$B$13,$L414)),"")</f>
        <v/>
      </c>
      <c r="AA414" s="45">
        <f>IFERROR(IF($A414="","",$X414+$Y414+$Z414),"")</f>
        <v/>
      </c>
      <c r="AB414" s="45">
        <f>IFERROR(IF($A414="","",$V414*'Assumptions'!$B$5),"")</f>
        <v/>
      </c>
      <c r="AC414" s="45">
        <f>IFERROR(IF($A414="","",$I414*'Assumptions'!$B$6),"")</f>
        <v/>
      </c>
      <c r="AD414" s="45">
        <f>IFERROR(IF($A414="","",$AB414+$AC414),"")</f>
        <v/>
      </c>
      <c r="AE414" s="45">
        <f>IFERROR(IF($A414="","",($M414+$N414)*'Assumptions'!$B$7),"")</f>
        <v/>
      </c>
      <c r="AF414" s="45">
        <f>IFERROR(IF($A414="","",($Q414/60)*'Assumptions'!$B$8),"")</f>
        <v/>
      </c>
      <c r="AG414" s="45">
        <f>IFERROR(IF($A414="","",$P414+$AE414+$AF414),"")</f>
        <v/>
      </c>
      <c r="AH414" s="45">
        <f>IFERROR(IF($A414="","",$M414+$O414),"")</f>
        <v/>
      </c>
      <c r="AI414" s="46">
        <f>IFERROR(IF($A414="","",IFERROR($AH414/$W414,0)),"")</f>
        <v/>
      </c>
      <c r="AJ414" s="45">
        <f>IFERROR(IF($A414="","",$W414-$AH414-$AD414+$AG414),"")</f>
        <v/>
      </c>
      <c r="AK414" s="47">
        <f>IFERROR(IF($A414="","",IF(OR($S414="Collected",$S414="Waived",$S414="Uncollectible",$S414="No Charge Due"),"",IF($T414="",$B414+'Assumptions'!$B$9,$T414+'Assumptions'!$B$9))),"")</f>
        <v/>
      </c>
      <c r="AL414" s="48">
        <f>IFERROR(IF($A414="","",IF(OR($S414="Collected",$S414="Waived",$S414="Uncollectible",$S414="No Charge Due"),"Closed",IF($AK414&lt;TODAY(),"Overdue",IF($AK414=TODAY(),"Due","Open")))),"")</f>
        <v/>
      </c>
      <c r="AM414" s="49">
        <f>IFERROR(IF($A414="","",IF(COUNTIF($A$5:$A$504,$A414)&gt;1,"Duplicate reservation ID",IF($C414&lt;=$B414,"Check stay dates",IF($G414&gt;$F414,"Resold nights exceed booked nights",IF($M414+$N414&gt;$AA414+0.01,"Collection exceeds expected amount",IF(AND($S414="Collected",$M414=0),"Collected status has no amount",IF($AJ414&gt;='Assumptions'!$B$10,"High-cost review","OK"))))))),"")</f>
        <v/>
      </c>
    </row>
    <row r="415">
      <c r="A415" s="38" t="n"/>
      <c r="B415" s="39" t="n"/>
      <c r="C415" s="39" t="n"/>
      <c r="D415" s="38" t="n"/>
      <c r="E415" s="38" t="n"/>
      <c r="F415" s="40" t="n"/>
      <c r="G415" s="40" t="n"/>
      <c r="H415" s="41" t="n"/>
      <c r="I415" s="41" t="n"/>
      <c r="J415" s="42" t="n"/>
      <c r="K415" s="42" t="n"/>
      <c r="L415" s="42" t="n"/>
      <c r="M415" s="41" t="n"/>
      <c r="N415" s="41" t="n"/>
      <c r="O415" s="41" t="n"/>
      <c r="P415" s="41" t="n"/>
      <c r="Q415" s="40" t="n"/>
      <c r="R415" s="38" t="n"/>
      <c r="S415" s="38" t="n"/>
      <c r="T415" s="39" t="n"/>
      <c r="U415" s="43" t="n"/>
      <c r="V415" s="44">
        <f>IFERROR(IF($A415="","",MAX($F415-$G415,0)),"")</f>
        <v/>
      </c>
      <c r="W415" s="45">
        <f>IFERROR(IF($A415="","",$H415+$I415),"")</f>
        <v/>
      </c>
      <c r="X415" s="45">
        <f>IFERROR(IF($A415="","",$H415*IF($J415="",'Assumptions'!$B$4,$J415)),"")</f>
        <v/>
      </c>
      <c r="Y415" s="45">
        <f>IFERROR(IF($A415="","",$X415*IF($K415="",'Assumptions'!$B$12,$K415)),"")</f>
        <v/>
      </c>
      <c r="Z415" s="45">
        <f>IFERROR(IF($A415="","",($X415+$Y415)*IF($L415="",'Assumptions'!$B$13,$L415)),"")</f>
        <v/>
      </c>
      <c r="AA415" s="45">
        <f>IFERROR(IF($A415="","",$X415+$Y415+$Z415),"")</f>
        <v/>
      </c>
      <c r="AB415" s="45">
        <f>IFERROR(IF($A415="","",$V415*'Assumptions'!$B$5),"")</f>
        <v/>
      </c>
      <c r="AC415" s="45">
        <f>IFERROR(IF($A415="","",$I415*'Assumptions'!$B$6),"")</f>
        <v/>
      </c>
      <c r="AD415" s="45">
        <f>IFERROR(IF($A415="","",$AB415+$AC415),"")</f>
        <v/>
      </c>
      <c r="AE415" s="45">
        <f>IFERROR(IF($A415="","",($M415+$N415)*'Assumptions'!$B$7),"")</f>
        <v/>
      </c>
      <c r="AF415" s="45">
        <f>IFERROR(IF($A415="","",($Q415/60)*'Assumptions'!$B$8),"")</f>
        <v/>
      </c>
      <c r="AG415" s="45">
        <f>IFERROR(IF($A415="","",$P415+$AE415+$AF415),"")</f>
        <v/>
      </c>
      <c r="AH415" s="45">
        <f>IFERROR(IF($A415="","",$M415+$O415),"")</f>
        <v/>
      </c>
      <c r="AI415" s="46">
        <f>IFERROR(IF($A415="","",IFERROR($AH415/$W415,0)),"")</f>
        <v/>
      </c>
      <c r="AJ415" s="45">
        <f>IFERROR(IF($A415="","",$W415-$AH415-$AD415+$AG415),"")</f>
        <v/>
      </c>
      <c r="AK415" s="47">
        <f>IFERROR(IF($A415="","",IF(OR($S415="Collected",$S415="Waived",$S415="Uncollectible",$S415="No Charge Due"),"",IF($T415="",$B415+'Assumptions'!$B$9,$T415+'Assumptions'!$B$9))),"")</f>
        <v/>
      </c>
      <c r="AL415" s="48">
        <f>IFERROR(IF($A415="","",IF(OR($S415="Collected",$S415="Waived",$S415="Uncollectible",$S415="No Charge Due"),"Closed",IF($AK415&lt;TODAY(),"Overdue",IF($AK415=TODAY(),"Due","Open")))),"")</f>
        <v/>
      </c>
      <c r="AM415" s="49">
        <f>IFERROR(IF($A415="","",IF(COUNTIF($A$5:$A$504,$A415)&gt;1,"Duplicate reservation ID",IF($C415&lt;=$B415,"Check stay dates",IF($G415&gt;$F415,"Resold nights exceed booked nights",IF($M415+$N415&gt;$AA415+0.01,"Collection exceeds expected amount",IF(AND($S415="Collected",$M415=0),"Collected status has no amount",IF($AJ415&gt;='Assumptions'!$B$10,"High-cost review","OK"))))))),"")</f>
        <v/>
      </c>
    </row>
    <row r="416">
      <c r="A416" s="38" t="n"/>
      <c r="B416" s="39" t="n"/>
      <c r="C416" s="39" t="n"/>
      <c r="D416" s="38" t="n"/>
      <c r="E416" s="38" t="n"/>
      <c r="F416" s="40" t="n"/>
      <c r="G416" s="40" t="n"/>
      <c r="H416" s="41" t="n"/>
      <c r="I416" s="41" t="n"/>
      <c r="J416" s="42" t="n"/>
      <c r="K416" s="42" t="n"/>
      <c r="L416" s="42" t="n"/>
      <c r="M416" s="41" t="n"/>
      <c r="N416" s="41" t="n"/>
      <c r="O416" s="41" t="n"/>
      <c r="P416" s="41" t="n"/>
      <c r="Q416" s="40" t="n"/>
      <c r="R416" s="38" t="n"/>
      <c r="S416" s="38" t="n"/>
      <c r="T416" s="39" t="n"/>
      <c r="U416" s="43" t="n"/>
      <c r="V416" s="44">
        <f>IFERROR(IF($A416="","",MAX($F416-$G416,0)),"")</f>
        <v/>
      </c>
      <c r="W416" s="45">
        <f>IFERROR(IF($A416="","",$H416+$I416),"")</f>
        <v/>
      </c>
      <c r="X416" s="45">
        <f>IFERROR(IF($A416="","",$H416*IF($J416="",'Assumptions'!$B$4,$J416)),"")</f>
        <v/>
      </c>
      <c r="Y416" s="45">
        <f>IFERROR(IF($A416="","",$X416*IF($K416="",'Assumptions'!$B$12,$K416)),"")</f>
        <v/>
      </c>
      <c r="Z416" s="45">
        <f>IFERROR(IF($A416="","",($X416+$Y416)*IF($L416="",'Assumptions'!$B$13,$L416)),"")</f>
        <v/>
      </c>
      <c r="AA416" s="45">
        <f>IFERROR(IF($A416="","",$X416+$Y416+$Z416),"")</f>
        <v/>
      </c>
      <c r="AB416" s="45">
        <f>IFERROR(IF($A416="","",$V416*'Assumptions'!$B$5),"")</f>
        <v/>
      </c>
      <c r="AC416" s="45">
        <f>IFERROR(IF($A416="","",$I416*'Assumptions'!$B$6),"")</f>
        <v/>
      </c>
      <c r="AD416" s="45">
        <f>IFERROR(IF($A416="","",$AB416+$AC416),"")</f>
        <v/>
      </c>
      <c r="AE416" s="45">
        <f>IFERROR(IF($A416="","",($M416+$N416)*'Assumptions'!$B$7),"")</f>
        <v/>
      </c>
      <c r="AF416" s="45">
        <f>IFERROR(IF($A416="","",($Q416/60)*'Assumptions'!$B$8),"")</f>
        <v/>
      </c>
      <c r="AG416" s="45">
        <f>IFERROR(IF($A416="","",$P416+$AE416+$AF416),"")</f>
        <v/>
      </c>
      <c r="AH416" s="45">
        <f>IFERROR(IF($A416="","",$M416+$O416),"")</f>
        <v/>
      </c>
      <c r="AI416" s="46">
        <f>IFERROR(IF($A416="","",IFERROR($AH416/$W416,0)),"")</f>
        <v/>
      </c>
      <c r="AJ416" s="45">
        <f>IFERROR(IF($A416="","",$W416-$AH416-$AD416+$AG416),"")</f>
        <v/>
      </c>
      <c r="AK416" s="47">
        <f>IFERROR(IF($A416="","",IF(OR($S416="Collected",$S416="Waived",$S416="Uncollectible",$S416="No Charge Due"),"",IF($T416="",$B416+'Assumptions'!$B$9,$T416+'Assumptions'!$B$9))),"")</f>
        <v/>
      </c>
      <c r="AL416" s="48">
        <f>IFERROR(IF($A416="","",IF(OR($S416="Collected",$S416="Waived",$S416="Uncollectible",$S416="No Charge Due"),"Closed",IF($AK416&lt;TODAY(),"Overdue",IF($AK416=TODAY(),"Due","Open")))),"")</f>
        <v/>
      </c>
      <c r="AM416" s="49">
        <f>IFERROR(IF($A416="","",IF(COUNTIF($A$5:$A$504,$A416)&gt;1,"Duplicate reservation ID",IF($C416&lt;=$B416,"Check stay dates",IF($G416&gt;$F416,"Resold nights exceed booked nights",IF($M416+$N416&gt;$AA416+0.01,"Collection exceeds expected amount",IF(AND($S416="Collected",$M416=0),"Collected status has no amount",IF($AJ416&gt;='Assumptions'!$B$10,"High-cost review","OK"))))))),"")</f>
        <v/>
      </c>
    </row>
    <row r="417">
      <c r="A417" s="38" t="n"/>
      <c r="B417" s="39" t="n"/>
      <c r="C417" s="39" t="n"/>
      <c r="D417" s="38" t="n"/>
      <c r="E417" s="38" t="n"/>
      <c r="F417" s="40" t="n"/>
      <c r="G417" s="40" t="n"/>
      <c r="H417" s="41" t="n"/>
      <c r="I417" s="41" t="n"/>
      <c r="J417" s="42" t="n"/>
      <c r="K417" s="42" t="n"/>
      <c r="L417" s="42" t="n"/>
      <c r="M417" s="41" t="n"/>
      <c r="N417" s="41" t="n"/>
      <c r="O417" s="41" t="n"/>
      <c r="P417" s="41" t="n"/>
      <c r="Q417" s="40" t="n"/>
      <c r="R417" s="38" t="n"/>
      <c r="S417" s="38" t="n"/>
      <c r="T417" s="39" t="n"/>
      <c r="U417" s="43" t="n"/>
      <c r="V417" s="44">
        <f>IFERROR(IF($A417="","",MAX($F417-$G417,0)),"")</f>
        <v/>
      </c>
      <c r="W417" s="45">
        <f>IFERROR(IF($A417="","",$H417+$I417),"")</f>
        <v/>
      </c>
      <c r="X417" s="45">
        <f>IFERROR(IF($A417="","",$H417*IF($J417="",'Assumptions'!$B$4,$J417)),"")</f>
        <v/>
      </c>
      <c r="Y417" s="45">
        <f>IFERROR(IF($A417="","",$X417*IF($K417="",'Assumptions'!$B$12,$K417)),"")</f>
        <v/>
      </c>
      <c r="Z417" s="45">
        <f>IFERROR(IF($A417="","",($X417+$Y417)*IF($L417="",'Assumptions'!$B$13,$L417)),"")</f>
        <v/>
      </c>
      <c r="AA417" s="45">
        <f>IFERROR(IF($A417="","",$X417+$Y417+$Z417),"")</f>
        <v/>
      </c>
      <c r="AB417" s="45">
        <f>IFERROR(IF($A417="","",$V417*'Assumptions'!$B$5),"")</f>
        <v/>
      </c>
      <c r="AC417" s="45">
        <f>IFERROR(IF($A417="","",$I417*'Assumptions'!$B$6),"")</f>
        <v/>
      </c>
      <c r="AD417" s="45">
        <f>IFERROR(IF($A417="","",$AB417+$AC417),"")</f>
        <v/>
      </c>
      <c r="AE417" s="45">
        <f>IFERROR(IF($A417="","",($M417+$N417)*'Assumptions'!$B$7),"")</f>
        <v/>
      </c>
      <c r="AF417" s="45">
        <f>IFERROR(IF($A417="","",($Q417/60)*'Assumptions'!$B$8),"")</f>
        <v/>
      </c>
      <c r="AG417" s="45">
        <f>IFERROR(IF($A417="","",$P417+$AE417+$AF417),"")</f>
        <v/>
      </c>
      <c r="AH417" s="45">
        <f>IFERROR(IF($A417="","",$M417+$O417),"")</f>
        <v/>
      </c>
      <c r="AI417" s="46">
        <f>IFERROR(IF($A417="","",IFERROR($AH417/$W417,0)),"")</f>
        <v/>
      </c>
      <c r="AJ417" s="45">
        <f>IFERROR(IF($A417="","",$W417-$AH417-$AD417+$AG417),"")</f>
        <v/>
      </c>
      <c r="AK417" s="47">
        <f>IFERROR(IF($A417="","",IF(OR($S417="Collected",$S417="Waived",$S417="Uncollectible",$S417="No Charge Due"),"",IF($T417="",$B417+'Assumptions'!$B$9,$T417+'Assumptions'!$B$9))),"")</f>
        <v/>
      </c>
      <c r="AL417" s="48">
        <f>IFERROR(IF($A417="","",IF(OR($S417="Collected",$S417="Waived",$S417="Uncollectible",$S417="No Charge Due"),"Closed",IF($AK417&lt;TODAY(),"Overdue",IF($AK417=TODAY(),"Due","Open")))),"")</f>
        <v/>
      </c>
      <c r="AM417" s="49">
        <f>IFERROR(IF($A417="","",IF(COUNTIF($A$5:$A$504,$A417)&gt;1,"Duplicate reservation ID",IF($C417&lt;=$B417,"Check stay dates",IF($G417&gt;$F417,"Resold nights exceed booked nights",IF($M417+$N417&gt;$AA417+0.01,"Collection exceeds expected amount",IF(AND($S417="Collected",$M417=0),"Collected status has no amount",IF($AJ417&gt;='Assumptions'!$B$10,"High-cost review","OK"))))))),"")</f>
        <v/>
      </c>
    </row>
    <row r="418">
      <c r="A418" s="38" t="n"/>
      <c r="B418" s="39" t="n"/>
      <c r="C418" s="39" t="n"/>
      <c r="D418" s="38" t="n"/>
      <c r="E418" s="38" t="n"/>
      <c r="F418" s="40" t="n"/>
      <c r="G418" s="40" t="n"/>
      <c r="H418" s="41" t="n"/>
      <c r="I418" s="41" t="n"/>
      <c r="J418" s="42" t="n"/>
      <c r="K418" s="42" t="n"/>
      <c r="L418" s="42" t="n"/>
      <c r="M418" s="41" t="n"/>
      <c r="N418" s="41" t="n"/>
      <c r="O418" s="41" t="n"/>
      <c r="P418" s="41" t="n"/>
      <c r="Q418" s="40" t="n"/>
      <c r="R418" s="38" t="n"/>
      <c r="S418" s="38" t="n"/>
      <c r="T418" s="39" t="n"/>
      <c r="U418" s="43" t="n"/>
      <c r="V418" s="44">
        <f>IFERROR(IF($A418="","",MAX($F418-$G418,0)),"")</f>
        <v/>
      </c>
      <c r="W418" s="45">
        <f>IFERROR(IF($A418="","",$H418+$I418),"")</f>
        <v/>
      </c>
      <c r="X418" s="45">
        <f>IFERROR(IF($A418="","",$H418*IF($J418="",'Assumptions'!$B$4,$J418)),"")</f>
        <v/>
      </c>
      <c r="Y418" s="45">
        <f>IFERROR(IF($A418="","",$X418*IF($K418="",'Assumptions'!$B$12,$K418)),"")</f>
        <v/>
      </c>
      <c r="Z418" s="45">
        <f>IFERROR(IF($A418="","",($X418+$Y418)*IF($L418="",'Assumptions'!$B$13,$L418)),"")</f>
        <v/>
      </c>
      <c r="AA418" s="45">
        <f>IFERROR(IF($A418="","",$X418+$Y418+$Z418),"")</f>
        <v/>
      </c>
      <c r="AB418" s="45">
        <f>IFERROR(IF($A418="","",$V418*'Assumptions'!$B$5),"")</f>
        <v/>
      </c>
      <c r="AC418" s="45">
        <f>IFERROR(IF($A418="","",$I418*'Assumptions'!$B$6),"")</f>
        <v/>
      </c>
      <c r="AD418" s="45">
        <f>IFERROR(IF($A418="","",$AB418+$AC418),"")</f>
        <v/>
      </c>
      <c r="AE418" s="45">
        <f>IFERROR(IF($A418="","",($M418+$N418)*'Assumptions'!$B$7),"")</f>
        <v/>
      </c>
      <c r="AF418" s="45">
        <f>IFERROR(IF($A418="","",($Q418/60)*'Assumptions'!$B$8),"")</f>
        <v/>
      </c>
      <c r="AG418" s="45">
        <f>IFERROR(IF($A418="","",$P418+$AE418+$AF418),"")</f>
        <v/>
      </c>
      <c r="AH418" s="45">
        <f>IFERROR(IF($A418="","",$M418+$O418),"")</f>
        <v/>
      </c>
      <c r="AI418" s="46">
        <f>IFERROR(IF($A418="","",IFERROR($AH418/$W418,0)),"")</f>
        <v/>
      </c>
      <c r="AJ418" s="45">
        <f>IFERROR(IF($A418="","",$W418-$AH418-$AD418+$AG418),"")</f>
        <v/>
      </c>
      <c r="AK418" s="47">
        <f>IFERROR(IF($A418="","",IF(OR($S418="Collected",$S418="Waived",$S418="Uncollectible",$S418="No Charge Due"),"",IF($T418="",$B418+'Assumptions'!$B$9,$T418+'Assumptions'!$B$9))),"")</f>
        <v/>
      </c>
      <c r="AL418" s="48">
        <f>IFERROR(IF($A418="","",IF(OR($S418="Collected",$S418="Waived",$S418="Uncollectible",$S418="No Charge Due"),"Closed",IF($AK418&lt;TODAY(),"Overdue",IF($AK418=TODAY(),"Due","Open")))),"")</f>
        <v/>
      </c>
      <c r="AM418" s="49">
        <f>IFERROR(IF($A418="","",IF(COUNTIF($A$5:$A$504,$A418)&gt;1,"Duplicate reservation ID",IF($C418&lt;=$B418,"Check stay dates",IF($G418&gt;$F418,"Resold nights exceed booked nights",IF($M418+$N418&gt;$AA418+0.01,"Collection exceeds expected amount",IF(AND($S418="Collected",$M418=0),"Collected status has no amount",IF($AJ418&gt;='Assumptions'!$B$10,"High-cost review","OK"))))))),"")</f>
        <v/>
      </c>
    </row>
    <row r="419">
      <c r="A419" s="38" t="n"/>
      <c r="B419" s="39" t="n"/>
      <c r="C419" s="39" t="n"/>
      <c r="D419" s="38" t="n"/>
      <c r="E419" s="38" t="n"/>
      <c r="F419" s="40" t="n"/>
      <c r="G419" s="40" t="n"/>
      <c r="H419" s="41" t="n"/>
      <c r="I419" s="41" t="n"/>
      <c r="J419" s="42" t="n"/>
      <c r="K419" s="42" t="n"/>
      <c r="L419" s="42" t="n"/>
      <c r="M419" s="41" t="n"/>
      <c r="N419" s="41" t="n"/>
      <c r="O419" s="41" t="n"/>
      <c r="P419" s="41" t="n"/>
      <c r="Q419" s="40" t="n"/>
      <c r="R419" s="38" t="n"/>
      <c r="S419" s="38" t="n"/>
      <c r="T419" s="39" t="n"/>
      <c r="U419" s="43" t="n"/>
      <c r="V419" s="44">
        <f>IFERROR(IF($A419="","",MAX($F419-$G419,0)),"")</f>
        <v/>
      </c>
      <c r="W419" s="45">
        <f>IFERROR(IF($A419="","",$H419+$I419),"")</f>
        <v/>
      </c>
      <c r="X419" s="45">
        <f>IFERROR(IF($A419="","",$H419*IF($J419="",'Assumptions'!$B$4,$J419)),"")</f>
        <v/>
      </c>
      <c r="Y419" s="45">
        <f>IFERROR(IF($A419="","",$X419*IF($K419="",'Assumptions'!$B$12,$K419)),"")</f>
        <v/>
      </c>
      <c r="Z419" s="45">
        <f>IFERROR(IF($A419="","",($X419+$Y419)*IF($L419="",'Assumptions'!$B$13,$L419)),"")</f>
        <v/>
      </c>
      <c r="AA419" s="45">
        <f>IFERROR(IF($A419="","",$X419+$Y419+$Z419),"")</f>
        <v/>
      </c>
      <c r="AB419" s="45">
        <f>IFERROR(IF($A419="","",$V419*'Assumptions'!$B$5),"")</f>
        <v/>
      </c>
      <c r="AC419" s="45">
        <f>IFERROR(IF($A419="","",$I419*'Assumptions'!$B$6),"")</f>
        <v/>
      </c>
      <c r="AD419" s="45">
        <f>IFERROR(IF($A419="","",$AB419+$AC419),"")</f>
        <v/>
      </c>
      <c r="AE419" s="45">
        <f>IFERROR(IF($A419="","",($M419+$N419)*'Assumptions'!$B$7),"")</f>
        <v/>
      </c>
      <c r="AF419" s="45">
        <f>IFERROR(IF($A419="","",($Q419/60)*'Assumptions'!$B$8),"")</f>
        <v/>
      </c>
      <c r="AG419" s="45">
        <f>IFERROR(IF($A419="","",$P419+$AE419+$AF419),"")</f>
        <v/>
      </c>
      <c r="AH419" s="45">
        <f>IFERROR(IF($A419="","",$M419+$O419),"")</f>
        <v/>
      </c>
      <c r="AI419" s="46">
        <f>IFERROR(IF($A419="","",IFERROR($AH419/$W419,0)),"")</f>
        <v/>
      </c>
      <c r="AJ419" s="45">
        <f>IFERROR(IF($A419="","",$W419-$AH419-$AD419+$AG419),"")</f>
        <v/>
      </c>
      <c r="AK419" s="47">
        <f>IFERROR(IF($A419="","",IF(OR($S419="Collected",$S419="Waived",$S419="Uncollectible",$S419="No Charge Due"),"",IF($T419="",$B419+'Assumptions'!$B$9,$T419+'Assumptions'!$B$9))),"")</f>
        <v/>
      </c>
      <c r="AL419" s="48">
        <f>IFERROR(IF($A419="","",IF(OR($S419="Collected",$S419="Waived",$S419="Uncollectible",$S419="No Charge Due"),"Closed",IF($AK419&lt;TODAY(),"Overdue",IF($AK419=TODAY(),"Due","Open")))),"")</f>
        <v/>
      </c>
      <c r="AM419" s="49">
        <f>IFERROR(IF($A419="","",IF(COUNTIF($A$5:$A$504,$A419)&gt;1,"Duplicate reservation ID",IF($C419&lt;=$B419,"Check stay dates",IF($G419&gt;$F419,"Resold nights exceed booked nights",IF($M419+$N419&gt;$AA419+0.01,"Collection exceeds expected amount",IF(AND($S419="Collected",$M419=0),"Collected status has no amount",IF($AJ419&gt;='Assumptions'!$B$10,"High-cost review","OK"))))))),"")</f>
        <v/>
      </c>
    </row>
    <row r="420">
      <c r="A420" s="38" t="n"/>
      <c r="B420" s="39" t="n"/>
      <c r="C420" s="39" t="n"/>
      <c r="D420" s="38" t="n"/>
      <c r="E420" s="38" t="n"/>
      <c r="F420" s="40" t="n"/>
      <c r="G420" s="40" t="n"/>
      <c r="H420" s="41" t="n"/>
      <c r="I420" s="41" t="n"/>
      <c r="J420" s="42" t="n"/>
      <c r="K420" s="42" t="n"/>
      <c r="L420" s="42" t="n"/>
      <c r="M420" s="41" t="n"/>
      <c r="N420" s="41" t="n"/>
      <c r="O420" s="41" t="n"/>
      <c r="P420" s="41" t="n"/>
      <c r="Q420" s="40" t="n"/>
      <c r="R420" s="38" t="n"/>
      <c r="S420" s="38" t="n"/>
      <c r="T420" s="39" t="n"/>
      <c r="U420" s="43" t="n"/>
      <c r="V420" s="44">
        <f>IFERROR(IF($A420="","",MAX($F420-$G420,0)),"")</f>
        <v/>
      </c>
      <c r="W420" s="45">
        <f>IFERROR(IF($A420="","",$H420+$I420),"")</f>
        <v/>
      </c>
      <c r="X420" s="45">
        <f>IFERROR(IF($A420="","",$H420*IF($J420="",'Assumptions'!$B$4,$J420)),"")</f>
        <v/>
      </c>
      <c r="Y420" s="45">
        <f>IFERROR(IF($A420="","",$X420*IF($K420="",'Assumptions'!$B$12,$K420)),"")</f>
        <v/>
      </c>
      <c r="Z420" s="45">
        <f>IFERROR(IF($A420="","",($X420+$Y420)*IF($L420="",'Assumptions'!$B$13,$L420)),"")</f>
        <v/>
      </c>
      <c r="AA420" s="45">
        <f>IFERROR(IF($A420="","",$X420+$Y420+$Z420),"")</f>
        <v/>
      </c>
      <c r="AB420" s="45">
        <f>IFERROR(IF($A420="","",$V420*'Assumptions'!$B$5),"")</f>
        <v/>
      </c>
      <c r="AC420" s="45">
        <f>IFERROR(IF($A420="","",$I420*'Assumptions'!$B$6),"")</f>
        <v/>
      </c>
      <c r="AD420" s="45">
        <f>IFERROR(IF($A420="","",$AB420+$AC420),"")</f>
        <v/>
      </c>
      <c r="AE420" s="45">
        <f>IFERROR(IF($A420="","",($M420+$N420)*'Assumptions'!$B$7),"")</f>
        <v/>
      </c>
      <c r="AF420" s="45">
        <f>IFERROR(IF($A420="","",($Q420/60)*'Assumptions'!$B$8),"")</f>
        <v/>
      </c>
      <c r="AG420" s="45">
        <f>IFERROR(IF($A420="","",$P420+$AE420+$AF420),"")</f>
        <v/>
      </c>
      <c r="AH420" s="45">
        <f>IFERROR(IF($A420="","",$M420+$O420),"")</f>
        <v/>
      </c>
      <c r="AI420" s="46">
        <f>IFERROR(IF($A420="","",IFERROR($AH420/$W420,0)),"")</f>
        <v/>
      </c>
      <c r="AJ420" s="45">
        <f>IFERROR(IF($A420="","",$W420-$AH420-$AD420+$AG420),"")</f>
        <v/>
      </c>
      <c r="AK420" s="47">
        <f>IFERROR(IF($A420="","",IF(OR($S420="Collected",$S420="Waived",$S420="Uncollectible",$S420="No Charge Due"),"",IF($T420="",$B420+'Assumptions'!$B$9,$T420+'Assumptions'!$B$9))),"")</f>
        <v/>
      </c>
      <c r="AL420" s="48">
        <f>IFERROR(IF($A420="","",IF(OR($S420="Collected",$S420="Waived",$S420="Uncollectible",$S420="No Charge Due"),"Closed",IF($AK420&lt;TODAY(),"Overdue",IF($AK420=TODAY(),"Due","Open")))),"")</f>
        <v/>
      </c>
      <c r="AM420" s="49">
        <f>IFERROR(IF($A420="","",IF(COUNTIF($A$5:$A$504,$A420)&gt;1,"Duplicate reservation ID",IF($C420&lt;=$B420,"Check stay dates",IF($G420&gt;$F420,"Resold nights exceed booked nights",IF($M420+$N420&gt;$AA420+0.01,"Collection exceeds expected amount",IF(AND($S420="Collected",$M420=0),"Collected status has no amount",IF($AJ420&gt;='Assumptions'!$B$10,"High-cost review","OK"))))))),"")</f>
        <v/>
      </c>
    </row>
    <row r="421">
      <c r="A421" s="38" t="n"/>
      <c r="B421" s="39" t="n"/>
      <c r="C421" s="39" t="n"/>
      <c r="D421" s="38" t="n"/>
      <c r="E421" s="38" t="n"/>
      <c r="F421" s="40" t="n"/>
      <c r="G421" s="40" t="n"/>
      <c r="H421" s="41" t="n"/>
      <c r="I421" s="41" t="n"/>
      <c r="J421" s="42" t="n"/>
      <c r="K421" s="42" t="n"/>
      <c r="L421" s="42" t="n"/>
      <c r="M421" s="41" t="n"/>
      <c r="N421" s="41" t="n"/>
      <c r="O421" s="41" t="n"/>
      <c r="P421" s="41" t="n"/>
      <c r="Q421" s="40" t="n"/>
      <c r="R421" s="38" t="n"/>
      <c r="S421" s="38" t="n"/>
      <c r="T421" s="39" t="n"/>
      <c r="U421" s="43" t="n"/>
      <c r="V421" s="44">
        <f>IFERROR(IF($A421="","",MAX($F421-$G421,0)),"")</f>
        <v/>
      </c>
      <c r="W421" s="45">
        <f>IFERROR(IF($A421="","",$H421+$I421),"")</f>
        <v/>
      </c>
      <c r="X421" s="45">
        <f>IFERROR(IF($A421="","",$H421*IF($J421="",'Assumptions'!$B$4,$J421)),"")</f>
        <v/>
      </c>
      <c r="Y421" s="45">
        <f>IFERROR(IF($A421="","",$X421*IF($K421="",'Assumptions'!$B$12,$K421)),"")</f>
        <v/>
      </c>
      <c r="Z421" s="45">
        <f>IFERROR(IF($A421="","",($X421+$Y421)*IF($L421="",'Assumptions'!$B$13,$L421)),"")</f>
        <v/>
      </c>
      <c r="AA421" s="45">
        <f>IFERROR(IF($A421="","",$X421+$Y421+$Z421),"")</f>
        <v/>
      </c>
      <c r="AB421" s="45">
        <f>IFERROR(IF($A421="","",$V421*'Assumptions'!$B$5),"")</f>
        <v/>
      </c>
      <c r="AC421" s="45">
        <f>IFERROR(IF($A421="","",$I421*'Assumptions'!$B$6),"")</f>
        <v/>
      </c>
      <c r="AD421" s="45">
        <f>IFERROR(IF($A421="","",$AB421+$AC421),"")</f>
        <v/>
      </c>
      <c r="AE421" s="45">
        <f>IFERROR(IF($A421="","",($M421+$N421)*'Assumptions'!$B$7),"")</f>
        <v/>
      </c>
      <c r="AF421" s="45">
        <f>IFERROR(IF($A421="","",($Q421/60)*'Assumptions'!$B$8),"")</f>
        <v/>
      </c>
      <c r="AG421" s="45">
        <f>IFERROR(IF($A421="","",$P421+$AE421+$AF421),"")</f>
        <v/>
      </c>
      <c r="AH421" s="45">
        <f>IFERROR(IF($A421="","",$M421+$O421),"")</f>
        <v/>
      </c>
      <c r="AI421" s="46">
        <f>IFERROR(IF($A421="","",IFERROR($AH421/$W421,0)),"")</f>
        <v/>
      </c>
      <c r="AJ421" s="45">
        <f>IFERROR(IF($A421="","",$W421-$AH421-$AD421+$AG421),"")</f>
        <v/>
      </c>
      <c r="AK421" s="47">
        <f>IFERROR(IF($A421="","",IF(OR($S421="Collected",$S421="Waived",$S421="Uncollectible",$S421="No Charge Due"),"",IF($T421="",$B421+'Assumptions'!$B$9,$T421+'Assumptions'!$B$9))),"")</f>
        <v/>
      </c>
      <c r="AL421" s="48">
        <f>IFERROR(IF($A421="","",IF(OR($S421="Collected",$S421="Waived",$S421="Uncollectible",$S421="No Charge Due"),"Closed",IF($AK421&lt;TODAY(),"Overdue",IF($AK421=TODAY(),"Due","Open")))),"")</f>
        <v/>
      </c>
      <c r="AM421" s="49">
        <f>IFERROR(IF($A421="","",IF(COUNTIF($A$5:$A$504,$A421)&gt;1,"Duplicate reservation ID",IF($C421&lt;=$B421,"Check stay dates",IF($G421&gt;$F421,"Resold nights exceed booked nights",IF($M421+$N421&gt;$AA421+0.01,"Collection exceeds expected amount",IF(AND($S421="Collected",$M421=0),"Collected status has no amount",IF($AJ421&gt;='Assumptions'!$B$10,"High-cost review","OK"))))))),"")</f>
        <v/>
      </c>
    </row>
    <row r="422">
      <c r="A422" s="38" t="n"/>
      <c r="B422" s="39" t="n"/>
      <c r="C422" s="39" t="n"/>
      <c r="D422" s="38" t="n"/>
      <c r="E422" s="38" t="n"/>
      <c r="F422" s="40" t="n"/>
      <c r="G422" s="40" t="n"/>
      <c r="H422" s="41" t="n"/>
      <c r="I422" s="41" t="n"/>
      <c r="J422" s="42" t="n"/>
      <c r="K422" s="42" t="n"/>
      <c r="L422" s="42" t="n"/>
      <c r="M422" s="41" t="n"/>
      <c r="N422" s="41" t="n"/>
      <c r="O422" s="41" t="n"/>
      <c r="P422" s="41" t="n"/>
      <c r="Q422" s="40" t="n"/>
      <c r="R422" s="38" t="n"/>
      <c r="S422" s="38" t="n"/>
      <c r="T422" s="39" t="n"/>
      <c r="U422" s="43" t="n"/>
      <c r="V422" s="44">
        <f>IFERROR(IF($A422="","",MAX($F422-$G422,0)),"")</f>
        <v/>
      </c>
      <c r="W422" s="45">
        <f>IFERROR(IF($A422="","",$H422+$I422),"")</f>
        <v/>
      </c>
      <c r="X422" s="45">
        <f>IFERROR(IF($A422="","",$H422*IF($J422="",'Assumptions'!$B$4,$J422)),"")</f>
        <v/>
      </c>
      <c r="Y422" s="45">
        <f>IFERROR(IF($A422="","",$X422*IF($K422="",'Assumptions'!$B$12,$K422)),"")</f>
        <v/>
      </c>
      <c r="Z422" s="45">
        <f>IFERROR(IF($A422="","",($X422+$Y422)*IF($L422="",'Assumptions'!$B$13,$L422)),"")</f>
        <v/>
      </c>
      <c r="AA422" s="45">
        <f>IFERROR(IF($A422="","",$X422+$Y422+$Z422),"")</f>
        <v/>
      </c>
      <c r="AB422" s="45">
        <f>IFERROR(IF($A422="","",$V422*'Assumptions'!$B$5),"")</f>
        <v/>
      </c>
      <c r="AC422" s="45">
        <f>IFERROR(IF($A422="","",$I422*'Assumptions'!$B$6),"")</f>
        <v/>
      </c>
      <c r="AD422" s="45">
        <f>IFERROR(IF($A422="","",$AB422+$AC422),"")</f>
        <v/>
      </c>
      <c r="AE422" s="45">
        <f>IFERROR(IF($A422="","",($M422+$N422)*'Assumptions'!$B$7),"")</f>
        <v/>
      </c>
      <c r="AF422" s="45">
        <f>IFERROR(IF($A422="","",($Q422/60)*'Assumptions'!$B$8),"")</f>
        <v/>
      </c>
      <c r="AG422" s="45">
        <f>IFERROR(IF($A422="","",$P422+$AE422+$AF422),"")</f>
        <v/>
      </c>
      <c r="AH422" s="45">
        <f>IFERROR(IF($A422="","",$M422+$O422),"")</f>
        <v/>
      </c>
      <c r="AI422" s="46">
        <f>IFERROR(IF($A422="","",IFERROR($AH422/$W422,0)),"")</f>
        <v/>
      </c>
      <c r="AJ422" s="45">
        <f>IFERROR(IF($A422="","",$W422-$AH422-$AD422+$AG422),"")</f>
        <v/>
      </c>
      <c r="AK422" s="47">
        <f>IFERROR(IF($A422="","",IF(OR($S422="Collected",$S422="Waived",$S422="Uncollectible",$S422="No Charge Due"),"",IF($T422="",$B422+'Assumptions'!$B$9,$T422+'Assumptions'!$B$9))),"")</f>
        <v/>
      </c>
      <c r="AL422" s="48">
        <f>IFERROR(IF($A422="","",IF(OR($S422="Collected",$S422="Waived",$S422="Uncollectible",$S422="No Charge Due"),"Closed",IF($AK422&lt;TODAY(),"Overdue",IF($AK422=TODAY(),"Due","Open")))),"")</f>
        <v/>
      </c>
      <c r="AM422" s="49">
        <f>IFERROR(IF($A422="","",IF(COUNTIF($A$5:$A$504,$A422)&gt;1,"Duplicate reservation ID",IF($C422&lt;=$B422,"Check stay dates",IF($G422&gt;$F422,"Resold nights exceed booked nights",IF($M422+$N422&gt;$AA422+0.01,"Collection exceeds expected amount",IF(AND($S422="Collected",$M422=0),"Collected status has no amount",IF($AJ422&gt;='Assumptions'!$B$10,"High-cost review","OK"))))))),"")</f>
        <v/>
      </c>
    </row>
    <row r="423">
      <c r="A423" s="38" t="n"/>
      <c r="B423" s="39" t="n"/>
      <c r="C423" s="39" t="n"/>
      <c r="D423" s="38" t="n"/>
      <c r="E423" s="38" t="n"/>
      <c r="F423" s="40" t="n"/>
      <c r="G423" s="40" t="n"/>
      <c r="H423" s="41" t="n"/>
      <c r="I423" s="41" t="n"/>
      <c r="J423" s="42" t="n"/>
      <c r="K423" s="42" t="n"/>
      <c r="L423" s="42" t="n"/>
      <c r="M423" s="41" t="n"/>
      <c r="N423" s="41" t="n"/>
      <c r="O423" s="41" t="n"/>
      <c r="P423" s="41" t="n"/>
      <c r="Q423" s="40" t="n"/>
      <c r="R423" s="38" t="n"/>
      <c r="S423" s="38" t="n"/>
      <c r="T423" s="39" t="n"/>
      <c r="U423" s="43" t="n"/>
      <c r="V423" s="44">
        <f>IFERROR(IF($A423="","",MAX($F423-$G423,0)),"")</f>
        <v/>
      </c>
      <c r="W423" s="45">
        <f>IFERROR(IF($A423="","",$H423+$I423),"")</f>
        <v/>
      </c>
      <c r="X423" s="45">
        <f>IFERROR(IF($A423="","",$H423*IF($J423="",'Assumptions'!$B$4,$J423)),"")</f>
        <v/>
      </c>
      <c r="Y423" s="45">
        <f>IFERROR(IF($A423="","",$X423*IF($K423="",'Assumptions'!$B$12,$K423)),"")</f>
        <v/>
      </c>
      <c r="Z423" s="45">
        <f>IFERROR(IF($A423="","",($X423+$Y423)*IF($L423="",'Assumptions'!$B$13,$L423)),"")</f>
        <v/>
      </c>
      <c r="AA423" s="45">
        <f>IFERROR(IF($A423="","",$X423+$Y423+$Z423),"")</f>
        <v/>
      </c>
      <c r="AB423" s="45">
        <f>IFERROR(IF($A423="","",$V423*'Assumptions'!$B$5),"")</f>
        <v/>
      </c>
      <c r="AC423" s="45">
        <f>IFERROR(IF($A423="","",$I423*'Assumptions'!$B$6),"")</f>
        <v/>
      </c>
      <c r="AD423" s="45">
        <f>IFERROR(IF($A423="","",$AB423+$AC423),"")</f>
        <v/>
      </c>
      <c r="AE423" s="45">
        <f>IFERROR(IF($A423="","",($M423+$N423)*'Assumptions'!$B$7),"")</f>
        <v/>
      </c>
      <c r="AF423" s="45">
        <f>IFERROR(IF($A423="","",($Q423/60)*'Assumptions'!$B$8),"")</f>
        <v/>
      </c>
      <c r="AG423" s="45">
        <f>IFERROR(IF($A423="","",$P423+$AE423+$AF423),"")</f>
        <v/>
      </c>
      <c r="AH423" s="45">
        <f>IFERROR(IF($A423="","",$M423+$O423),"")</f>
        <v/>
      </c>
      <c r="AI423" s="46">
        <f>IFERROR(IF($A423="","",IFERROR($AH423/$W423,0)),"")</f>
        <v/>
      </c>
      <c r="AJ423" s="45">
        <f>IFERROR(IF($A423="","",$W423-$AH423-$AD423+$AG423),"")</f>
        <v/>
      </c>
      <c r="AK423" s="47">
        <f>IFERROR(IF($A423="","",IF(OR($S423="Collected",$S423="Waived",$S423="Uncollectible",$S423="No Charge Due"),"",IF($T423="",$B423+'Assumptions'!$B$9,$T423+'Assumptions'!$B$9))),"")</f>
        <v/>
      </c>
      <c r="AL423" s="48">
        <f>IFERROR(IF($A423="","",IF(OR($S423="Collected",$S423="Waived",$S423="Uncollectible",$S423="No Charge Due"),"Closed",IF($AK423&lt;TODAY(),"Overdue",IF($AK423=TODAY(),"Due","Open")))),"")</f>
        <v/>
      </c>
      <c r="AM423" s="49">
        <f>IFERROR(IF($A423="","",IF(COUNTIF($A$5:$A$504,$A423)&gt;1,"Duplicate reservation ID",IF($C423&lt;=$B423,"Check stay dates",IF($G423&gt;$F423,"Resold nights exceed booked nights",IF($M423+$N423&gt;$AA423+0.01,"Collection exceeds expected amount",IF(AND($S423="Collected",$M423=0),"Collected status has no amount",IF($AJ423&gt;='Assumptions'!$B$10,"High-cost review","OK"))))))),"")</f>
        <v/>
      </c>
    </row>
    <row r="424">
      <c r="A424" s="38" t="n"/>
      <c r="B424" s="39" t="n"/>
      <c r="C424" s="39" t="n"/>
      <c r="D424" s="38" t="n"/>
      <c r="E424" s="38" t="n"/>
      <c r="F424" s="40" t="n"/>
      <c r="G424" s="40" t="n"/>
      <c r="H424" s="41" t="n"/>
      <c r="I424" s="41" t="n"/>
      <c r="J424" s="42" t="n"/>
      <c r="K424" s="42" t="n"/>
      <c r="L424" s="42" t="n"/>
      <c r="M424" s="41" t="n"/>
      <c r="N424" s="41" t="n"/>
      <c r="O424" s="41" t="n"/>
      <c r="P424" s="41" t="n"/>
      <c r="Q424" s="40" t="n"/>
      <c r="R424" s="38" t="n"/>
      <c r="S424" s="38" t="n"/>
      <c r="T424" s="39" t="n"/>
      <c r="U424" s="43" t="n"/>
      <c r="V424" s="44">
        <f>IFERROR(IF($A424="","",MAX($F424-$G424,0)),"")</f>
        <v/>
      </c>
      <c r="W424" s="45">
        <f>IFERROR(IF($A424="","",$H424+$I424),"")</f>
        <v/>
      </c>
      <c r="X424" s="45">
        <f>IFERROR(IF($A424="","",$H424*IF($J424="",'Assumptions'!$B$4,$J424)),"")</f>
        <v/>
      </c>
      <c r="Y424" s="45">
        <f>IFERROR(IF($A424="","",$X424*IF($K424="",'Assumptions'!$B$12,$K424)),"")</f>
        <v/>
      </c>
      <c r="Z424" s="45">
        <f>IFERROR(IF($A424="","",($X424+$Y424)*IF($L424="",'Assumptions'!$B$13,$L424)),"")</f>
        <v/>
      </c>
      <c r="AA424" s="45">
        <f>IFERROR(IF($A424="","",$X424+$Y424+$Z424),"")</f>
        <v/>
      </c>
      <c r="AB424" s="45">
        <f>IFERROR(IF($A424="","",$V424*'Assumptions'!$B$5),"")</f>
        <v/>
      </c>
      <c r="AC424" s="45">
        <f>IFERROR(IF($A424="","",$I424*'Assumptions'!$B$6),"")</f>
        <v/>
      </c>
      <c r="AD424" s="45">
        <f>IFERROR(IF($A424="","",$AB424+$AC424),"")</f>
        <v/>
      </c>
      <c r="AE424" s="45">
        <f>IFERROR(IF($A424="","",($M424+$N424)*'Assumptions'!$B$7),"")</f>
        <v/>
      </c>
      <c r="AF424" s="45">
        <f>IFERROR(IF($A424="","",($Q424/60)*'Assumptions'!$B$8),"")</f>
        <v/>
      </c>
      <c r="AG424" s="45">
        <f>IFERROR(IF($A424="","",$P424+$AE424+$AF424),"")</f>
        <v/>
      </c>
      <c r="AH424" s="45">
        <f>IFERROR(IF($A424="","",$M424+$O424),"")</f>
        <v/>
      </c>
      <c r="AI424" s="46">
        <f>IFERROR(IF($A424="","",IFERROR($AH424/$W424,0)),"")</f>
        <v/>
      </c>
      <c r="AJ424" s="45">
        <f>IFERROR(IF($A424="","",$W424-$AH424-$AD424+$AG424),"")</f>
        <v/>
      </c>
      <c r="AK424" s="47">
        <f>IFERROR(IF($A424="","",IF(OR($S424="Collected",$S424="Waived",$S424="Uncollectible",$S424="No Charge Due"),"",IF($T424="",$B424+'Assumptions'!$B$9,$T424+'Assumptions'!$B$9))),"")</f>
        <v/>
      </c>
      <c r="AL424" s="48">
        <f>IFERROR(IF($A424="","",IF(OR($S424="Collected",$S424="Waived",$S424="Uncollectible",$S424="No Charge Due"),"Closed",IF($AK424&lt;TODAY(),"Overdue",IF($AK424=TODAY(),"Due","Open")))),"")</f>
        <v/>
      </c>
      <c r="AM424" s="49">
        <f>IFERROR(IF($A424="","",IF(COUNTIF($A$5:$A$504,$A424)&gt;1,"Duplicate reservation ID",IF($C424&lt;=$B424,"Check stay dates",IF($G424&gt;$F424,"Resold nights exceed booked nights",IF($M424+$N424&gt;$AA424+0.01,"Collection exceeds expected amount",IF(AND($S424="Collected",$M424=0),"Collected status has no amount",IF($AJ424&gt;='Assumptions'!$B$10,"High-cost review","OK"))))))),"")</f>
        <v/>
      </c>
    </row>
    <row r="425">
      <c r="A425" s="38" t="n"/>
      <c r="B425" s="39" t="n"/>
      <c r="C425" s="39" t="n"/>
      <c r="D425" s="38" t="n"/>
      <c r="E425" s="38" t="n"/>
      <c r="F425" s="40" t="n"/>
      <c r="G425" s="40" t="n"/>
      <c r="H425" s="41" t="n"/>
      <c r="I425" s="41" t="n"/>
      <c r="J425" s="42" t="n"/>
      <c r="K425" s="42" t="n"/>
      <c r="L425" s="42" t="n"/>
      <c r="M425" s="41" t="n"/>
      <c r="N425" s="41" t="n"/>
      <c r="O425" s="41" t="n"/>
      <c r="P425" s="41" t="n"/>
      <c r="Q425" s="40" t="n"/>
      <c r="R425" s="38" t="n"/>
      <c r="S425" s="38" t="n"/>
      <c r="T425" s="39" t="n"/>
      <c r="U425" s="43" t="n"/>
      <c r="V425" s="44">
        <f>IFERROR(IF($A425="","",MAX($F425-$G425,0)),"")</f>
        <v/>
      </c>
      <c r="W425" s="45">
        <f>IFERROR(IF($A425="","",$H425+$I425),"")</f>
        <v/>
      </c>
      <c r="X425" s="45">
        <f>IFERROR(IF($A425="","",$H425*IF($J425="",'Assumptions'!$B$4,$J425)),"")</f>
        <v/>
      </c>
      <c r="Y425" s="45">
        <f>IFERROR(IF($A425="","",$X425*IF($K425="",'Assumptions'!$B$12,$K425)),"")</f>
        <v/>
      </c>
      <c r="Z425" s="45">
        <f>IFERROR(IF($A425="","",($X425+$Y425)*IF($L425="",'Assumptions'!$B$13,$L425)),"")</f>
        <v/>
      </c>
      <c r="AA425" s="45">
        <f>IFERROR(IF($A425="","",$X425+$Y425+$Z425),"")</f>
        <v/>
      </c>
      <c r="AB425" s="45">
        <f>IFERROR(IF($A425="","",$V425*'Assumptions'!$B$5),"")</f>
        <v/>
      </c>
      <c r="AC425" s="45">
        <f>IFERROR(IF($A425="","",$I425*'Assumptions'!$B$6),"")</f>
        <v/>
      </c>
      <c r="AD425" s="45">
        <f>IFERROR(IF($A425="","",$AB425+$AC425),"")</f>
        <v/>
      </c>
      <c r="AE425" s="45">
        <f>IFERROR(IF($A425="","",($M425+$N425)*'Assumptions'!$B$7),"")</f>
        <v/>
      </c>
      <c r="AF425" s="45">
        <f>IFERROR(IF($A425="","",($Q425/60)*'Assumptions'!$B$8),"")</f>
        <v/>
      </c>
      <c r="AG425" s="45">
        <f>IFERROR(IF($A425="","",$P425+$AE425+$AF425),"")</f>
        <v/>
      </c>
      <c r="AH425" s="45">
        <f>IFERROR(IF($A425="","",$M425+$O425),"")</f>
        <v/>
      </c>
      <c r="AI425" s="46">
        <f>IFERROR(IF($A425="","",IFERROR($AH425/$W425,0)),"")</f>
        <v/>
      </c>
      <c r="AJ425" s="45">
        <f>IFERROR(IF($A425="","",$W425-$AH425-$AD425+$AG425),"")</f>
        <v/>
      </c>
      <c r="AK425" s="47">
        <f>IFERROR(IF($A425="","",IF(OR($S425="Collected",$S425="Waived",$S425="Uncollectible",$S425="No Charge Due"),"",IF($T425="",$B425+'Assumptions'!$B$9,$T425+'Assumptions'!$B$9))),"")</f>
        <v/>
      </c>
      <c r="AL425" s="48">
        <f>IFERROR(IF($A425="","",IF(OR($S425="Collected",$S425="Waived",$S425="Uncollectible",$S425="No Charge Due"),"Closed",IF($AK425&lt;TODAY(),"Overdue",IF($AK425=TODAY(),"Due","Open")))),"")</f>
        <v/>
      </c>
      <c r="AM425" s="49">
        <f>IFERROR(IF($A425="","",IF(COUNTIF($A$5:$A$504,$A425)&gt;1,"Duplicate reservation ID",IF($C425&lt;=$B425,"Check stay dates",IF($G425&gt;$F425,"Resold nights exceed booked nights",IF($M425+$N425&gt;$AA425+0.01,"Collection exceeds expected amount",IF(AND($S425="Collected",$M425=0),"Collected status has no amount",IF($AJ425&gt;='Assumptions'!$B$10,"High-cost review","OK"))))))),"")</f>
        <v/>
      </c>
    </row>
    <row r="426">
      <c r="A426" s="38" t="n"/>
      <c r="B426" s="39" t="n"/>
      <c r="C426" s="39" t="n"/>
      <c r="D426" s="38" t="n"/>
      <c r="E426" s="38" t="n"/>
      <c r="F426" s="40" t="n"/>
      <c r="G426" s="40" t="n"/>
      <c r="H426" s="41" t="n"/>
      <c r="I426" s="41" t="n"/>
      <c r="J426" s="42" t="n"/>
      <c r="K426" s="42" t="n"/>
      <c r="L426" s="42" t="n"/>
      <c r="M426" s="41" t="n"/>
      <c r="N426" s="41" t="n"/>
      <c r="O426" s="41" t="n"/>
      <c r="P426" s="41" t="n"/>
      <c r="Q426" s="40" t="n"/>
      <c r="R426" s="38" t="n"/>
      <c r="S426" s="38" t="n"/>
      <c r="T426" s="39" t="n"/>
      <c r="U426" s="43" t="n"/>
      <c r="V426" s="44">
        <f>IFERROR(IF($A426="","",MAX($F426-$G426,0)),"")</f>
        <v/>
      </c>
      <c r="W426" s="45">
        <f>IFERROR(IF($A426="","",$H426+$I426),"")</f>
        <v/>
      </c>
      <c r="X426" s="45">
        <f>IFERROR(IF($A426="","",$H426*IF($J426="",'Assumptions'!$B$4,$J426)),"")</f>
        <v/>
      </c>
      <c r="Y426" s="45">
        <f>IFERROR(IF($A426="","",$X426*IF($K426="",'Assumptions'!$B$12,$K426)),"")</f>
        <v/>
      </c>
      <c r="Z426" s="45">
        <f>IFERROR(IF($A426="","",($X426+$Y426)*IF($L426="",'Assumptions'!$B$13,$L426)),"")</f>
        <v/>
      </c>
      <c r="AA426" s="45">
        <f>IFERROR(IF($A426="","",$X426+$Y426+$Z426),"")</f>
        <v/>
      </c>
      <c r="AB426" s="45">
        <f>IFERROR(IF($A426="","",$V426*'Assumptions'!$B$5),"")</f>
        <v/>
      </c>
      <c r="AC426" s="45">
        <f>IFERROR(IF($A426="","",$I426*'Assumptions'!$B$6),"")</f>
        <v/>
      </c>
      <c r="AD426" s="45">
        <f>IFERROR(IF($A426="","",$AB426+$AC426),"")</f>
        <v/>
      </c>
      <c r="AE426" s="45">
        <f>IFERROR(IF($A426="","",($M426+$N426)*'Assumptions'!$B$7),"")</f>
        <v/>
      </c>
      <c r="AF426" s="45">
        <f>IFERROR(IF($A426="","",($Q426/60)*'Assumptions'!$B$8),"")</f>
        <v/>
      </c>
      <c r="AG426" s="45">
        <f>IFERROR(IF($A426="","",$P426+$AE426+$AF426),"")</f>
        <v/>
      </c>
      <c r="AH426" s="45">
        <f>IFERROR(IF($A426="","",$M426+$O426),"")</f>
        <v/>
      </c>
      <c r="AI426" s="46">
        <f>IFERROR(IF($A426="","",IFERROR($AH426/$W426,0)),"")</f>
        <v/>
      </c>
      <c r="AJ426" s="45">
        <f>IFERROR(IF($A426="","",$W426-$AH426-$AD426+$AG426),"")</f>
        <v/>
      </c>
      <c r="AK426" s="47">
        <f>IFERROR(IF($A426="","",IF(OR($S426="Collected",$S426="Waived",$S426="Uncollectible",$S426="No Charge Due"),"",IF($T426="",$B426+'Assumptions'!$B$9,$T426+'Assumptions'!$B$9))),"")</f>
        <v/>
      </c>
      <c r="AL426" s="48">
        <f>IFERROR(IF($A426="","",IF(OR($S426="Collected",$S426="Waived",$S426="Uncollectible",$S426="No Charge Due"),"Closed",IF($AK426&lt;TODAY(),"Overdue",IF($AK426=TODAY(),"Due","Open")))),"")</f>
        <v/>
      </c>
      <c r="AM426" s="49">
        <f>IFERROR(IF($A426="","",IF(COUNTIF($A$5:$A$504,$A426)&gt;1,"Duplicate reservation ID",IF($C426&lt;=$B426,"Check stay dates",IF($G426&gt;$F426,"Resold nights exceed booked nights",IF($M426+$N426&gt;$AA426+0.01,"Collection exceeds expected amount",IF(AND($S426="Collected",$M426=0),"Collected status has no amount",IF($AJ426&gt;='Assumptions'!$B$10,"High-cost review","OK"))))))),"")</f>
        <v/>
      </c>
    </row>
    <row r="427">
      <c r="A427" s="38" t="n"/>
      <c r="B427" s="39" t="n"/>
      <c r="C427" s="39" t="n"/>
      <c r="D427" s="38" t="n"/>
      <c r="E427" s="38" t="n"/>
      <c r="F427" s="40" t="n"/>
      <c r="G427" s="40" t="n"/>
      <c r="H427" s="41" t="n"/>
      <c r="I427" s="41" t="n"/>
      <c r="J427" s="42" t="n"/>
      <c r="K427" s="42" t="n"/>
      <c r="L427" s="42" t="n"/>
      <c r="M427" s="41" t="n"/>
      <c r="N427" s="41" t="n"/>
      <c r="O427" s="41" t="n"/>
      <c r="P427" s="41" t="n"/>
      <c r="Q427" s="40" t="n"/>
      <c r="R427" s="38" t="n"/>
      <c r="S427" s="38" t="n"/>
      <c r="T427" s="39" t="n"/>
      <c r="U427" s="43" t="n"/>
      <c r="V427" s="44">
        <f>IFERROR(IF($A427="","",MAX($F427-$G427,0)),"")</f>
        <v/>
      </c>
      <c r="W427" s="45">
        <f>IFERROR(IF($A427="","",$H427+$I427),"")</f>
        <v/>
      </c>
      <c r="X427" s="45">
        <f>IFERROR(IF($A427="","",$H427*IF($J427="",'Assumptions'!$B$4,$J427)),"")</f>
        <v/>
      </c>
      <c r="Y427" s="45">
        <f>IFERROR(IF($A427="","",$X427*IF($K427="",'Assumptions'!$B$12,$K427)),"")</f>
        <v/>
      </c>
      <c r="Z427" s="45">
        <f>IFERROR(IF($A427="","",($X427+$Y427)*IF($L427="",'Assumptions'!$B$13,$L427)),"")</f>
        <v/>
      </c>
      <c r="AA427" s="45">
        <f>IFERROR(IF($A427="","",$X427+$Y427+$Z427),"")</f>
        <v/>
      </c>
      <c r="AB427" s="45">
        <f>IFERROR(IF($A427="","",$V427*'Assumptions'!$B$5),"")</f>
        <v/>
      </c>
      <c r="AC427" s="45">
        <f>IFERROR(IF($A427="","",$I427*'Assumptions'!$B$6),"")</f>
        <v/>
      </c>
      <c r="AD427" s="45">
        <f>IFERROR(IF($A427="","",$AB427+$AC427),"")</f>
        <v/>
      </c>
      <c r="AE427" s="45">
        <f>IFERROR(IF($A427="","",($M427+$N427)*'Assumptions'!$B$7),"")</f>
        <v/>
      </c>
      <c r="AF427" s="45">
        <f>IFERROR(IF($A427="","",($Q427/60)*'Assumptions'!$B$8),"")</f>
        <v/>
      </c>
      <c r="AG427" s="45">
        <f>IFERROR(IF($A427="","",$P427+$AE427+$AF427),"")</f>
        <v/>
      </c>
      <c r="AH427" s="45">
        <f>IFERROR(IF($A427="","",$M427+$O427),"")</f>
        <v/>
      </c>
      <c r="AI427" s="46">
        <f>IFERROR(IF($A427="","",IFERROR($AH427/$W427,0)),"")</f>
        <v/>
      </c>
      <c r="AJ427" s="45">
        <f>IFERROR(IF($A427="","",$W427-$AH427-$AD427+$AG427),"")</f>
        <v/>
      </c>
      <c r="AK427" s="47">
        <f>IFERROR(IF($A427="","",IF(OR($S427="Collected",$S427="Waived",$S427="Uncollectible",$S427="No Charge Due"),"",IF($T427="",$B427+'Assumptions'!$B$9,$T427+'Assumptions'!$B$9))),"")</f>
        <v/>
      </c>
      <c r="AL427" s="48">
        <f>IFERROR(IF($A427="","",IF(OR($S427="Collected",$S427="Waived",$S427="Uncollectible",$S427="No Charge Due"),"Closed",IF($AK427&lt;TODAY(),"Overdue",IF($AK427=TODAY(),"Due","Open")))),"")</f>
        <v/>
      </c>
      <c r="AM427" s="49">
        <f>IFERROR(IF($A427="","",IF(COUNTIF($A$5:$A$504,$A427)&gt;1,"Duplicate reservation ID",IF($C427&lt;=$B427,"Check stay dates",IF($G427&gt;$F427,"Resold nights exceed booked nights",IF($M427+$N427&gt;$AA427+0.01,"Collection exceeds expected amount",IF(AND($S427="Collected",$M427=0),"Collected status has no amount",IF($AJ427&gt;='Assumptions'!$B$10,"High-cost review","OK"))))))),"")</f>
        <v/>
      </c>
    </row>
    <row r="428">
      <c r="A428" s="38" t="n"/>
      <c r="B428" s="39" t="n"/>
      <c r="C428" s="39" t="n"/>
      <c r="D428" s="38" t="n"/>
      <c r="E428" s="38" t="n"/>
      <c r="F428" s="40" t="n"/>
      <c r="G428" s="40" t="n"/>
      <c r="H428" s="41" t="n"/>
      <c r="I428" s="41" t="n"/>
      <c r="J428" s="42" t="n"/>
      <c r="K428" s="42" t="n"/>
      <c r="L428" s="42" t="n"/>
      <c r="M428" s="41" t="n"/>
      <c r="N428" s="41" t="n"/>
      <c r="O428" s="41" t="n"/>
      <c r="P428" s="41" t="n"/>
      <c r="Q428" s="40" t="n"/>
      <c r="R428" s="38" t="n"/>
      <c r="S428" s="38" t="n"/>
      <c r="T428" s="39" t="n"/>
      <c r="U428" s="43" t="n"/>
      <c r="V428" s="44">
        <f>IFERROR(IF($A428="","",MAX($F428-$G428,0)),"")</f>
        <v/>
      </c>
      <c r="W428" s="45">
        <f>IFERROR(IF($A428="","",$H428+$I428),"")</f>
        <v/>
      </c>
      <c r="X428" s="45">
        <f>IFERROR(IF($A428="","",$H428*IF($J428="",'Assumptions'!$B$4,$J428)),"")</f>
        <v/>
      </c>
      <c r="Y428" s="45">
        <f>IFERROR(IF($A428="","",$X428*IF($K428="",'Assumptions'!$B$12,$K428)),"")</f>
        <v/>
      </c>
      <c r="Z428" s="45">
        <f>IFERROR(IF($A428="","",($X428+$Y428)*IF($L428="",'Assumptions'!$B$13,$L428)),"")</f>
        <v/>
      </c>
      <c r="AA428" s="45">
        <f>IFERROR(IF($A428="","",$X428+$Y428+$Z428),"")</f>
        <v/>
      </c>
      <c r="AB428" s="45">
        <f>IFERROR(IF($A428="","",$V428*'Assumptions'!$B$5),"")</f>
        <v/>
      </c>
      <c r="AC428" s="45">
        <f>IFERROR(IF($A428="","",$I428*'Assumptions'!$B$6),"")</f>
        <v/>
      </c>
      <c r="AD428" s="45">
        <f>IFERROR(IF($A428="","",$AB428+$AC428),"")</f>
        <v/>
      </c>
      <c r="AE428" s="45">
        <f>IFERROR(IF($A428="","",($M428+$N428)*'Assumptions'!$B$7),"")</f>
        <v/>
      </c>
      <c r="AF428" s="45">
        <f>IFERROR(IF($A428="","",($Q428/60)*'Assumptions'!$B$8),"")</f>
        <v/>
      </c>
      <c r="AG428" s="45">
        <f>IFERROR(IF($A428="","",$P428+$AE428+$AF428),"")</f>
        <v/>
      </c>
      <c r="AH428" s="45">
        <f>IFERROR(IF($A428="","",$M428+$O428),"")</f>
        <v/>
      </c>
      <c r="AI428" s="46">
        <f>IFERROR(IF($A428="","",IFERROR($AH428/$W428,0)),"")</f>
        <v/>
      </c>
      <c r="AJ428" s="45">
        <f>IFERROR(IF($A428="","",$W428-$AH428-$AD428+$AG428),"")</f>
        <v/>
      </c>
      <c r="AK428" s="47">
        <f>IFERROR(IF($A428="","",IF(OR($S428="Collected",$S428="Waived",$S428="Uncollectible",$S428="No Charge Due"),"",IF($T428="",$B428+'Assumptions'!$B$9,$T428+'Assumptions'!$B$9))),"")</f>
        <v/>
      </c>
      <c r="AL428" s="48">
        <f>IFERROR(IF($A428="","",IF(OR($S428="Collected",$S428="Waived",$S428="Uncollectible",$S428="No Charge Due"),"Closed",IF($AK428&lt;TODAY(),"Overdue",IF($AK428=TODAY(),"Due","Open")))),"")</f>
        <v/>
      </c>
      <c r="AM428" s="49">
        <f>IFERROR(IF($A428="","",IF(COUNTIF($A$5:$A$504,$A428)&gt;1,"Duplicate reservation ID",IF($C428&lt;=$B428,"Check stay dates",IF($G428&gt;$F428,"Resold nights exceed booked nights",IF($M428+$N428&gt;$AA428+0.01,"Collection exceeds expected amount",IF(AND($S428="Collected",$M428=0),"Collected status has no amount",IF($AJ428&gt;='Assumptions'!$B$10,"High-cost review","OK"))))))),"")</f>
        <v/>
      </c>
    </row>
    <row r="429">
      <c r="A429" s="38" t="n"/>
      <c r="B429" s="39" t="n"/>
      <c r="C429" s="39" t="n"/>
      <c r="D429" s="38" t="n"/>
      <c r="E429" s="38" t="n"/>
      <c r="F429" s="40" t="n"/>
      <c r="G429" s="40" t="n"/>
      <c r="H429" s="41" t="n"/>
      <c r="I429" s="41" t="n"/>
      <c r="J429" s="42" t="n"/>
      <c r="K429" s="42" t="n"/>
      <c r="L429" s="42" t="n"/>
      <c r="M429" s="41" t="n"/>
      <c r="N429" s="41" t="n"/>
      <c r="O429" s="41" t="n"/>
      <c r="P429" s="41" t="n"/>
      <c r="Q429" s="40" t="n"/>
      <c r="R429" s="38" t="n"/>
      <c r="S429" s="38" t="n"/>
      <c r="T429" s="39" t="n"/>
      <c r="U429" s="43" t="n"/>
      <c r="V429" s="44">
        <f>IFERROR(IF($A429="","",MAX($F429-$G429,0)),"")</f>
        <v/>
      </c>
      <c r="W429" s="45">
        <f>IFERROR(IF($A429="","",$H429+$I429),"")</f>
        <v/>
      </c>
      <c r="X429" s="45">
        <f>IFERROR(IF($A429="","",$H429*IF($J429="",'Assumptions'!$B$4,$J429)),"")</f>
        <v/>
      </c>
      <c r="Y429" s="45">
        <f>IFERROR(IF($A429="","",$X429*IF($K429="",'Assumptions'!$B$12,$K429)),"")</f>
        <v/>
      </c>
      <c r="Z429" s="45">
        <f>IFERROR(IF($A429="","",($X429+$Y429)*IF($L429="",'Assumptions'!$B$13,$L429)),"")</f>
        <v/>
      </c>
      <c r="AA429" s="45">
        <f>IFERROR(IF($A429="","",$X429+$Y429+$Z429),"")</f>
        <v/>
      </c>
      <c r="AB429" s="45">
        <f>IFERROR(IF($A429="","",$V429*'Assumptions'!$B$5),"")</f>
        <v/>
      </c>
      <c r="AC429" s="45">
        <f>IFERROR(IF($A429="","",$I429*'Assumptions'!$B$6),"")</f>
        <v/>
      </c>
      <c r="AD429" s="45">
        <f>IFERROR(IF($A429="","",$AB429+$AC429),"")</f>
        <v/>
      </c>
      <c r="AE429" s="45">
        <f>IFERROR(IF($A429="","",($M429+$N429)*'Assumptions'!$B$7),"")</f>
        <v/>
      </c>
      <c r="AF429" s="45">
        <f>IFERROR(IF($A429="","",($Q429/60)*'Assumptions'!$B$8),"")</f>
        <v/>
      </c>
      <c r="AG429" s="45">
        <f>IFERROR(IF($A429="","",$P429+$AE429+$AF429),"")</f>
        <v/>
      </c>
      <c r="AH429" s="45">
        <f>IFERROR(IF($A429="","",$M429+$O429),"")</f>
        <v/>
      </c>
      <c r="AI429" s="46">
        <f>IFERROR(IF($A429="","",IFERROR($AH429/$W429,0)),"")</f>
        <v/>
      </c>
      <c r="AJ429" s="45">
        <f>IFERROR(IF($A429="","",$W429-$AH429-$AD429+$AG429),"")</f>
        <v/>
      </c>
      <c r="AK429" s="47">
        <f>IFERROR(IF($A429="","",IF(OR($S429="Collected",$S429="Waived",$S429="Uncollectible",$S429="No Charge Due"),"",IF($T429="",$B429+'Assumptions'!$B$9,$T429+'Assumptions'!$B$9))),"")</f>
        <v/>
      </c>
      <c r="AL429" s="48">
        <f>IFERROR(IF($A429="","",IF(OR($S429="Collected",$S429="Waived",$S429="Uncollectible",$S429="No Charge Due"),"Closed",IF($AK429&lt;TODAY(),"Overdue",IF($AK429=TODAY(),"Due","Open")))),"")</f>
        <v/>
      </c>
      <c r="AM429" s="49">
        <f>IFERROR(IF($A429="","",IF(COUNTIF($A$5:$A$504,$A429)&gt;1,"Duplicate reservation ID",IF($C429&lt;=$B429,"Check stay dates",IF($G429&gt;$F429,"Resold nights exceed booked nights",IF($M429+$N429&gt;$AA429+0.01,"Collection exceeds expected amount",IF(AND($S429="Collected",$M429=0),"Collected status has no amount",IF($AJ429&gt;='Assumptions'!$B$10,"High-cost review","OK"))))))),"")</f>
        <v/>
      </c>
    </row>
    <row r="430">
      <c r="A430" s="38" t="n"/>
      <c r="B430" s="39" t="n"/>
      <c r="C430" s="39" t="n"/>
      <c r="D430" s="38" t="n"/>
      <c r="E430" s="38" t="n"/>
      <c r="F430" s="40" t="n"/>
      <c r="G430" s="40" t="n"/>
      <c r="H430" s="41" t="n"/>
      <c r="I430" s="41" t="n"/>
      <c r="J430" s="42" t="n"/>
      <c r="K430" s="42" t="n"/>
      <c r="L430" s="42" t="n"/>
      <c r="M430" s="41" t="n"/>
      <c r="N430" s="41" t="n"/>
      <c r="O430" s="41" t="n"/>
      <c r="P430" s="41" t="n"/>
      <c r="Q430" s="40" t="n"/>
      <c r="R430" s="38" t="n"/>
      <c r="S430" s="38" t="n"/>
      <c r="T430" s="39" t="n"/>
      <c r="U430" s="43" t="n"/>
      <c r="V430" s="44">
        <f>IFERROR(IF($A430="","",MAX($F430-$G430,0)),"")</f>
        <v/>
      </c>
      <c r="W430" s="45">
        <f>IFERROR(IF($A430="","",$H430+$I430),"")</f>
        <v/>
      </c>
      <c r="X430" s="45">
        <f>IFERROR(IF($A430="","",$H430*IF($J430="",'Assumptions'!$B$4,$J430)),"")</f>
        <v/>
      </c>
      <c r="Y430" s="45">
        <f>IFERROR(IF($A430="","",$X430*IF($K430="",'Assumptions'!$B$12,$K430)),"")</f>
        <v/>
      </c>
      <c r="Z430" s="45">
        <f>IFERROR(IF($A430="","",($X430+$Y430)*IF($L430="",'Assumptions'!$B$13,$L430)),"")</f>
        <v/>
      </c>
      <c r="AA430" s="45">
        <f>IFERROR(IF($A430="","",$X430+$Y430+$Z430),"")</f>
        <v/>
      </c>
      <c r="AB430" s="45">
        <f>IFERROR(IF($A430="","",$V430*'Assumptions'!$B$5),"")</f>
        <v/>
      </c>
      <c r="AC430" s="45">
        <f>IFERROR(IF($A430="","",$I430*'Assumptions'!$B$6),"")</f>
        <v/>
      </c>
      <c r="AD430" s="45">
        <f>IFERROR(IF($A430="","",$AB430+$AC430),"")</f>
        <v/>
      </c>
      <c r="AE430" s="45">
        <f>IFERROR(IF($A430="","",($M430+$N430)*'Assumptions'!$B$7),"")</f>
        <v/>
      </c>
      <c r="AF430" s="45">
        <f>IFERROR(IF($A430="","",($Q430/60)*'Assumptions'!$B$8),"")</f>
        <v/>
      </c>
      <c r="AG430" s="45">
        <f>IFERROR(IF($A430="","",$P430+$AE430+$AF430),"")</f>
        <v/>
      </c>
      <c r="AH430" s="45">
        <f>IFERROR(IF($A430="","",$M430+$O430),"")</f>
        <v/>
      </c>
      <c r="AI430" s="46">
        <f>IFERROR(IF($A430="","",IFERROR($AH430/$W430,0)),"")</f>
        <v/>
      </c>
      <c r="AJ430" s="45">
        <f>IFERROR(IF($A430="","",$W430-$AH430-$AD430+$AG430),"")</f>
        <v/>
      </c>
      <c r="AK430" s="47">
        <f>IFERROR(IF($A430="","",IF(OR($S430="Collected",$S430="Waived",$S430="Uncollectible",$S430="No Charge Due"),"",IF($T430="",$B430+'Assumptions'!$B$9,$T430+'Assumptions'!$B$9))),"")</f>
        <v/>
      </c>
      <c r="AL430" s="48">
        <f>IFERROR(IF($A430="","",IF(OR($S430="Collected",$S430="Waived",$S430="Uncollectible",$S430="No Charge Due"),"Closed",IF($AK430&lt;TODAY(),"Overdue",IF($AK430=TODAY(),"Due","Open")))),"")</f>
        <v/>
      </c>
      <c r="AM430" s="49">
        <f>IFERROR(IF($A430="","",IF(COUNTIF($A$5:$A$504,$A430)&gt;1,"Duplicate reservation ID",IF($C430&lt;=$B430,"Check stay dates",IF($G430&gt;$F430,"Resold nights exceed booked nights",IF($M430+$N430&gt;$AA430+0.01,"Collection exceeds expected amount",IF(AND($S430="Collected",$M430=0),"Collected status has no amount",IF($AJ430&gt;='Assumptions'!$B$10,"High-cost review","OK"))))))),"")</f>
        <v/>
      </c>
    </row>
    <row r="431">
      <c r="A431" s="38" t="n"/>
      <c r="B431" s="39" t="n"/>
      <c r="C431" s="39" t="n"/>
      <c r="D431" s="38" t="n"/>
      <c r="E431" s="38" t="n"/>
      <c r="F431" s="40" t="n"/>
      <c r="G431" s="40" t="n"/>
      <c r="H431" s="41" t="n"/>
      <c r="I431" s="41" t="n"/>
      <c r="J431" s="42" t="n"/>
      <c r="K431" s="42" t="n"/>
      <c r="L431" s="42" t="n"/>
      <c r="M431" s="41" t="n"/>
      <c r="N431" s="41" t="n"/>
      <c r="O431" s="41" t="n"/>
      <c r="P431" s="41" t="n"/>
      <c r="Q431" s="40" t="n"/>
      <c r="R431" s="38" t="n"/>
      <c r="S431" s="38" t="n"/>
      <c r="T431" s="39" t="n"/>
      <c r="U431" s="43" t="n"/>
      <c r="V431" s="44">
        <f>IFERROR(IF($A431="","",MAX($F431-$G431,0)),"")</f>
        <v/>
      </c>
      <c r="W431" s="45">
        <f>IFERROR(IF($A431="","",$H431+$I431),"")</f>
        <v/>
      </c>
      <c r="X431" s="45">
        <f>IFERROR(IF($A431="","",$H431*IF($J431="",'Assumptions'!$B$4,$J431)),"")</f>
        <v/>
      </c>
      <c r="Y431" s="45">
        <f>IFERROR(IF($A431="","",$X431*IF($K431="",'Assumptions'!$B$12,$K431)),"")</f>
        <v/>
      </c>
      <c r="Z431" s="45">
        <f>IFERROR(IF($A431="","",($X431+$Y431)*IF($L431="",'Assumptions'!$B$13,$L431)),"")</f>
        <v/>
      </c>
      <c r="AA431" s="45">
        <f>IFERROR(IF($A431="","",$X431+$Y431+$Z431),"")</f>
        <v/>
      </c>
      <c r="AB431" s="45">
        <f>IFERROR(IF($A431="","",$V431*'Assumptions'!$B$5),"")</f>
        <v/>
      </c>
      <c r="AC431" s="45">
        <f>IFERROR(IF($A431="","",$I431*'Assumptions'!$B$6),"")</f>
        <v/>
      </c>
      <c r="AD431" s="45">
        <f>IFERROR(IF($A431="","",$AB431+$AC431),"")</f>
        <v/>
      </c>
      <c r="AE431" s="45">
        <f>IFERROR(IF($A431="","",($M431+$N431)*'Assumptions'!$B$7),"")</f>
        <v/>
      </c>
      <c r="AF431" s="45">
        <f>IFERROR(IF($A431="","",($Q431/60)*'Assumptions'!$B$8),"")</f>
        <v/>
      </c>
      <c r="AG431" s="45">
        <f>IFERROR(IF($A431="","",$P431+$AE431+$AF431),"")</f>
        <v/>
      </c>
      <c r="AH431" s="45">
        <f>IFERROR(IF($A431="","",$M431+$O431),"")</f>
        <v/>
      </c>
      <c r="AI431" s="46">
        <f>IFERROR(IF($A431="","",IFERROR($AH431/$W431,0)),"")</f>
        <v/>
      </c>
      <c r="AJ431" s="45">
        <f>IFERROR(IF($A431="","",$W431-$AH431-$AD431+$AG431),"")</f>
        <v/>
      </c>
      <c r="AK431" s="47">
        <f>IFERROR(IF($A431="","",IF(OR($S431="Collected",$S431="Waived",$S431="Uncollectible",$S431="No Charge Due"),"",IF($T431="",$B431+'Assumptions'!$B$9,$T431+'Assumptions'!$B$9))),"")</f>
        <v/>
      </c>
      <c r="AL431" s="48">
        <f>IFERROR(IF($A431="","",IF(OR($S431="Collected",$S431="Waived",$S431="Uncollectible",$S431="No Charge Due"),"Closed",IF($AK431&lt;TODAY(),"Overdue",IF($AK431=TODAY(),"Due","Open")))),"")</f>
        <v/>
      </c>
      <c r="AM431" s="49">
        <f>IFERROR(IF($A431="","",IF(COUNTIF($A$5:$A$504,$A431)&gt;1,"Duplicate reservation ID",IF($C431&lt;=$B431,"Check stay dates",IF($G431&gt;$F431,"Resold nights exceed booked nights",IF($M431+$N431&gt;$AA431+0.01,"Collection exceeds expected amount",IF(AND($S431="Collected",$M431=0),"Collected status has no amount",IF($AJ431&gt;='Assumptions'!$B$10,"High-cost review","OK"))))))),"")</f>
        <v/>
      </c>
    </row>
    <row r="432">
      <c r="A432" s="38" t="n"/>
      <c r="B432" s="39" t="n"/>
      <c r="C432" s="39" t="n"/>
      <c r="D432" s="38" t="n"/>
      <c r="E432" s="38" t="n"/>
      <c r="F432" s="40" t="n"/>
      <c r="G432" s="40" t="n"/>
      <c r="H432" s="41" t="n"/>
      <c r="I432" s="41" t="n"/>
      <c r="J432" s="42" t="n"/>
      <c r="K432" s="42" t="n"/>
      <c r="L432" s="42" t="n"/>
      <c r="M432" s="41" t="n"/>
      <c r="N432" s="41" t="n"/>
      <c r="O432" s="41" t="n"/>
      <c r="P432" s="41" t="n"/>
      <c r="Q432" s="40" t="n"/>
      <c r="R432" s="38" t="n"/>
      <c r="S432" s="38" t="n"/>
      <c r="T432" s="39" t="n"/>
      <c r="U432" s="43" t="n"/>
      <c r="V432" s="44">
        <f>IFERROR(IF($A432="","",MAX($F432-$G432,0)),"")</f>
        <v/>
      </c>
      <c r="W432" s="45">
        <f>IFERROR(IF($A432="","",$H432+$I432),"")</f>
        <v/>
      </c>
      <c r="X432" s="45">
        <f>IFERROR(IF($A432="","",$H432*IF($J432="",'Assumptions'!$B$4,$J432)),"")</f>
        <v/>
      </c>
      <c r="Y432" s="45">
        <f>IFERROR(IF($A432="","",$X432*IF($K432="",'Assumptions'!$B$12,$K432)),"")</f>
        <v/>
      </c>
      <c r="Z432" s="45">
        <f>IFERROR(IF($A432="","",($X432+$Y432)*IF($L432="",'Assumptions'!$B$13,$L432)),"")</f>
        <v/>
      </c>
      <c r="AA432" s="45">
        <f>IFERROR(IF($A432="","",$X432+$Y432+$Z432),"")</f>
        <v/>
      </c>
      <c r="AB432" s="45">
        <f>IFERROR(IF($A432="","",$V432*'Assumptions'!$B$5),"")</f>
        <v/>
      </c>
      <c r="AC432" s="45">
        <f>IFERROR(IF($A432="","",$I432*'Assumptions'!$B$6),"")</f>
        <v/>
      </c>
      <c r="AD432" s="45">
        <f>IFERROR(IF($A432="","",$AB432+$AC432),"")</f>
        <v/>
      </c>
      <c r="AE432" s="45">
        <f>IFERROR(IF($A432="","",($M432+$N432)*'Assumptions'!$B$7),"")</f>
        <v/>
      </c>
      <c r="AF432" s="45">
        <f>IFERROR(IF($A432="","",($Q432/60)*'Assumptions'!$B$8),"")</f>
        <v/>
      </c>
      <c r="AG432" s="45">
        <f>IFERROR(IF($A432="","",$P432+$AE432+$AF432),"")</f>
        <v/>
      </c>
      <c r="AH432" s="45">
        <f>IFERROR(IF($A432="","",$M432+$O432),"")</f>
        <v/>
      </c>
      <c r="AI432" s="46">
        <f>IFERROR(IF($A432="","",IFERROR($AH432/$W432,0)),"")</f>
        <v/>
      </c>
      <c r="AJ432" s="45">
        <f>IFERROR(IF($A432="","",$W432-$AH432-$AD432+$AG432),"")</f>
        <v/>
      </c>
      <c r="AK432" s="47">
        <f>IFERROR(IF($A432="","",IF(OR($S432="Collected",$S432="Waived",$S432="Uncollectible",$S432="No Charge Due"),"",IF($T432="",$B432+'Assumptions'!$B$9,$T432+'Assumptions'!$B$9))),"")</f>
        <v/>
      </c>
      <c r="AL432" s="48">
        <f>IFERROR(IF($A432="","",IF(OR($S432="Collected",$S432="Waived",$S432="Uncollectible",$S432="No Charge Due"),"Closed",IF($AK432&lt;TODAY(),"Overdue",IF($AK432=TODAY(),"Due","Open")))),"")</f>
        <v/>
      </c>
      <c r="AM432" s="49">
        <f>IFERROR(IF($A432="","",IF(COUNTIF($A$5:$A$504,$A432)&gt;1,"Duplicate reservation ID",IF($C432&lt;=$B432,"Check stay dates",IF($G432&gt;$F432,"Resold nights exceed booked nights",IF($M432+$N432&gt;$AA432+0.01,"Collection exceeds expected amount",IF(AND($S432="Collected",$M432=0),"Collected status has no amount",IF($AJ432&gt;='Assumptions'!$B$10,"High-cost review","OK"))))))),"")</f>
        <v/>
      </c>
    </row>
    <row r="433">
      <c r="A433" s="38" t="n"/>
      <c r="B433" s="39" t="n"/>
      <c r="C433" s="39" t="n"/>
      <c r="D433" s="38" t="n"/>
      <c r="E433" s="38" t="n"/>
      <c r="F433" s="40" t="n"/>
      <c r="G433" s="40" t="n"/>
      <c r="H433" s="41" t="n"/>
      <c r="I433" s="41" t="n"/>
      <c r="J433" s="42" t="n"/>
      <c r="K433" s="42" t="n"/>
      <c r="L433" s="42" t="n"/>
      <c r="M433" s="41" t="n"/>
      <c r="N433" s="41" t="n"/>
      <c r="O433" s="41" t="n"/>
      <c r="P433" s="41" t="n"/>
      <c r="Q433" s="40" t="n"/>
      <c r="R433" s="38" t="n"/>
      <c r="S433" s="38" t="n"/>
      <c r="T433" s="39" t="n"/>
      <c r="U433" s="43" t="n"/>
      <c r="V433" s="44">
        <f>IFERROR(IF($A433="","",MAX($F433-$G433,0)),"")</f>
        <v/>
      </c>
      <c r="W433" s="45">
        <f>IFERROR(IF($A433="","",$H433+$I433),"")</f>
        <v/>
      </c>
      <c r="X433" s="45">
        <f>IFERROR(IF($A433="","",$H433*IF($J433="",'Assumptions'!$B$4,$J433)),"")</f>
        <v/>
      </c>
      <c r="Y433" s="45">
        <f>IFERROR(IF($A433="","",$X433*IF($K433="",'Assumptions'!$B$12,$K433)),"")</f>
        <v/>
      </c>
      <c r="Z433" s="45">
        <f>IFERROR(IF($A433="","",($X433+$Y433)*IF($L433="",'Assumptions'!$B$13,$L433)),"")</f>
        <v/>
      </c>
      <c r="AA433" s="45">
        <f>IFERROR(IF($A433="","",$X433+$Y433+$Z433),"")</f>
        <v/>
      </c>
      <c r="AB433" s="45">
        <f>IFERROR(IF($A433="","",$V433*'Assumptions'!$B$5),"")</f>
        <v/>
      </c>
      <c r="AC433" s="45">
        <f>IFERROR(IF($A433="","",$I433*'Assumptions'!$B$6),"")</f>
        <v/>
      </c>
      <c r="AD433" s="45">
        <f>IFERROR(IF($A433="","",$AB433+$AC433),"")</f>
        <v/>
      </c>
      <c r="AE433" s="45">
        <f>IFERROR(IF($A433="","",($M433+$N433)*'Assumptions'!$B$7),"")</f>
        <v/>
      </c>
      <c r="AF433" s="45">
        <f>IFERROR(IF($A433="","",($Q433/60)*'Assumptions'!$B$8),"")</f>
        <v/>
      </c>
      <c r="AG433" s="45">
        <f>IFERROR(IF($A433="","",$P433+$AE433+$AF433),"")</f>
        <v/>
      </c>
      <c r="AH433" s="45">
        <f>IFERROR(IF($A433="","",$M433+$O433),"")</f>
        <v/>
      </c>
      <c r="AI433" s="46">
        <f>IFERROR(IF($A433="","",IFERROR($AH433/$W433,0)),"")</f>
        <v/>
      </c>
      <c r="AJ433" s="45">
        <f>IFERROR(IF($A433="","",$W433-$AH433-$AD433+$AG433),"")</f>
        <v/>
      </c>
      <c r="AK433" s="47">
        <f>IFERROR(IF($A433="","",IF(OR($S433="Collected",$S433="Waived",$S433="Uncollectible",$S433="No Charge Due"),"",IF($T433="",$B433+'Assumptions'!$B$9,$T433+'Assumptions'!$B$9))),"")</f>
        <v/>
      </c>
      <c r="AL433" s="48">
        <f>IFERROR(IF($A433="","",IF(OR($S433="Collected",$S433="Waived",$S433="Uncollectible",$S433="No Charge Due"),"Closed",IF($AK433&lt;TODAY(),"Overdue",IF($AK433=TODAY(),"Due","Open")))),"")</f>
        <v/>
      </c>
      <c r="AM433" s="49">
        <f>IFERROR(IF($A433="","",IF(COUNTIF($A$5:$A$504,$A433)&gt;1,"Duplicate reservation ID",IF($C433&lt;=$B433,"Check stay dates",IF($G433&gt;$F433,"Resold nights exceed booked nights",IF($M433+$N433&gt;$AA433+0.01,"Collection exceeds expected amount",IF(AND($S433="Collected",$M433=0),"Collected status has no amount",IF($AJ433&gt;='Assumptions'!$B$10,"High-cost review","OK"))))))),"")</f>
        <v/>
      </c>
    </row>
    <row r="434">
      <c r="A434" s="38" t="n"/>
      <c r="B434" s="39" t="n"/>
      <c r="C434" s="39" t="n"/>
      <c r="D434" s="38" t="n"/>
      <c r="E434" s="38" t="n"/>
      <c r="F434" s="40" t="n"/>
      <c r="G434" s="40" t="n"/>
      <c r="H434" s="41" t="n"/>
      <c r="I434" s="41" t="n"/>
      <c r="J434" s="42" t="n"/>
      <c r="K434" s="42" t="n"/>
      <c r="L434" s="42" t="n"/>
      <c r="M434" s="41" t="n"/>
      <c r="N434" s="41" t="n"/>
      <c r="O434" s="41" t="n"/>
      <c r="P434" s="41" t="n"/>
      <c r="Q434" s="40" t="n"/>
      <c r="R434" s="38" t="n"/>
      <c r="S434" s="38" t="n"/>
      <c r="T434" s="39" t="n"/>
      <c r="U434" s="43" t="n"/>
      <c r="V434" s="44">
        <f>IFERROR(IF($A434="","",MAX($F434-$G434,0)),"")</f>
        <v/>
      </c>
      <c r="W434" s="45">
        <f>IFERROR(IF($A434="","",$H434+$I434),"")</f>
        <v/>
      </c>
      <c r="X434" s="45">
        <f>IFERROR(IF($A434="","",$H434*IF($J434="",'Assumptions'!$B$4,$J434)),"")</f>
        <v/>
      </c>
      <c r="Y434" s="45">
        <f>IFERROR(IF($A434="","",$X434*IF($K434="",'Assumptions'!$B$12,$K434)),"")</f>
        <v/>
      </c>
      <c r="Z434" s="45">
        <f>IFERROR(IF($A434="","",($X434+$Y434)*IF($L434="",'Assumptions'!$B$13,$L434)),"")</f>
        <v/>
      </c>
      <c r="AA434" s="45">
        <f>IFERROR(IF($A434="","",$X434+$Y434+$Z434),"")</f>
        <v/>
      </c>
      <c r="AB434" s="45">
        <f>IFERROR(IF($A434="","",$V434*'Assumptions'!$B$5),"")</f>
        <v/>
      </c>
      <c r="AC434" s="45">
        <f>IFERROR(IF($A434="","",$I434*'Assumptions'!$B$6),"")</f>
        <v/>
      </c>
      <c r="AD434" s="45">
        <f>IFERROR(IF($A434="","",$AB434+$AC434),"")</f>
        <v/>
      </c>
      <c r="AE434" s="45">
        <f>IFERROR(IF($A434="","",($M434+$N434)*'Assumptions'!$B$7),"")</f>
        <v/>
      </c>
      <c r="AF434" s="45">
        <f>IFERROR(IF($A434="","",($Q434/60)*'Assumptions'!$B$8),"")</f>
        <v/>
      </c>
      <c r="AG434" s="45">
        <f>IFERROR(IF($A434="","",$P434+$AE434+$AF434),"")</f>
        <v/>
      </c>
      <c r="AH434" s="45">
        <f>IFERROR(IF($A434="","",$M434+$O434),"")</f>
        <v/>
      </c>
      <c r="AI434" s="46">
        <f>IFERROR(IF($A434="","",IFERROR($AH434/$W434,0)),"")</f>
        <v/>
      </c>
      <c r="AJ434" s="45">
        <f>IFERROR(IF($A434="","",$W434-$AH434-$AD434+$AG434),"")</f>
        <v/>
      </c>
      <c r="AK434" s="47">
        <f>IFERROR(IF($A434="","",IF(OR($S434="Collected",$S434="Waived",$S434="Uncollectible",$S434="No Charge Due"),"",IF($T434="",$B434+'Assumptions'!$B$9,$T434+'Assumptions'!$B$9))),"")</f>
        <v/>
      </c>
      <c r="AL434" s="48">
        <f>IFERROR(IF($A434="","",IF(OR($S434="Collected",$S434="Waived",$S434="Uncollectible",$S434="No Charge Due"),"Closed",IF($AK434&lt;TODAY(),"Overdue",IF($AK434=TODAY(),"Due","Open")))),"")</f>
        <v/>
      </c>
      <c r="AM434" s="49">
        <f>IFERROR(IF($A434="","",IF(COUNTIF($A$5:$A$504,$A434)&gt;1,"Duplicate reservation ID",IF($C434&lt;=$B434,"Check stay dates",IF($G434&gt;$F434,"Resold nights exceed booked nights",IF($M434+$N434&gt;$AA434+0.01,"Collection exceeds expected amount",IF(AND($S434="Collected",$M434=0),"Collected status has no amount",IF($AJ434&gt;='Assumptions'!$B$10,"High-cost review","OK"))))))),"")</f>
        <v/>
      </c>
    </row>
    <row r="435">
      <c r="A435" s="38" t="n"/>
      <c r="B435" s="39" t="n"/>
      <c r="C435" s="39" t="n"/>
      <c r="D435" s="38" t="n"/>
      <c r="E435" s="38" t="n"/>
      <c r="F435" s="40" t="n"/>
      <c r="G435" s="40" t="n"/>
      <c r="H435" s="41" t="n"/>
      <c r="I435" s="41" t="n"/>
      <c r="J435" s="42" t="n"/>
      <c r="K435" s="42" t="n"/>
      <c r="L435" s="42" t="n"/>
      <c r="M435" s="41" t="n"/>
      <c r="N435" s="41" t="n"/>
      <c r="O435" s="41" t="n"/>
      <c r="P435" s="41" t="n"/>
      <c r="Q435" s="40" t="n"/>
      <c r="R435" s="38" t="n"/>
      <c r="S435" s="38" t="n"/>
      <c r="T435" s="39" t="n"/>
      <c r="U435" s="43" t="n"/>
      <c r="V435" s="44">
        <f>IFERROR(IF($A435="","",MAX($F435-$G435,0)),"")</f>
        <v/>
      </c>
      <c r="W435" s="45">
        <f>IFERROR(IF($A435="","",$H435+$I435),"")</f>
        <v/>
      </c>
      <c r="X435" s="45">
        <f>IFERROR(IF($A435="","",$H435*IF($J435="",'Assumptions'!$B$4,$J435)),"")</f>
        <v/>
      </c>
      <c r="Y435" s="45">
        <f>IFERROR(IF($A435="","",$X435*IF($K435="",'Assumptions'!$B$12,$K435)),"")</f>
        <v/>
      </c>
      <c r="Z435" s="45">
        <f>IFERROR(IF($A435="","",($X435+$Y435)*IF($L435="",'Assumptions'!$B$13,$L435)),"")</f>
        <v/>
      </c>
      <c r="AA435" s="45">
        <f>IFERROR(IF($A435="","",$X435+$Y435+$Z435),"")</f>
        <v/>
      </c>
      <c r="AB435" s="45">
        <f>IFERROR(IF($A435="","",$V435*'Assumptions'!$B$5),"")</f>
        <v/>
      </c>
      <c r="AC435" s="45">
        <f>IFERROR(IF($A435="","",$I435*'Assumptions'!$B$6),"")</f>
        <v/>
      </c>
      <c r="AD435" s="45">
        <f>IFERROR(IF($A435="","",$AB435+$AC435),"")</f>
        <v/>
      </c>
      <c r="AE435" s="45">
        <f>IFERROR(IF($A435="","",($M435+$N435)*'Assumptions'!$B$7),"")</f>
        <v/>
      </c>
      <c r="AF435" s="45">
        <f>IFERROR(IF($A435="","",($Q435/60)*'Assumptions'!$B$8),"")</f>
        <v/>
      </c>
      <c r="AG435" s="45">
        <f>IFERROR(IF($A435="","",$P435+$AE435+$AF435),"")</f>
        <v/>
      </c>
      <c r="AH435" s="45">
        <f>IFERROR(IF($A435="","",$M435+$O435),"")</f>
        <v/>
      </c>
      <c r="AI435" s="46">
        <f>IFERROR(IF($A435="","",IFERROR($AH435/$W435,0)),"")</f>
        <v/>
      </c>
      <c r="AJ435" s="45">
        <f>IFERROR(IF($A435="","",$W435-$AH435-$AD435+$AG435),"")</f>
        <v/>
      </c>
      <c r="AK435" s="47">
        <f>IFERROR(IF($A435="","",IF(OR($S435="Collected",$S435="Waived",$S435="Uncollectible",$S435="No Charge Due"),"",IF($T435="",$B435+'Assumptions'!$B$9,$T435+'Assumptions'!$B$9))),"")</f>
        <v/>
      </c>
      <c r="AL435" s="48">
        <f>IFERROR(IF($A435="","",IF(OR($S435="Collected",$S435="Waived",$S435="Uncollectible",$S435="No Charge Due"),"Closed",IF($AK435&lt;TODAY(),"Overdue",IF($AK435=TODAY(),"Due","Open")))),"")</f>
        <v/>
      </c>
      <c r="AM435" s="49">
        <f>IFERROR(IF($A435="","",IF(COUNTIF($A$5:$A$504,$A435)&gt;1,"Duplicate reservation ID",IF($C435&lt;=$B435,"Check stay dates",IF($G435&gt;$F435,"Resold nights exceed booked nights",IF($M435+$N435&gt;$AA435+0.01,"Collection exceeds expected amount",IF(AND($S435="Collected",$M435=0),"Collected status has no amount",IF($AJ435&gt;='Assumptions'!$B$10,"High-cost review","OK"))))))),"")</f>
        <v/>
      </c>
    </row>
    <row r="436">
      <c r="A436" s="38" t="n"/>
      <c r="B436" s="39" t="n"/>
      <c r="C436" s="39" t="n"/>
      <c r="D436" s="38" t="n"/>
      <c r="E436" s="38" t="n"/>
      <c r="F436" s="40" t="n"/>
      <c r="G436" s="40" t="n"/>
      <c r="H436" s="41" t="n"/>
      <c r="I436" s="41" t="n"/>
      <c r="J436" s="42" t="n"/>
      <c r="K436" s="42" t="n"/>
      <c r="L436" s="42" t="n"/>
      <c r="M436" s="41" t="n"/>
      <c r="N436" s="41" t="n"/>
      <c r="O436" s="41" t="n"/>
      <c r="P436" s="41" t="n"/>
      <c r="Q436" s="40" t="n"/>
      <c r="R436" s="38" t="n"/>
      <c r="S436" s="38" t="n"/>
      <c r="T436" s="39" t="n"/>
      <c r="U436" s="43" t="n"/>
      <c r="V436" s="44">
        <f>IFERROR(IF($A436="","",MAX($F436-$G436,0)),"")</f>
        <v/>
      </c>
      <c r="W436" s="45">
        <f>IFERROR(IF($A436="","",$H436+$I436),"")</f>
        <v/>
      </c>
      <c r="X436" s="45">
        <f>IFERROR(IF($A436="","",$H436*IF($J436="",'Assumptions'!$B$4,$J436)),"")</f>
        <v/>
      </c>
      <c r="Y436" s="45">
        <f>IFERROR(IF($A436="","",$X436*IF($K436="",'Assumptions'!$B$12,$K436)),"")</f>
        <v/>
      </c>
      <c r="Z436" s="45">
        <f>IFERROR(IF($A436="","",($X436+$Y436)*IF($L436="",'Assumptions'!$B$13,$L436)),"")</f>
        <v/>
      </c>
      <c r="AA436" s="45">
        <f>IFERROR(IF($A436="","",$X436+$Y436+$Z436),"")</f>
        <v/>
      </c>
      <c r="AB436" s="45">
        <f>IFERROR(IF($A436="","",$V436*'Assumptions'!$B$5),"")</f>
        <v/>
      </c>
      <c r="AC436" s="45">
        <f>IFERROR(IF($A436="","",$I436*'Assumptions'!$B$6),"")</f>
        <v/>
      </c>
      <c r="AD436" s="45">
        <f>IFERROR(IF($A436="","",$AB436+$AC436),"")</f>
        <v/>
      </c>
      <c r="AE436" s="45">
        <f>IFERROR(IF($A436="","",($M436+$N436)*'Assumptions'!$B$7),"")</f>
        <v/>
      </c>
      <c r="AF436" s="45">
        <f>IFERROR(IF($A436="","",($Q436/60)*'Assumptions'!$B$8),"")</f>
        <v/>
      </c>
      <c r="AG436" s="45">
        <f>IFERROR(IF($A436="","",$P436+$AE436+$AF436),"")</f>
        <v/>
      </c>
      <c r="AH436" s="45">
        <f>IFERROR(IF($A436="","",$M436+$O436),"")</f>
        <v/>
      </c>
      <c r="AI436" s="46">
        <f>IFERROR(IF($A436="","",IFERROR($AH436/$W436,0)),"")</f>
        <v/>
      </c>
      <c r="AJ436" s="45">
        <f>IFERROR(IF($A436="","",$W436-$AH436-$AD436+$AG436),"")</f>
        <v/>
      </c>
      <c r="AK436" s="47">
        <f>IFERROR(IF($A436="","",IF(OR($S436="Collected",$S436="Waived",$S436="Uncollectible",$S436="No Charge Due"),"",IF($T436="",$B436+'Assumptions'!$B$9,$T436+'Assumptions'!$B$9))),"")</f>
        <v/>
      </c>
      <c r="AL436" s="48">
        <f>IFERROR(IF($A436="","",IF(OR($S436="Collected",$S436="Waived",$S436="Uncollectible",$S436="No Charge Due"),"Closed",IF($AK436&lt;TODAY(),"Overdue",IF($AK436=TODAY(),"Due","Open")))),"")</f>
        <v/>
      </c>
      <c r="AM436" s="49">
        <f>IFERROR(IF($A436="","",IF(COUNTIF($A$5:$A$504,$A436)&gt;1,"Duplicate reservation ID",IF($C436&lt;=$B436,"Check stay dates",IF($G436&gt;$F436,"Resold nights exceed booked nights",IF($M436+$N436&gt;$AA436+0.01,"Collection exceeds expected amount",IF(AND($S436="Collected",$M436=0),"Collected status has no amount",IF($AJ436&gt;='Assumptions'!$B$10,"High-cost review","OK"))))))),"")</f>
        <v/>
      </c>
    </row>
    <row r="437">
      <c r="A437" s="38" t="n"/>
      <c r="B437" s="39" t="n"/>
      <c r="C437" s="39" t="n"/>
      <c r="D437" s="38" t="n"/>
      <c r="E437" s="38" t="n"/>
      <c r="F437" s="40" t="n"/>
      <c r="G437" s="40" t="n"/>
      <c r="H437" s="41" t="n"/>
      <c r="I437" s="41" t="n"/>
      <c r="J437" s="42" t="n"/>
      <c r="K437" s="42" t="n"/>
      <c r="L437" s="42" t="n"/>
      <c r="M437" s="41" t="n"/>
      <c r="N437" s="41" t="n"/>
      <c r="O437" s="41" t="n"/>
      <c r="P437" s="41" t="n"/>
      <c r="Q437" s="40" t="n"/>
      <c r="R437" s="38" t="n"/>
      <c r="S437" s="38" t="n"/>
      <c r="T437" s="39" t="n"/>
      <c r="U437" s="43" t="n"/>
      <c r="V437" s="44">
        <f>IFERROR(IF($A437="","",MAX($F437-$G437,0)),"")</f>
        <v/>
      </c>
      <c r="W437" s="45">
        <f>IFERROR(IF($A437="","",$H437+$I437),"")</f>
        <v/>
      </c>
      <c r="X437" s="45">
        <f>IFERROR(IF($A437="","",$H437*IF($J437="",'Assumptions'!$B$4,$J437)),"")</f>
        <v/>
      </c>
      <c r="Y437" s="45">
        <f>IFERROR(IF($A437="","",$X437*IF($K437="",'Assumptions'!$B$12,$K437)),"")</f>
        <v/>
      </c>
      <c r="Z437" s="45">
        <f>IFERROR(IF($A437="","",($X437+$Y437)*IF($L437="",'Assumptions'!$B$13,$L437)),"")</f>
        <v/>
      </c>
      <c r="AA437" s="45">
        <f>IFERROR(IF($A437="","",$X437+$Y437+$Z437),"")</f>
        <v/>
      </c>
      <c r="AB437" s="45">
        <f>IFERROR(IF($A437="","",$V437*'Assumptions'!$B$5),"")</f>
        <v/>
      </c>
      <c r="AC437" s="45">
        <f>IFERROR(IF($A437="","",$I437*'Assumptions'!$B$6),"")</f>
        <v/>
      </c>
      <c r="AD437" s="45">
        <f>IFERROR(IF($A437="","",$AB437+$AC437),"")</f>
        <v/>
      </c>
      <c r="AE437" s="45">
        <f>IFERROR(IF($A437="","",($M437+$N437)*'Assumptions'!$B$7),"")</f>
        <v/>
      </c>
      <c r="AF437" s="45">
        <f>IFERROR(IF($A437="","",($Q437/60)*'Assumptions'!$B$8),"")</f>
        <v/>
      </c>
      <c r="AG437" s="45">
        <f>IFERROR(IF($A437="","",$P437+$AE437+$AF437),"")</f>
        <v/>
      </c>
      <c r="AH437" s="45">
        <f>IFERROR(IF($A437="","",$M437+$O437),"")</f>
        <v/>
      </c>
      <c r="AI437" s="46">
        <f>IFERROR(IF($A437="","",IFERROR($AH437/$W437,0)),"")</f>
        <v/>
      </c>
      <c r="AJ437" s="45">
        <f>IFERROR(IF($A437="","",$W437-$AH437-$AD437+$AG437),"")</f>
        <v/>
      </c>
      <c r="AK437" s="47">
        <f>IFERROR(IF($A437="","",IF(OR($S437="Collected",$S437="Waived",$S437="Uncollectible",$S437="No Charge Due"),"",IF($T437="",$B437+'Assumptions'!$B$9,$T437+'Assumptions'!$B$9))),"")</f>
        <v/>
      </c>
      <c r="AL437" s="48">
        <f>IFERROR(IF($A437="","",IF(OR($S437="Collected",$S437="Waived",$S437="Uncollectible",$S437="No Charge Due"),"Closed",IF($AK437&lt;TODAY(),"Overdue",IF($AK437=TODAY(),"Due","Open")))),"")</f>
        <v/>
      </c>
      <c r="AM437" s="49">
        <f>IFERROR(IF($A437="","",IF(COUNTIF($A$5:$A$504,$A437)&gt;1,"Duplicate reservation ID",IF($C437&lt;=$B437,"Check stay dates",IF($G437&gt;$F437,"Resold nights exceed booked nights",IF($M437+$N437&gt;$AA437+0.01,"Collection exceeds expected amount",IF(AND($S437="Collected",$M437=0),"Collected status has no amount",IF($AJ437&gt;='Assumptions'!$B$10,"High-cost review","OK"))))))),"")</f>
        <v/>
      </c>
    </row>
    <row r="438">
      <c r="A438" s="38" t="n"/>
      <c r="B438" s="39" t="n"/>
      <c r="C438" s="39" t="n"/>
      <c r="D438" s="38" t="n"/>
      <c r="E438" s="38" t="n"/>
      <c r="F438" s="40" t="n"/>
      <c r="G438" s="40" t="n"/>
      <c r="H438" s="41" t="n"/>
      <c r="I438" s="41" t="n"/>
      <c r="J438" s="42" t="n"/>
      <c r="K438" s="42" t="n"/>
      <c r="L438" s="42" t="n"/>
      <c r="M438" s="41" t="n"/>
      <c r="N438" s="41" t="n"/>
      <c r="O438" s="41" t="n"/>
      <c r="P438" s="41" t="n"/>
      <c r="Q438" s="40" t="n"/>
      <c r="R438" s="38" t="n"/>
      <c r="S438" s="38" t="n"/>
      <c r="T438" s="39" t="n"/>
      <c r="U438" s="43" t="n"/>
      <c r="V438" s="44">
        <f>IFERROR(IF($A438="","",MAX($F438-$G438,0)),"")</f>
        <v/>
      </c>
      <c r="W438" s="45">
        <f>IFERROR(IF($A438="","",$H438+$I438),"")</f>
        <v/>
      </c>
      <c r="X438" s="45">
        <f>IFERROR(IF($A438="","",$H438*IF($J438="",'Assumptions'!$B$4,$J438)),"")</f>
        <v/>
      </c>
      <c r="Y438" s="45">
        <f>IFERROR(IF($A438="","",$X438*IF($K438="",'Assumptions'!$B$12,$K438)),"")</f>
        <v/>
      </c>
      <c r="Z438" s="45">
        <f>IFERROR(IF($A438="","",($X438+$Y438)*IF($L438="",'Assumptions'!$B$13,$L438)),"")</f>
        <v/>
      </c>
      <c r="AA438" s="45">
        <f>IFERROR(IF($A438="","",$X438+$Y438+$Z438),"")</f>
        <v/>
      </c>
      <c r="AB438" s="45">
        <f>IFERROR(IF($A438="","",$V438*'Assumptions'!$B$5),"")</f>
        <v/>
      </c>
      <c r="AC438" s="45">
        <f>IFERROR(IF($A438="","",$I438*'Assumptions'!$B$6),"")</f>
        <v/>
      </c>
      <c r="AD438" s="45">
        <f>IFERROR(IF($A438="","",$AB438+$AC438),"")</f>
        <v/>
      </c>
      <c r="AE438" s="45">
        <f>IFERROR(IF($A438="","",($M438+$N438)*'Assumptions'!$B$7),"")</f>
        <v/>
      </c>
      <c r="AF438" s="45">
        <f>IFERROR(IF($A438="","",($Q438/60)*'Assumptions'!$B$8),"")</f>
        <v/>
      </c>
      <c r="AG438" s="45">
        <f>IFERROR(IF($A438="","",$P438+$AE438+$AF438),"")</f>
        <v/>
      </c>
      <c r="AH438" s="45">
        <f>IFERROR(IF($A438="","",$M438+$O438),"")</f>
        <v/>
      </c>
      <c r="AI438" s="46">
        <f>IFERROR(IF($A438="","",IFERROR($AH438/$W438,0)),"")</f>
        <v/>
      </c>
      <c r="AJ438" s="45">
        <f>IFERROR(IF($A438="","",$W438-$AH438-$AD438+$AG438),"")</f>
        <v/>
      </c>
      <c r="AK438" s="47">
        <f>IFERROR(IF($A438="","",IF(OR($S438="Collected",$S438="Waived",$S438="Uncollectible",$S438="No Charge Due"),"",IF($T438="",$B438+'Assumptions'!$B$9,$T438+'Assumptions'!$B$9))),"")</f>
        <v/>
      </c>
      <c r="AL438" s="48">
        <f>IFERROR(IF($A438="","",IF(OR($S438="Collected",$S438="Waived",$S438="Uncollectible",$S438="No Charge Due"),"Closed",IF($AK438&lt;TODAY(),"Overdue",IF($AK438=TODAY(),"Due","Open")))),"")</f>
        <v/>
      </c>
      <c r="AM438" s="49">
        <f>IFERROR(IF($A438="","",IF(COUNTIF($A$5:$A$504,$A438)&gt;1,"Duplicate reservation ID",IF($C438&lt;=$B438,"Check stay dates",IF($G438&gt;$F438,"Resold nights exceed booked nights",IF($M438+$N438&gt;$AA438+0.01,"Collection exceeds expected amount",IF(AND($S438="Collected",$M438=0),"Collected status has no amount",IF($AJ438&gt;='Assumptions'!$B$10,"High-cost review","OK"))))))),"")</f>
        <v/>
      </c>
    </row>
    <row r="439">
      <c r="A439" s="38" t="n"/>
      <c r="B439" s="39" t="n"/>
      <c r="C439" s="39" t="n"/>
      <c r="D439" s="38" t="n"/>
      <c r="E439" s="38" t="n"/>
      <c r="F439" s="40" t="n"/>
      <c r="G439" s="40" t="n"/>
      <c r="H439" s="41" t="n"/>
      <c r="I439" s="41" t="n"/>
      <c r="J439" s="42" t="n"/>
      <c r="K439" s="42" t="n"/>
      <c r="L439" s="42" t="n"/>
      <c r="M439" s="41" t="n"/>
      <c r="N439" s="41" t="n"/>
      <c r="O439" s="41" t="n"/>
      <c r="P439" s="41" t="n"/>
      <c r="Q439" s="40" t="n"/>
      <c r="R439" s="38" t="n"/>
      <c r="S439" s="38" t="n"/>
      <c r="T439" s="39" t="n"/>
      <c r="U439" s="43" t="n"/>
      <c r="V439" s="44">
        <f>IFERROR(IF($A439="","",MAX($F439-$G439,0)),"")</f>
        <v/>
      </c>
      <c r="W439" s="45">
        <f>IFERROR(IF($A439="","",$H439+$I439),"")</f>
        <v/>
      </c>
      <c r="X439" s="45">
        <f>IFERROR(IF($A439="","",$H439*IF($J439="",'Assumptions'!$B$4,$J439)),"")</f>
        <v/>
      </c>
      <c r="Y439" s="45">
        <f>IFERROR(IF($A439="","",$X439*IF($K439="",'Assumptions'!$B$12,$K439)),"")</f>
        <v/>
      </c>
      <c r="Z439" s="45">
        <f>IFERROR(IF($A439="","",($X439+$Y439)*IF($L439="",'Assumptions'!$B$13,$L439)),"")</f>
        <v/>
      </c>
      <c r="AA439" s="45">
        <f>IFERROR(IF($A439="","",$X439+$Y439+$Z439),"")</f>
        <v/>
      </c>
      <c r="AB439" s="45">
        <f>IFERROR(IF($A439="","",$V439*'Assumptions'!$B$5),"")</f>
        <v/>
      </c>
      <c r="AC439" s="45">
        <f>IFERROR(IF($A439="","",$I439*'Assumptions'!$B$6),"")</f>
        <v/>
      </c>
      <c r="AD439" s="45">
        <f>IFERROR(IF($A439="","",$AB439+$AC439),"")</f>
        <v/>
      </c>
      <c r="AE439" s="45">
        <f>IFERROR(IF($A439="","",($M439+$N439)*'Assumptions'!$B$7),"")</f>
        <v/>
      </c>
      <c r="AF439" s="45">
        <f>IFERROR(IF($A439="","",($Q439/60)*'Assumptions'!$B$8),"")</f>
        <v/>
      </c>
      <c r="AG439" s="45">
        <f>IFERROR(IF($A439="","",$P439+$AE439+$AF439),"")</f>
        <v/>
      </c>
      <c r="AH439" s="45">
        <f>IFERROR(IF($A439="","",$M439+$O439),"")</f>
        <v/>
      </c>
      <c r="AI439" s="46">
        <f>IFERROR(IF($A439="","",IFERROR($AH439/$W439,0)),"")</f>
        <v/>
      </c>
      <c r="AJ439" s="45">
        <f>IFERROR(IF($A439="","",$W439-$AH439-$AD439+$AG439),"")</f>
        <v/>
      </c>
      <c r="AK439" s="47">
        <f>IFERROR(IF($A439="","",IF(OR($S439="Collected",$S439="Waived",$S439="Uncollectible",$S439="No Charge Due"),"",IF($T439="",$B439+'Assumptions'!$B$9,$T439+'Assumptions'!$B$9))),"")</f>
        <v/>
      </c>
      <c r="AL439" s="48">
        <f>IFERROR(IF($A439="","",IF(OR($S439="Collected",$S439="Waived",$S439="Uncollectible",$S439="No Charge Due"),"Closed",IF($AK439&lt;TODAY(),"Overdue",IF($AK439=TODAY(),"Due","Open")))),"")</f>
        <v/>
      </c>
      <c r="AM439" s="49">
        <f>IFERROR(IF($A439="","",IF(COUNTIF($A$5:$A$504,$A439)&gt;1,"Duplicate reservation ID",IF($C439&lt;=$B439,"Check stay dates",IF($G439&gt;$F439,"Resold nights exceed booked nights",IF($M439+$N439&gt;$AA439+0.01,"Collection exceeds expected amount",IF(AND($S439="Collected",$M439=0),"Collected status has no amount",IF($AJ439&gt;='Assumptions'!$B$10,"High-cost review","OK"))))))),"")</f>
        <v/>
      </c>
    </row>
    <row r="440">
      <c r="A440" s="38" t="n"/>
      <c r="B440" s="39" t="n"/>
      <c r="C440" s="39" t="n"/>
      <c r="D440" s="38" t="n"/>
      <c r="E440" s="38" t="n"/>
      <c r="F440" s="40" t="n"/>
      <c r="G440" s="40" t="n"/>
      <c r="H440" s="41" t="n"/>
      <c r="I440" s="41" t="n"/>
      <c r="J440" s="42" t="n"/>
      <c r="K440" s="42" t="n"/>
      <c r="L440" s="42" t="n"/>
      <c r="M440" s="41" t="n"/>
      <c r="N440" s="41" t="n"/>
      <c r="O440" s="41" t="n"/>
      <c r="P440" s="41" t="n"/>
      <c r="Q440" s="40" t="n"/>
      <c r="R440" s="38" t="n"/>
      <c r="S440" s="38" t="n"/>
      <c r="T440" s="39" t="n"/>
      <c r="U440" s="43" t="n"/>
      <c r="V440" s="44">
        <f>IFERROR(IF($A440="","",MAX($F440-$G440,0)),"")</f>
        <v/>
      </c>
      <c r="W440" s="45">
        <f>IFERROR(IF($A440="","",$H440+$I440),"")</f>
        <v/>
      </c>
      <c r="X440" s="45">
        <f>IFERROR(IF($A440="","",$H440*IF($J440="",'Assumptions'!$B$4,$J440)),"")</f>
        <v/>
      </c>
      <c r="Y440" s="45">
        <f>IFERROR(IF($A440="","",$X440*IF($K440="",'Assumptions'!$B$12,$K440)),"")</f>
        <v/>
      </c>
      <c r="Z440" s="45">
        <f>IFERROR(IF($A440="","",($X440+$Y440)*IF($L440="",'Assumptions'!$B$13,$L440)),"")</f>
        <v/>
      </c>
      <c r="AA440" s="45">
        <f>IFERROR(IF($A440="","",$X440+$Y440+$Z440),"")</f>
        <v/>
      </c>
      <c r="AB440" s="45">
        <f>IFERROR(IF($A440="","",$V440*'Assumptions'!$B$5),"")</f>
        <v/>
      </c>
      <c r="AC440" s="45">
        <f>IFERROR(IF($A440="","",$I440*'Assumptions'!$B$6),"")</f>
        <v/>
      </c>
      <c r="AD440" s="45">
        <f>IFERROR(IF($A440="","",$AB440+$AC440),"")</f>
        <v/>
      </c>
      <c r="AE440" s="45">
        <f>IFERROR(IF($A440="","",($M440+$N440)*'Assumptions'!$B$7),"")</f>
        <v/>
      </c>
      <c r="AF440" s="45">
        <f>IFERROR(IF($A440="","",($Q440/60)*'Assumptions'!$B$8),"")</f>
        <v/>
      </c>
      <c r="AG440" s="45">
        <f>IFERROR(IF($A440="","",$P440+$AE440+$AF440),"")</f>
        <v/>
      </c>
      <c r="AH440" s="45">
        <f>IFERROR(IF($A440="","",$M440+$O440),"")</f>
        <v/>
      </c>
      <c r="AI440" s="46">
        <f>IFERROR(IF($A440="","",IFERROR($AH440/$W440,0)),"")</f>
        <v/>
      </c>
      <c r="AJ440" s="45">
        <f>IFERROR(IF($A440="","",$W440-$AH440-$AD440+$AG440),"")</f>
        <v/>
      </c>
      <c r="AK440" s="47">
        <f>IFERROR(IF($A440="","",IF(OR($S440="Collected",$S440="Waived",$S440="Uncollectible",$S440="No Charge Due"),"",IF($T440="",$B440+'Assumptions'!$B$9,$T440+'Assumptions'!$B$9))),"")</f>
        <v/>
      </c>
      <c r="AL440" s="48">
        <f>IFERROR(IF($A440="","",IF(OR($S440="Collected",$S440="Waived",$S440="Uncollectible",$S440="No Charge Due"),"Closed",IF($AK440&lt;TODAY(),"Overdue",IF($AK440=TODAY(),"Due","Open")))),"")</f>
        <v/>
      </c>
      <c r="AM440" s="49">
        <f>IFERROR(IF($A440="","",IF(COUNTIF($A$5:$A$504,$A440)&gt;1,"Duplicate reservation ID",IF($C440&lt;=$B440,"Check stay dates",IF($G440&gt;$F440,"Resold nights exceed booked nights",IF($M440+$N440&gt;$AA440+0.01,"Collection exceeds expected amount",IF(AND($S440="Collected",$M440=0),"Collected status has no amount",IF($AJ440&gt;='Assumptions'!$B$10,"High-cost review","OK"))))))),"")</f>
        <v/>
      </c>
    </row>
    <row r="441">
      <c r="A441" s="38" t="n"/>
      <c r="B441" s="39" t="n"/>
      <c r="C441" s="39" t="n"/>
      <c r="D441" s="38" t="n"/>
      <c r="E441" s="38" t="n"/>
      <c r="F441" s="40" t="n"/>
      <c r="G441" s="40" t="n"/>
      <c r="H441" s="41" t="n"/>
      <c r="I441" s="41" t="n"/>
      <c r="J441" s="42" t="n"/>
      <c r="K441" s="42" t="n"/>
      <c r="L441" s="42" t="n"/>
      <c r="M441" s="41" t="n"/>
      <c r="N441" s="41" t="n"/>
      <c r="O441" s="41" t="n"/>
      <c r="P441" s="41" t="n"/>
      <c r="Q441" s="40" t="n"/>
      <c r="R441" s="38" t="n"/>
      <c r="S441" s="38" t="n"/>
      <c r="T441" s="39" t="n"/>
      <c r="U441" s="43" t="n"/>
      <c r="V441" s="44">
        <f>IFERROR(IF($A441="","",MAX($F441-$G441,0)),"")</f>
        <v/>
      </c>
      <c r="W441" s="45">
        <f>IFERROR(IF($A441="","",$H441+$I441),"")</f>
        <v/>
      </c>
      <c r="X441" s="45">
        <f>IFERROR(IF($A441="","",$H441*IF($J441="",'Assumptions'!$B$4,$J441)),"")</f>
        <v/>
      </c>
      <c r="Y441" s="45">
        <f>IFERROR(IF($A441="","",$X441*IF($K441="",'Assumptions'!$B$12,$K441)),"")</f>
        <v/>
      </c>
      <c r="Z441" s="45">
        <f>IFERROR(IF($A441="","",($X441+$Y441)*IF($L441="",'Assumptions'!$B$13,$L441)),"")</f>
        <v/>
      </c>
      <c r="AA441" s="45">
        <f>IFERROR(IF($A441="","",$X441+$Y441+$Z441),"")</f>
        <v/>
      </c>
      <c r="AB441" s="45">
        <f>IFERROR(IF($A441="","",$V441*'Assumptions'!$B$5),"")</f>
        <v/>
      </c>
      <c r="AC441" s="45">
        <f>IFERROR(IF($A441="","",$I441*'Assumptions'!$B$6),"")</f>
        <v/>
      </c>
      <c r="AD441" s="45">
        <f>IFERROR(IF($A441="","",$AB441+$AC441),"")</f>
        <v/>
      </c>
      <c r="AE441" s="45">
        <f>IFERROR(IF($A441="","",($M441+$N441)*'Assumptions'!$B$7),"")</f>
        <v/>
      </c>
      <c r="AF441" s="45">
        <f>IFERROR(IF($A441="","",($Q441/60)*'Assumptions'!$B$8),"")</f>
        <v/>
      </c>
      <c r="AG441" s="45">
        <f>IFERROR(IF($A441="","",$P441+$AE441+$AF441),"")</f>
        <v/>
      </c>
      <c r="AH441" s="45">
        <f>IFERROR(IF($A441="","",$M441+$O441),"")</f>
        <v/>
      </c>
      <c r="AI441" s="46">
        <f>IFERROR(IF($A441="","",IFERROR($AH441/$W441,0)),"")</f>
        <v/>
      </c>
      <c r="AJ441" s="45">
        <f>IFERROR(IF($A441="","",$W441-$AH441-$AD441+$AG441),"")</f>
        <v/>
      </c>
      <c r="AK441" s="47">
        <f>IFERROR(IF($A441="","",IF(OR($S441="Collected",$S441="Waived",$S441="Uncollectible",$S441="No Charge Due"),"",IF($T441="",$B441+'Assumptions'!$B$9,$T441+'Assumptions'!$B$9))),"")</f>
        <v/>
      </c>
      <c r="AL441" s="48">
        <f>IFERROR(IF($A441="","",IF(OR($S441="Collected",$S441="Waived",$S441="Uncollectible",$S441="No Charge Due"),"Closed",IF($AK441&lt;TODAY(),"Overdue",IF($AK441=TODAY(),"Due","Open")))),"")</f>
        <v/>
      </c>
      <c r="AM441" s="49">
        <f>IFERROR(IF($A441="","",IF(COUNTIF($A$5:$A$504,$A441)&gt;1,"Duplicate reservation ID",IF($C441&lt;=$B441,"Check stay dates",IF($G441&gt;$F441,"Resold nights exceed booked nights",IF($M441+$N441&gt;$AA441+0.01,"Collection exceeds expected amount",IF(AND($S441="Collected",$M441=0),"Collected status has no amount",IF($AJ441&gt;='Assumptions'!$B$10,"High-cost review","OK"))))))),"")</f>
        <v/>
      </c>
    </row>
    <row r="442">
      <c r="A442" s="38" t="n"/>
      <c r="B442" s="39" t="n"/>
      <c r="C442" s="39" t="n"/>
      <c r="D442" s="38" t="n"/>
      <c r="E442" s="38" t="n"/>
      <c r="F442" s="40" t="n"/>
      <c r="G442" s="40" t="n"/>
      <c r="H442" s="41" t="n"/>
      <c r="I442" s="41" t="n"/>
      <c r="J442" s="42" t="n"/>
      <c r="K442" s="42" t="n"/>
      <c r="L442" s="42" t="n"/>
      <c r="M442" s="41" t="n"/>
      <c r="N442" s="41" t="n"/>
      <c r="O442" s="41" t="n"/>
      <c r="P442" s="41" t="n"/>
      <c r="Q442" s="40" t="n"/>
      <c r="R442" s="38" t="n"/>
      <c r="S442" s="38" t="n"/>
      <c r="T442" s="39" t="n"/>
      <c r="U442" s="43" t="n"/>
      <c r="V442" s="44">
        <f>IFERROR(IF($A442="","",MAX($F442-$G442,0)),"")</f>
        <v/>
      </c>
      <c r="W442" s="45">
        <f>IFERROR(IF($A442="","",$H442+$I442),"")</f>
        <v/>
      </c>
      <c r="X442" s="45">
        <f>IFERROR(IF($A442="","",$H442*IF($J442="",'Assumptions'!$B$4,$J442)),"")</f>
        <v/>
      </c>
      <c r="Y442" s="45">
        <f>IFERROR(IF($A442="","",$X442*IF($K442="",'Assumptions'!$B$12,$K442)),"")</f>
        <v/>
      </c>
      <c r="Z442" s="45">
        <f>IFERROR(IF($A442="","",($X442+$Y442)*IF($L442="",'Assumptions'!$B$13,$L442)),"")</f>
        <v/>
      </c>
      <c r="AA442" s="45">
        <f>IFERROR(IF($A442="","",$X442+$Y442+$Z442),"")</f>
        <v/>
      </c>
      <c r="AB442" s="45">
        <f>IFERROR(IF($A442="","",$V442*'Assumptions'!$B$5),"")</f>
        <v/>
      </c>
      <c r="AC442" s="45">
        <f>IFERROR(IF($A442="","",$I442*'Assumptions'!$B$6),"")</f>
        <v/>
      </c>
      <c r="AD442" s="45">
        <f>IFERROR(IF($A442="","",$AB442+$AC442),"")</f>
        <v/>
      </c>
      <c r="AE442" s="45">
        <f>IFERROR(IF($A442="","",($M442+$N442)*'Assumptions'!$B$7),"")</f>
        <v/>
      </c>
      <c r="AF442" s="45">
        <f>IFERROR(IF($A442="","",($Q442/60)*'Assumptions'!$B$8),"")</f>
        <v/>
      </c>
      <c r="AG442" s="45">
        <f>IFERROR(IF($A442="","",$P442+$AE442+$AF442),"")</f>
        <v/>
      </c>
      <c r="AH442" s="45">
        <f>IFERROR(IF($A442="","",$M442+$O442),"")</f>
        <v/>
      </c>
      <c r="AI442" s="46">
        <f>IFERROR(IF($A442="","",IFERROR($AH442/$W442,0)),"")</f>
        <v/>
      </c>
      <c r="AJ442" s="45">
        <f>IFERROR(IF($A442="","",$W442-$AH442-$AD442+$AG442),"")</f>
        <v/>
      </c>
      <c r="AK442" s="47">
        <f>IFERROR(IF($A442="","",IF(OR($S442="Collected",$S442="Waived",$S442="Uncollectible",$S442="No Charge Due"),"",IF($T442="",$B442+'Assumptions'!$B$9,$T442+'Assumptions'!$B$9))),"")</f>
        <v/>
      </c>
      <c r="AL442" s="48">
        <f>IFERROR(IF($A442="","",IF(OR($S442="Collected",$S442="Waived",$S442="Uncollectible",$S442="No Charge Due"),"Closed",IF($AK442&lt;TODAY(),"Overdue",IF($AK442=TODAY(),"Due","Open")))),"")</f>
        <v/>
      </c>
      <c r="AM442" s="49">
        <f>IFERROR(IF($A442="","",IF(COUNTIF($A$5:$A$504,$A442)&gt;1,"Duplicate reservation ID",IF($C442&lt;=$B442,"Check stay dates",IF($G442&gt;$F442,"Resold nights exceed booked nights",IF($M442+$N442&gt;$AA442+0.01,"Collection exceeds expected amount",IF(AND($S442="Collected",$M442=0),"Collected status has no amount",IF($AJ442&gt;='Assumptions'!$B$10,"High-cost review","OK"))))))),"")</f>
        <v/>
      </c>
    </row>
    <row r="443">
      <c r="A443" s="38" t="n"/>
      <c r="B443" s="39" t="n"/>
      <c r="C443" s="39" t="n"/>
      <c r="D443" s="38" t="n"/>
      <c r="E443" s="38" t="n"/>
      <c r="F443" s="40" t="n"/>
      <c r="G443" s="40" t="n"/>
      <c r="H443" s="41" t="n"/>
      <c r="I443" s="41" t="n"/>
      <c r="J443" s="42" t="n"/>
      <c r="K443" s="42" t="n"/>
      <c r="L443" s="42" t="n"/>
      <c r="M443" s="41" t="n"/>
      <c r="N443" s="41" t="n"/>
      <c r="O443" s="41" t="n"/>
      <c r="P443" s="41" t="n"/>
      <c r="Q443" s="40" t="n"/>
      <c r="R443" s="38" t="n"/>
      <c r="S443" s="38" t="n"/>
      <c r="T443" s="39" t="n"/>
      <c r="U443" s="43" t="n"/>
      <c r="V443" s="44">
        <f>IFERROR(IF($A443="","",MAX($F443-$G443,0)),"")</f>
        <v/>
      </c>
      <c r="W443" s="45">
        <f>IFERROR(IF($A443="","",$H443+$I443),"")</f>
        <v/>
      </c>
      <c r="X443" s="45">
        <f>IFERROR(IF($A443="","",$H443*IF($J443="",'Assumptions'!$B$4,$J443)),"")</f>
        <v/>
      </c>
      <c r="Y443" s="45">
        <f>IFERROR(IF($A443="","",$X443*IF($K443="",'Assumptions'!$B$12,$K443)),"")</f>
        <v/>
      </c>
      <c r="Z443" s="45">
        <f>IFERROR(IF($A443="","",($X443+$Y443)*IF($L443="",'Assumptions'!$B$13,$L443)),"")</f>
        <v/>
      </c>
      <c r="AA443" s="45">
        <f>IFERROR(IF($A443="","",$X443+$Y443+$Z443),"")</f>
        <v/>
      </c>
      <c r="AB443" s="45">
        <f>IFERROR(IF($A443="","",$V443*'Assumptions'!$B$5),"")</f>
        <v/>
      </c>
      <c r="AC443" s="45">
        <f>IFERROR(IF($A443="","",$I443*'Assumptions'!$B$6),"")</f>
        <v/>
      </c>
      <c r="AD443" s="45">
        <f>IFERROR(IF($A443="","",$AB443+$AC443),"")</f>
        <v/>
      </c>
      <c r="AE443" s="45">
        <f>IFERROR(IF($A443="","",($M443+$N443)*'Assumptions'!$B$7),"")</f>
        <v/>
      </c>
      <c r="AF443" s="45">
        <f>IFERROR(IF($A443="","",($Q443/60)*'Assumptions'!$B$8),"")</f>
        <v/>
      </c>
      <c r="AG443" s="45">
        <f>IFERROR(IF($A443="","",$P443+$AE443+$AF443),"")</f>
        <v/>
      </c>
      <c r="AH443" s="45">
        <f>IFERROR(IF($A443="","",$M443+$O443),"")</f>
        <v/>
      </c>
      <c r="AI443" s="46">
        <f>IFERROR(IF($A443="","",IFERROR($AH443/$W443,0)),"")</f>
        <v/>
      </c>
      <c r="AJ443" s="45">
        <f>IFERROR(IF($A443="","",$W443-$AH443-$AD443+$AG443),"")</f>
        <v/>
      </c>
      <c r="AK443" s="47">
        <f>IFERROR(IF($A443="","",IF(OR($S443="Collected",$S443="Waived",$S443="Uncollectible",$S443="No Charge Due"),"",IF($T443="",$B443+'Assumptions'!$B$9,$T443+'Assumptions'!$B$9))),"")</f>
        <v/>
      </c>
      <c r="AL443" s="48">
        <f>IFERROR(IF($A443="","",IF(OR($S443="Collected",$S443="Waived",$S443="Uncollectible",$S443="No Charge Due"),"Closed",IF($AK443&lt;TODAY(),"Overdue",IF($AK443=TODAY(),"Due","Open")))),"")</f>
        <v/>
      </c>
      <c r="AM443" s="49">
        <f>IFERROR(IF($A443="","",IF(COUNTIF($A$5:$A$504,$A443)&gt;1,"Duplicate reservation ID",IF($C443&lt;=$B443,"Check stay dates",IF($G443&gt;$F443,"Resold nights exceed booked nights",IF($M443+$N443&gt;$AA443+0.01,"Collection exceeds expected amount",IF(AND($S443="Collected",$M443=0),"Collected status has no amount",IF($AJ443&gt;='Assumptions'!$B$10,"High-cost review","OK"))))))),"")</f>
        <v/>
      </c>
    </row>
    <row r="444">
      <c r="A444" s="38" t="n"/>
      <c r="B444" s="39" t="n"/>
      <c r="C444" s="39" t="n"/>
      <c r="D444" s="38" t="n"/>
      <c r="E444" s="38" t="n"/>
      <c r="F444" s="40" t="n"/>
      <c r="G444" s="40" t="n"/>
      <c r="H444" s="41" t="n"/>
      <c r="I444" s="41" t="n"/>
      <c r="J444" s="42" t="n"/>
      <c r="K444" s="42" t="n"/>
      <c r="L444" s="42" t="n"/>
      <c r="M444" s="41" t="n"/>
      <c r="N444" s="41" t="n"/>
      <c r="O444" s="41" t="n"/>
      <c r="P444" s="41" t="n"/>
      <c r="Q444" s="40" t="n"/>
      <c r="R444" s="38" t="n"/>
      <c r="S444" s="38" t="n"/>
      <c r="T444" s="39" t="n"/>
      <c r="U444" s="43" t="n"/>
      <c r="V444" s="44">
        <f>IFERROR(IF($A444="","",MAX($F444-$G444,0)),"")</f>
        <v/>
      </c>
      <c r="W444" s="45">
        <f>IFERROR(IF($A444="","",$H444+$I444),"")</f>
        <v/>
      </c>
      <c r="X444" s="45">
        <f>IFERROR(IF($A444="","",$H444*IF($J444="",'Assumptions'!$B$4,$J444)),"")</f>
        <v/>
      </c>
      <c r="Y444" s="45">
        <f>IFERROR(IF($A444="","",$X444*IF($K444="",'Assumptions'!$B$12,$K444)),"")</f>
        <v/>
      </c>
      <c r="Z444" s="45">
        <f>IFERROR(IF($A444="","",($X444+$Y444)*IF($L444="",'Assumptions'!$B$13,$L444)),"")</f>
        <v/>
      </c>
      <c r="AA444" s="45">
        <f>IFERROR(IF($A444="","",$X444+$Y444+$Z444),"")</f>
        <v/>
      </c>
      <c r="AB444" s="45">
        <f>IFERROR(IF($A444="","",$V444*'Assumptions'!$B$5),"")</f>
        <v/>
      </c>
      <c r="AC444" s="45">
        <f>IFERROR(IF($A444="","",$I444*'Assumptions'!$B$6),"")</f>
        <v/>
      </c>
      <c r="AD444" s="45">
        <f>IFERROR(IF($A444="","",$AB444+$AC444),"")</f>
        <v/>
      </c>
      <c r="AE444" s="45">
        <f>IFERROR(IF($A444="","",($M444+$N444)*'Assumptions'!$B$7),"")</f>
        <v/>
      </c>
      <c r="AF444" s="45">
        <f>IFERROR(IF($A444="","",($Q444/60)*'Assumptions'!$B$8),"")</f>
        <v/>
      </c>
      <c r="AG444" s="45">
        <f>IFERROR(IF($A444="","",$P444+$AE444+$AF444),"")</f>
        <v/>
      </c>
      <c r="AH444" s="45">
        <f>IFERROR(IF($A444="","",$M444+$O444),"")</f>
        <v/>
      </c>
      <c r="AI444" s="46">
        <f>IFERROR(IF($A444="","",IFERROR($AH444/$W444,0)),"")</f>
        <v/>
      </c>
      <c r="AJ444" s="45">
        <f>IFERROR(IF($A444="","",$W444-$AH444-$AD444+$AG444),"")</f>
        <v/>
      </c>
      <c r="AK444" s="47">
        <f>IFERROR(IF($A444="","",IF(OR($S444="Collected",$S444="Waived",$S444="Uncollectible",$S444="No Charge Due"),"",IF($T444="",$B444+'Assumptions'!$B$9,$T444+'Assumptions'!$B$9))),"")</f>
        <v/>
      </c>
      <c r="AL444" s="48">
        <f>IFERROR(IF($A444="","",IF(OR($S444="Collected",$S444="Waived",$S444="Uncollectible",$S444="No Charge Due"),"Closed",IF($AK444&lt;TODAY(),"Overdue",IF($AK444=TODAY(),"Due","Open")))),"")</f>
        <v/>
      </c>
      <c r="AM444" s="49">
        <f>IFERROR(IF($A444="","",IF(COUNTIF($A$5:$A$504,$A444)&gt;1,"Duplicate reservation ID",IF($C444&lt;=$B444,"Check stay dates",IF($G444&gt;$F444,"Resold nights exceed booked nights",IF($M444+$N444&gt;$AA444+0.01,"Collection exceeds expected amount",IF(AND($S444="Collected",$M444=0),"Collected status has no amount",IF($AJ444&gt;='Assumptions'!$B$10,"High-cost review","OK"))))))),"")</f>
        <v/>
      </c>
    </row>
    <row r="445">
      <c r="A445" s="38" t="n"/>
      <c r="B445" s="39" t="n"/>
      <c r="C445" s="39" t="n"/>
      <c r="D445" s="38" t="n"/>
      <c r="E445" s="38" t="n"/>
      <c r="F445" s="40" t="n"/>
      <c r="G445" s="40" t="n"/>
      <c r="H445" s="41" t="n"/>
      <c r="I445" s="41" t="n"/>
      <c r="J445" s="42" t="n"/>
      <c r="K445" s="42" t="n"/>
      <c r="L445" s="42" t="n"/>
      <c r="M445" s="41" t="n"/>
      <c r="N445" s="41" t="n"/>
      <c r="O445" s="41" t="n"/>
      <c r="P445" s="41" t="n"/>
      <c r="Q445" s="40" t="n"/>
      <c r="R445" s="38" t="n"/>
      <c r="S445" s="38" t="n"/>
      <c r="T445" s="39" t="n"/>
      <c r="U445" s="43" t="n"/>
      <c r="V445" s="44">
        <f>IFERROR(IF($A445="","",MAX($F445-$G445,0)),"")</f>
        <v/>
      </c>
      <c r="W445" s="45">
        <f>IFERROR(IF($A445="","",$H445+$I445),"")</f>
        <v/>
      </c>
      <c r="X445" s="45">
        <f>IFERROR(IF($A445="","",$H445*IF($J445="",'Assumptions'!$B$4,$J445)),"")</f>
        <v/>
      </c>
      <c r="Y445" s="45">
        <f>IFERROR(IF($A445="","",$X445*IF($K445="",'Assumptions'!$B$12,$K445)),"")</f>
        <v/>
      </c>
      <c r="Z445" s="45">
        <f>IFERROR(IF($A445="","",($X445+$Y445)*IF($L445="",'Assumptions'!$B$13,$L445)),"")</f>
        <v/>
      </c>
      <c r="AA445" s="45">
        <f>IFERROR(IF($A445="","",$X445+$Y445+$Z445),"")</f>
        <v/>
      </c>
      <c r="AB445" s="45">
        <f>IFERROR(IF($A445="","",$V445*'Assumptions'!$B$5),"")</f>
        <v/>
      </c>
      <c r="AC445" s="45">
        <f>IFERROR(IF($A445="","",$I445*'Assumptions'!$B$6),"")</f>
        <v/>
      </c>
      <c r="AD445" s="45">
        <f>IFERROR(IF($A445="","",$AB445+$AC445),"")</f>
        <v/>
      </c>
      <c r="AE445" s="45">
        <f>IFERROR(IF($A445="","",($M445+$N445)*'Assumptions'!$B$7),"")</f>
        <v/>
      </c>
      <c r="AF445" s="45">
        <f>IFERROR(IF($A445="","",($Q445/60)*'Assumptions'!$B$8),"")</f>
        <v/>
      </c>
      <c r="AG445" s="45">
        <f>IFERROR(IF($A445="","",$P445+$AE445+$AF445),"")</f>
        <v/>
      </c>
      <c r="AH445" s="45">
        <f>IFERROR(IF($A445="","",$M445+$O445),"")</f>
        <v/>
      </c>
      <c r="AI445" s="46">
        <f>IFERROR(IF($A445="","",IFERROR($AH445/$W445,0)),"")</f>
        <v/>
      </c>
      <c r="AJ445" s="45">
        <f>IFERROR(IF($A445="","",$W445-$AH445-$AD445+$AG445),"")</f>
        <v/>
      </c>
      <c r="AK445" s="47">
        <f>IFERROR(IF($A445="","",IF(OR($S445="Collected",$S445="Waived",$S445="Uncollectible",$S445="No Charge Due"),"",IF($T445="",$B445+'Assumptions'!$B$9,$T445+'Assumptions'!$B$9))),"")</f>
        <v/>
      </c>
      <c r="AL445" s="48">
        <f>IFERROR(IF($A445="","",IF(OR($S445="Collected",$S445="Waived",$S445="Uncollectible",$S445="No Charge Due"),"Closed",IF($AK445&lt;TODAY(),"Overdue",IF($AK445=TODAY(),"Due","Open")))),"")</f>
        <v/>
      </c>
      <c r="AM445" s="49">
        <f>IFERROR(IF($A445="","",IF(COUNTIF($A$5:$A$504,$A445)&gt;1,"Duplicate reservation ID",IF($C445&lt;=$B445,"Check stay dates",IF($G445&gt;$F445,"Resold nights exceed booked nights",IF($M445+$N445&gt;$AA445+0.01,"Collection exceeds expected amount",IF(AND($S445="Collected",$M445=0),"Collected status has no amount",IF($AJ445&gt;='Assumptions'!$B$10,"High-cost review","OK"))))))),"")</f>
        <v/>
      </c>
    </row>
    <row r="446">
      <c r="A446" s="38" t="n"/>
      <c r="B446" s="39" t="n"/>
      <c r="C446" s="39" t="n"/>
      <c r="D446" s="38" t="n"/>
      <c r="E446" s="38" t="n"/>
      <c r="F446" s="40" t="n"/>
      <c r="G446" s="40" t="n"/>
      <c r="H446" s="41" t="n"/>
      <c r="I446" s="41" t="n"/>
      <c r="J446" s="42" t="n"/>
      <c r="K446" s="42" t="n"/>
      <c r="L446" s="42" t="n"/>
      <c r="M446" s="41" t="n"/>
      <c r="N446" s="41" t="n"/>
      <c r="O446" s="41" t="n"/>
      <c r="P446" s="41" t="n"/>
      <c r="Q446" s="40" t="n"/>
      <c r="R446" s="38" t="n"/>
      <c r="S446" s="38" t="n"/>
      <c r="T446" s="39" t="n"/>
      <c r="U446" s="43" t="n"/>
      <c r="V446" s="44">
        <f>IFERROR(IF($A446="","",MAX($F446-$G446,0)),"")</f>
        <v/>
      </c>
      <c r="W446" s="45">
        <f>IFERROR(IF($A446="","",$H446+$I446),"")</f>
        <v/>
      </c>
      <c r="X446" s="45">
        <f>IFERROR(IF($A446="","",$H446*IF($J446="",'Assumptions'!$B$4,$J446)),"")</f>
        <v/>
      </c>
      <c r="Y446" s="45">
        <f>IFERROR(IF($A446="","",$X446*IF($K446="",'Assumptions'!$B$12,$K446)),"")</f>
        <v/>
      </c>
      <c r="Z446" s="45">
        <f>IFERROR(IF($A446="","",($X446+$Y446)*IF($L446="",'Assumptions'!$B$13,$L446)),"")</f>
        <v/>
      </c>
      <c r="AA446" s="45">
        <f>IFERROR(IF($A446="","",$X446+$Y446+$Z446),"")</f>
        <v/>
      </c>
      <c r="AB446" s="45">
        <f>IFERROR(IF($A446="","",$V446*'Assumptions'!$B$5),"")</f>
        <v/>
      </c>
      <c r="AC446" s="45">
        <f>IFERROR(IF($A446="","",$I446*'Assumptions'!$B$6),"")</f>
        <v/>
      </c>
      <c r="AD446" s="45">
        <f>IFERROR(IF($A446="","",$AB446+$AC446),"")</f>
        <v/>
      </c>
      <c r="AE446" s="45">
        <f>IFERROR(IF($A446="","",($M446+$N446)*'Assumptions'!$B$7),"")</f>
        <v/>
      </c>
      <c r="AF446" s="45">
        <f>IFERROR(IF($A446="","",($Q446/60)*'Assumptions'!$B$8),"")</f>
        <v/>
      </c>
      <c r="AG446" s="45">
        <f>IFERROR(IF($A446="","",$P446+$AE446+$AF446),"")</f>
        <v/>
      </c>
      <c r="AH446" s="45">
        <f>IFERROR(IF($A446="","",$M446+$O446),"")</f>
        <v/>
      </c>
      <c r="AI446" s="46">
        <f>IFERROR(IF($A446="","",IFERROR($AH446/$W446,0)),"")</f>
        <v/>
      </c>
      <c r="AJ446" s="45">
        <f>IFERROR(IF($A446="","",$W446-$AH446-$AD446+$AG446),"")</f>
        <v/>
      </c>
      <c r="AK446" s="47">
        <f>IFERROR(IF($A446="","",IF(OR($S446="Collected",$S446="Waived",$S446="Uncollectible",$S446="No Charge Due"),"",IF($T446="",$B446+'Assumptions'!$B$9,$T446+'Assumptions'!$B$9))),"")</f>
        <v/>
      </c>
      <c r="AL446" s="48">
        <f>IFERROR(IF($A446="","",IF(OR($S446="Collected",$S446="Waived",$S446="Uncollectible",$S446="No Charge Due"),"Closed",IF($AK446&lt;TODAY(),"Overdue",IF($AK446=TODAY(),"Due","Open")))),"")</f>
        <v/>
      </c>
      <c r="AM446" s="49">
        <f>IFERROR(IF($A446="","",IF(COUNTIF($A$5:$A$504,$A446)&gt;1,"Duplicate reservation ID",IF($C446&lt;=$B446,"Check stay dates",IF($G446&gt;$F446,"Resold nights exceed booked nights",IF($M446+$N446&gt;$AA446+0.01,"Collection exceeds expected amount",IF(AND($S446="Collected",$M446=0),"Collected status has no amount",IF($AJ446&gt;='Assumptions'!$B$10,"High-cost review","OK"))))))),"")</f>
        <v/>
      </c>
    </row>
    <row r="447">
      <c r="A447" s="38" t="n"/>
      <c r="B447" s="39" t="n"/>
      <c r="C447" s="39" t="n"/>
      <c r="D447" s="38" t="n"/>
      <c r="E447" s="38" t="n"/>
      <c r="F447" s="40" t="n"/>
      <c r="G447" s="40" t="n"/>
      <c r="H447" s="41" t="n"/>
      <c r="I447" s="41" t="n"/>
      <c r="J447" s="42" t="n"/>
      <c r="K447" s="42" t="n"/>
      <c r="L447" s="42" t="n"/>
      <c r="M447" s="41" t="n"/>
      <c r="N447" s="41" t="n"/>
      <c r="O447" s="41" t="n"/>
      <c r="P447" s="41" t="n"/>
      <c r="Q447" s="40" t="n"/>
      <c r="R447" s="38" t="n"/>
      <c r="S447" s="38" t="n"/>
      <c r="T447" s="39" t="n"/>
      <c r="U447" s="43" t="n"/>
      <c r="V447" s="44">
        <f>IFERROR(IF($A447="","",MAX($F447-$G447,0)),"")</f>
        <v/>
      </c>
      <c r="W447" s="45">
        <f>IFERROR(IF($A447="","",$H447+$I447),"")</f>
        <v/>
      </c>
      <c r="X447" s="45">
        <f>IFERROR(IF($A447="","",$H447*IF($J447="",'Assumptions'!$B$4,$J447)),"")</f>
        <v/>
      </c>
      <c r="Y447" s="45">
        <f>IFERROR(IF($A447="","",$X447*IF($K447="",'Assumptions'!$B$12,$K447)),"")</f>
        <v/>
      </c>
      <c r="Z447" s="45">
        <f>IFERROR(IF($A447="","",($X447+$Y447)*IF($L447="",'Assumptions'!$B$13,$L447)),"")</f>
        <v/>
      </c>
      <c r="AA447" s="45">
        <f>IFERROR(IF($A447="","",$X447+$Y447+$Z447),"")</f>
        <v/>
      </c>
      <c r="AB447" s="45">
        <f>IFERROR(IF($A447="","",$V447*'Assumptions'!$B$5),"")</f>
        <v/>
      </c>
      <c r="AC447" s="45">
        <f>IFERROR(IF($A447="","",$I447*'Assumptions'!$B$6),"")</f>
        <v/>
      </c>
      <c r="AD447" s="45">
        <f>IFERROR(IF($A447="","",$AB447+$AC447),"")</f>
        <v/>
      </c>
      <c r="AE447" s="45">
        <f>IFERROR(IF($A447="","",($M447+$N447)*'Assumptions'!$B$7),"")</f>
        <v/>
      </c>
      <c r="AF447" s="45">
        <f>IFERROR(IF($A447="","",($Q447/60)*'Assumptions'!$B$8),"")</f>
        <v/>
      </c>
      <c r="AG447" s="45">
        <f>IFERROR(IF($A447="","",$P447+$AE447+$AF447),"")</f>
        <v/>
      </c>
      <c r="AH447" s="45">
        <f>IFERROR(IF($A447="","",$M447+$O447),"")</f>
        <v/>
      </c>
      <c r="AI447" s="46">
        <f>IFERROR(IF($A447="","",IFERROR($AH447/$W447,0)),"")</f>
        <v/>
      </c>
      <c r="AJ447" s="45">
        <f>IFERROR(IF($A447="","",$W447-$AH447-$AD447+$AG447),"")</f>
        <v/>
      </c>
      <c r="AK447" s="47">
        <f>IFERROR(IF($A447="","",IF(OR($S447="Collected",$S447="Waived",$S447="Uncollectible",$S447="No Charge Due"),"",IF($T447="",$B447+'Assumptions'!$B$9,$T447+'Assumptions'!$B$9))),"")</f>
        <v/>
      </c>
      <c r="AL447" s="48">
        <f>IFERROR(IF($A447="","",IF(OR($S447="Collected",$S447="Waived",$S447="Uncollectible",$S447="No Charge Due"),"Closed",IF($AK447&lt;TODAY(),"Overdue",IF($AK447=TODAY(),"Due","Open")))),"")</f>
        <v/>
      </c>
      <c r="AM447" s="49">
        <f>IFERROR(IF($A447="","",IF(COUNTIF($A$5:$A$504,$A447)&gt;1,"Duplicate reservation ID",IF($C447&lt;=$B447,"Check stay dates",IF($G447&gt;$F447,"Resold nights exceed booked nights",IF($M447+$N447&gt;$AA447+0.01,"Collection exceeds expected amount",IF(AND($S447="Collected",$M447=0),"Collected status has no amount",IF($AJ447&gt;='Assumptions'!$B$10,"High-cost review","OK"))))))),"")</f>
        <v/>
      </c>
    </row>
    <row r="448">
      <c r="A448" s="38" t="n"/>
      <c r="B448" s="39" t="n"/>
      <c r="C448" s="39" t="n"/>
      <c r="D448" s="38" t="n"/>
      <c r="E448" s="38" t="n"/>
      <c r="F448" s="40" t="n"/>
      <c r="G448" s="40" t="n"/>
      <c r="H448" s="41" t="n"/>
      <c r="I448" s="41" t="n"/>
      <c r="J448" s="42" t="n"/>
      <c r="K448" s="42" t="n"/>
      <c r="L448" s="42" t="n"/>
      <c r="M448" s="41" t="n"/>
      <c r="N448" s="41" t="n"/>
      <c r="O448" s="41" t="n"/>
      <c r="P448" s="41" t="n"/>
      <c r="Q448" s="40" t="n"/>
      <c r="R448" s="38" t="n"/>
      <c r="S448" s="38" t="n"/>
      <c r="T448" s="39" t="n"/>
      <c r="U448" s="43" t="n"/>
      <c r="V448" s="44">
        <f>IFERROR(IF($A448="","",MAX($F448-$G448,0)),"")</f>
        <v/>
      </c>
      <c r="W448" s="45">
        <f>IFERROR(IF($A448="","",$H448+$I448),"")</f>
        <v/>
      </c>
      <c r="X448" s="45">
        <f>IFERROR(IF($A448="","",$H448*IF($J448="",'Assumptions'!$B$4,$J448)),"")</f>
        <v/>
      </c>
      <c r="Y448" s="45">
        <f>IFERROR(IF($A448="","",$X448*IF($K448="",'Assumptions'!$B$12,$K448)),"")</f>
        <v/>
      </c>
      <c r="Z448" s="45">
        <f>IFERROR(IF($A448="","",($X448+$Y448)*IF($L448="",'Assumptions'!$B$13,$L448)),"")</f>
        <v/>
      </c>
      <c r="AA448" s="45">
        <f>IFERROR(IF($A448="","",$X448+$Y448+$Z448),"")</f>
        <v/>
      </c>
      <c r="AB448" s="45">
        <f>IFERROR(IF($A448="","",$V448*'Assumptions'!$B$5),"")</f>
        <v/>
      </c>
      <c r="AC448" s="45">
        <f>IFERROR(IF($A448="","",$I448*'Assumptions'!$B$6),"")</f>
        <v/>
      </c>
      <c r="AD448" s="45">
        <f>IFERROR(IF($A448="","",$AB448+$AC448),"")</f>
        <v/>
      </c>
      <c r="AE448" s="45">
        <f>IFERROR(IF($A448="","",($M448+$N448)*'Assumptions'!$B$7),"")</f>
        <v/>
      </c>
      <c r="AF448" s="45">
        <f>IFERROR(IF($A448="","",($Q448/60)*'Assumptions'!$B$8),"")</f>
        <v/>
      </c>
      <c r="AG448" s="45">
        <f>IFERROR(IF($A448="","",$P448+$AE448+$AF448),"")</f>
        <v/>
      </c>
      <c r="AH448" s="45">
        <f>IFERROR(IF($A448="","",$M448+$O448),"")</f>
        <v/>
      </c>
      <c r="AI448" s="46">
        <f>IFERROR(IF($A448="","",IFERROR($AH448/$W448,0)),"")</f>
        <v/>
      </c>
      <c r="AJ448" s="45">
        <f>IFERROR(IF($A448="","",$W448-$AH448-$AD448+$AG448),"")</f>
        <v/>
      </c>
      <c r="AK448" s="47">
        <f>IFERROR(IF($A448="","",IF(OR($S448="Collected",$S448="Waived",$S448="Uncollectible",$S448="No Charge Due"),"",IF($T448="",$B448+'Assumptions'!$B$9,$T448+'Assumptions'!$B$9))),"")</f>
        <v/>
      </c>
      <c r="AL448" s="48">
        <f>IFERROR(IF($A448="","",IF(OR($S448="Collected",$S448="Waived",$S448="Uncollectible",$S448="No Charge Due"),"Closed",IF($AK448&lt;TODAY(),"Overdue",IF($AK448=TODAY(),"Due","Open")))),"")</f>
        <v/>
      </c>
      <c r="AM448" s="49">
        <f>IFERROR(IF($A448="","",IF(COUNTIF($A$5:$A$504,$A448)&gt;1,"Duplicate reservation ID",IF($C448&lt;=$B448,"Check stay dates",IF($G448&gt;$F448,"Resold nights exceed booked nights",IF($M448+$N448&gt;$AA448+0.01,"Collection exceeds expected amount",IF(AND($S448="Collected",$M448=0),"Collected status has no amount",IF($AJ448&gt;='Assumptions'!$B$10,"High-cost review","OK"))))))),"")</f>
        <v/>
      </c>
    </row>
    <row r="449">
      <c r="A449" s="38" t="n"/>
      <c r="B449" s="39" t="n"/>
      <c r="C449" s="39" t="n"/>
      <c r="D449" s="38" t="n"/>
      <c r="E449" s="38" t="n"/>
      <c r="F449" s="40" t="n"/>
      <c r="G449" s="40" t="n"/>
      <c r="H449" s="41" t="n"/>
      <c r="I449" s="41" t="n"/>
      <c r="J449" s="42" t="n"/>
      <c r="K449" s="42" t="n"/>
      <c r="L449" s="42" t="n"/>
      <c r="M449" s="41" t="n"/>
      <c r="N449" s="41" t="n"/>
      <c r="O449" s="41" t="n"/>
      <c r="P449" s="41" t="n"/>
      <c r="Q449" s="40" t="n"/>
      <c r="R449" s="38" t="n"/>
      <c r="S449" s="38" t="n"/>
      <c r="T449" s="39" t="n"/>
      <c r="U449" s="43" t="n"/>
      <c r="V449" s="44">
        <f>IFERROR(IF($A449="","",MAX($F449-$G449,0)),"")</f>
        <v/>
      </c>
      <c r="W449" s="45">
        <f>IFERROR(IF($A449="","",$H449+$I449),"")</f>
        <v/>
      </c>
      <c r="X449" s="45">
        <f>IFERROR(IF($A449="","",$H449*IF($J449="",'Assumptions'!$B$4,$J449)),"")</f>
        <v/>
      </c>
      <c r="Y449" s="45">
        <f>IFERROR(IF($A449="","",$X449*IF($K449="",'Assumptions'!$B$12,$K449)),"")</f>
        <v/>
      </c>
      <c r="Z449" s="45">
        <f>IFERROR(IF($A449="","",($X449+$Y449)*IF($L449="",'Assumptions'!$B$13,$L449)),"")</f>
        <v/>
      </c>
      <c r="AA449" s="45">
        <f>IFERROR(IF($A449="","",$X449+$Y449+$Z449),"")</f>
        <v/>
      </c>
      <c r="AB449" s="45">
        <f>IFERROR(IF($A449="","",$V449*'Assumptions'!$B$5),"")</f>
        <v/>
      </c>
      <c r="AC449" s="45">
        <f>IFERROR(IF($A449="","",$I449*'Assumptions'!$B$6),"")</f>
        <v/>
      </c>
      <c r="AD449" s="45">
        <f>IFERROR(IF($A449="","",$AB449+$AC449),"")</f>
        <v/>
      </c>
      <c r="AE449" s="45">
        <f>IFERROR(IF($A449="","",($M449+$N449)*'Assumptions'!$B$7),"")</f>
        <v/>
      </c>
      <c r="AF449" s="45">
        <f>IFERROR(IF($A449="","",($Q449/60)*'Assumptions'!$B$8),"")</f>
        <v/>
      </c>
      <c r="AG449" s="45">
        <f>IFERROR(IF($A449="","",$P449+$AE449+$AF449),"")</f>
        <v/>
      </c>
      <c r="AH449" s="45">
        <f>IFERROR(IF($A449="","",$M449+$O449),"")</f>
        <v/>
      </c>
      <c r="AI449" s="46">
        <f>IFERROR(IF($A449="","",IFERROR($AH449/$W449,0)),"")</f>
        <v/>
      </c>
      <c r="AJ449" s="45">
        <f>IFERROR(IF($A449="","",$W449-$AH449-$AD449+$AG449),"")</f>
        <v/>
      </c>
      <c r="AK449" s="47">
        <f>IFERROR(IF($A449="","",IF(OR($S449="Collected",$S449="Waived",$S449="Uncollectible",$S449="No Charge Due"),"",IF($T449="",$B449+'Assumptions'!$B$9,$T449+'Assumptions'!$B$9))),"")</f>
        <v/>
      </c>
      <c r="AL449" s="48">
        <f>IFERROR(IF($A449="","",IF(OR($S449="Collected",$S449="Waived",$S449="Uncollectible",$S449="No Charge Due"),"Closed",IF($AK449&lt;TODAY(),"Overdue",IF($AK449=TODAY(),"Due","Open")))),"")</f>
        <v/>
      </c>
      <c r="AM449" s="49">
        <f>IFERROR(IF($A449="","",IF(COUNTIF($A$5:$A$504,$A449)&gt;1,"Duplicate reservation ID",IF($C449&lt;=$B449,"Check stay dates",IF($G449&gt;$F449,"Resold nights exceed booked nights",IF($M449+$N449&gt;$AA449+0.01,"Collection exceeds expected amount",IF(AND($S449="Collected",$M449=0),"Collected status has no amount",IF($AJ449&gt;='Assumptions'!$B$10,"High-cost review","OK"))))))),"")</f>
        <v/>
      </c>
    </row>
    <row r="450">
      <c r="A450" s="38" t="n"/>
      <c r="B450" s="39" t="n"/>
      <c r="C450" s="39" t="n"/>
      <c r="D450" s="38" t="n"/>
      <c r="E450" s="38" t="n"/>
      <c r="F450" s="40" t="n"/>
      <c r="G450" s="40" t="n"/>
      <c r="H450" s="41" t="n"/>
      <c r="I450" s="41" t="n"/>
      <c r="J450" s="42" t="n"/>
      <c r="K450" s="42" t="n"/>
      <c r="L450" s="42" t="n"/>
      <c r="M450" s="41" t="n"/>
      <c r="N450" s="41" t="n"/>
      <c r="O450" s="41" t="n"/>
      <c r="P450" s="41" t="n"/>
      <c r="Q450" s="40" t="n"/>
      <c r="R450" s="38" t="n"/>
      <c r="S450" s="38" t="n"/>
      <c r="T450" s="39" t="n"/>
      <c r="U450" s="43" t="n"/>
      <c r="V450" s="44">
        <f>IFERROR(IF($A450="","",MAX($F450-$G450,0)),"")</f>
        <v/>
      </c>
      <c r="W450" s="45">
        <f>IFERROR(IF($A450="","",$H450+$I450),"")</f>
        <v/>
      </c>
      <c r="X450" s="45">
        <f>IFERROR(IF($A450="","",$H450*IF($J450="",'Assumptions'!$B$4,$J450)),"")</f>
        <v/>
      </c>
      <c r="Y450" s="45">
        <f>IFERROR(IF($A450="","",$X450*IF($K450="",'Assumptions'!$B$12,$K450)),"")</f>
        <v/>
      </c>
      <c r="Z450" s="45">
        <f>IFERROR(IF($A450="","",($X450+$Y450)*IF($L450="",'Assumptions'!$B$13,$L450)),"")</f>
        <v/>
      </c>
      <c r="AA450" s="45">
        <f>IFERROR(IF($A450="","",$X450+$Y450+$Z450),"")</f>
        <v/>
      </c>
      <c r="AB450" s="45">
        <f>IFERROR(IF($A450="","",$V450*'Assumptions'!$B$5),"")</f>
        <v/>
      </c>
      <c r="AC450" s="45">
        <f>IFERROR(IF($A450="","",$I450*'Assumptions'!$B$6),"")</f>
        <v/>
      </c>
      <c r="AD450" s="45">
        <f>IFERROR(IF($A450="","",$AB450+$AC450),"")</f>
        <v/>
      </c>
      <c r="AE450" s="45">
        <f>IFERROR(IF($A450="","",($M450+$N450)*'Assumptions'!$B$7),"")</f>
        <v/>
      </c>
      <c r="AF450" s="45">
        <f>IFERROR(IF($A450="","",($Q450/60)*'Assumptions'!$B$8),"")</f>
        <v/>
      </c>
      <c r="AG450" s="45">
        <f>IFERROR(IF($A450="","",$P450+$AE450+$AF450),"")</f>
        <v/>
      </c>
      <c r="AH450" s="45">
        <f>IFERROR(IF($A450="","",$M450+$O450),"")</f>
        <v/>
      </c>
      <c r="AI450" s="46">
        <f>IFERROR(IF($A450="","",IFERROR($AH450/$W450,0)),"")</f>
        <v/>
      </c>
      <c r="AJ450" s="45">
        <f>IFERROR(IF($A450="","",$W450-$AH450-$AD450+$AG450),"")</f>
        <v/>
      </c>
      <c r="AK450" s="47">
        <f>IFERROR(IF($A450="","",IF(OR($S450="Collected",$S450="Waived",$S450="Uncollectible",$S450="No Charge Due"),"",IF($T450="",$B450+'Assumptions'!$B$9,$T450+'Assumptions'!$B$9))),"")</f>
        <v/>
      </c>
      <c r="AL450" s="48">
        <f>IFERROR(IF($A450="","",IF(OR($S450="Collected",$S450="Waived",$S450="Uncollectible",$S450="No Charge Due"),"Closed",IF($AK450&lt;TODAY(),"Overdue",IF($AK450=TODAY(),"Due","Open")))),"")</f>
        <v/>
      </c>
      <c r="AM450" s="49">
        <f>IFERROR(IF($A450="","",IF(COUNTIF($A$5:$A$504,$A450)&gt;1,"Duplicate reservation ID",IF($C450&lt;=$B450,"Check stay dates",IF($G450&gt;$F450,"Resold nights exceed booked nights",IF($M450+$N450&gt;$AA450+0.01,"Collection exceeds expected amount",IF(AND($S450="Collected",$M450=0),"Collected status has no amount",IF($AJ450&gt;='Assumptions'!$B$10,"High-cost review","OK"))))))),"")</f>
        <v/>
      </c>
    </row>
    <row r="451">
      <c r="A451" s="38" t="n"/>
      <c r="B451" s="39" t="n"/>
      <c r="C451" s="39" t="n"/>
      <c r="D451" s="38" t="n"/>
      <c r="E451" s="38" t="n"/>
      <c r="F451" s="40" t="n"/>
      <c r="G451" s="40" t="n"/>
      <c r="H451" s="41" t="n"/>
      <c r="I451" s="41" t="n"/>
      <c r="J451" s="42" t="n"/>
      <c r="K451" s="42" t="n"/>
      <c r="L451" s="42" t="n"/>
      <c r="M451" s="41" t="n"/>
      <c r="N451" s="41" t="n"/>
      <c r="O451" s="41" t="n"/>
      <c r="P451" s="41" t="n"/>
      <c r="Q451" s="40" t="n"/>
      <c r="R451" s="38" t="n"/>
      <c r="S451" s="38" t="n"/>
      <c r="T451" s="39" t="n"/>
      <c r="U451" s="43" t="n"/>
      <c r="V451" s="44">
        <f>IFERROR(IF($A451="","",MAX($F451-$G451,0)),"")</f>
        <v/>
      </c>
      <c r="W451" s="45">
        <f>IFERROR(IF($A451="","",$H451+$I451),"")</f>
        <v/>
      </c>
      <c r="X451" s="45">
        <f>IFERROR(IF($A451="","",$H451*IF($J451="",'Assumptions'!$B$4,$J451)),"")</f>
        <v/>
      </c>
      <c r="Y451" s="45">
        <f>IFERROR(IF($A451="","",$X451*IF($K451="",'Assumptions'!$B$12,$K451)),"")</f>
        <v/>
      </c>
      <c r="Z451" s="45">
        <f>IFERROR(IF($A451="","",($X451+$Y451)*IF($L451="",'Assumptions'!$B$13,$L451)),"")</f>
        <v/>
      </c>
      <c r="AA451" s="45">
        <f>IFERROR(IF($A451="","",$X451+$Y451+$Z451),"")</f>
        <v/>
      </c>
      <c r="AB451" s="45">
        <f>IFERROR(IF($A451="","",$V451*'Assumptions'!$B$5),"")</f>
        <v/>
      </c>
      <c r="AC451" s="45">
        <f>IFERROR(IF($A451="","",$I451*'Assumptions'!$B$6),"")</f>
        <v/>
      </c>
      <c r="AD451" s="45">
        <f>IFERROR(IF($A451="","",$AB451+$AC451),"")</f>
        <v/>
      </c>
      <c r="AE451" s="45">
        <f>IFERROR(IF($A451="","",($M451+$N451)*'Assumptions'!$B$7),"")</f>
        <v/>
      </c>
      <c r="AF451" s="45">
        <f>IFERROR(IF($A451="","",($Q451/60)*'Assumptions'!$B$8),"")</f>
        <v/>
      </c>
      <c r="AG451" s="45">
        <f>IFERROR(IF($A451="","",$P451+$AE451+$AF451),"")</f>
        <v/>
      </c>
      <c r="AH451" s="45">
        <f>IFERROR(IF($A451="","",$M451+$O451),"")</f>
        <v/>
      </c>
      <c r="AI451" s="46">
        <f>IFERROR(IF($A451="","",IFERROR($AH451/$W451,0)),"")</f>
        <v/>
      </c>
      <c r="AJ451" s="45">
        <f>IFERROR(IF($A451="","",$W451-$AH451-$AD451+$AG451),"")</f>
        <v/>
      </c>
      <c r="AK451" s="47">
        <f>IFERROR(IF($A451="","",IF(OR($S451="Collected",$S451="Waived",$S451="Uncollectible",$S451="No Charge Due"),"",IF($T451="",$B451+'Assumptions'!$B$9,$T451+'Assumptions'!$B$9))),"")</f>
        <v/>
      </c>
      <c r="AL451" s="48">
        <f>IFERROR(IF($A451="","",IF(OR($S451="Collected",$S451="Waived",$S451="Uncollectible",$S451="No Charge Due"),"Closed",IF($AK451&lt;TODAY(),"Overdue",IF($AK451=TODAY(),"Due","Open")))),"")</f>
        <v/>
      </c>
      <c r="AM451" s="49">
        <f>IFERROR(IF($A451="","",IF(COUNTIF($A$5:$A$504,$A451)&gt;1,"Duplicate reservation ID",IF($C451&lt;=$B451,"Check stay dates",IF($G451&gt;$F451,"Resold nights exceed booked nights",IF($M451+$N451&gt;$AA451+0.01,"Collection exceeds expected amount",IF(AND($S451="Collected",$M451=0),"Collected status has no amount",IF($AJ451&gt;='Assumptions'!$B$10,"High-cost review","OK"))))))),"")</f>
        <v/>
      </c>
    </row>
    <row r="452">
      <c r="A452" s="38" t="n"/>
      <c r="B452" s="39" t="n"/>
      <c r="C452" s="39" t="n"/>
      <c r="D452" s="38" t="n"/>
      <c r="E452" s="38" t="n"/>
      <c r="F452" s="40" t="n"/>
      <c r="G452" s="40" t="n"/>
      <c r="H452" s="41" t="n"/>
      <c r="I452" s="41" t="n"/>
      <c r="J452" s="42" t="n"/>
      <c r="K452" s="42" t="n"/>
      <c r="L452" s="42" t="n"/>
      <c r="M452" s="41" t="n"/>
      <c r="N452" s="41" t="n"/>
      <c r="O452" s="41" t="n"/>
      <c r="P452" s="41" t="n"/>
      <c r="Q452" s="40" t="n"/>
      <c r="R452" s="38" t="n"/>
      <c r="S452" s="38" t="n"/>
      <c r="T452" s="39" t="n"/>
      <c r="U452" s="43" t="n"/>
      <c r="V452" s="44">
        <f>IFERROR(IF($A452="","",MAX($F452-$G452,0)),"")</f>
        <v/>
      </c>
      <c r="W452" s="45">
        <f>IFERROR(IF($A452="","",$H452+$I452),"")</f>
        <v/>
      </c>
      <c r="X452" s="45">
        <f>IFERROR(IF($A452="","",$H452*IF($J452="",'Assumptions'!$B$4,$J452)),"")</f>
        <v/>
      </c>
      <c r="Y452" s="45">
        <f>IFERROR(IF($A452="","",$X452*IF($K452="",'Assumptions'!$B$12,$K452)),"")</f>
        <v/>
      </c>
      <c r="Z452" s="45">
        <f>IFERROR(IF($A452="","",($X452+$Y452)*IF($L452="",'Assumptions'!$B$13,$L452)),"")</f>
        <v/>
      </c>
      <c r="AA452" s="45">
        <f>IFERROR(IF($A452="","",$X452+$Y452+$Z452),"")</f>
        <v/>
      </c>
      <c r="AB452" s="45">
        <f>IFERROR(IF($A452="","",$V452*'Assumptions'!$B$5),"")</f>
        <v/>
      </c>
      <c r="AC452" s="45">
        <f>IFERROR(IF($A452="","",$I452*'Assumptions'!$B$6),"")</f>
        <v/>
      </c>
      <c r="AD452" s="45">
        <f>IFERROR(IF($A452="","",$AB452+$AC452),"")</f>
        <v/>
      </c>
      <c r="AE452" s="45">
        <f>IFERROR(IF($A452="","",($M452+$N452)*'Assumptions'!$B$7),"")</f>
        <v/>
      </c>
      <c r="AF452" s="45">
        <f>IFERROR(IF($A452="","",($Q452/60)*'Assumptions'!$B$8),"")</f>
        <v/>
      </c>
      <c r="AG452" s="45">
        <f>IFERROR(IF($A452="","",$P452+$AE452+$AF452),"")</f>
        <v/>
      </c>
      <c r="AH452" s="45">
        <f>IFERROR(IF($A452="","",$M452+$O452),"")</f>
        <v/>
      </c>
      <c r="AI452" s="46">
        <f>IFERROR(IF($A452="","",IFERROR($AH452/$W452,0)),"")</f>
        <v/>
      </c>
      <c r="AJ452" s="45">
        <f>IFERROR(IF($A452="","",$W452-$AH452-$AD452+$AG452),"")</f>
        <v/>
      </c>
      <c r="AK452" s="47">
        <f>IFERROR(IF($A452="","",IF(OR($S452="Collected",$S452="Waived",$S452="Uncollectible",$S452="No Charge Due"),"",IF($T452="",$B452+'Assumptions'!$B$9,$T452+'Assumptions'!$B$9))),"")</f>
        <v/>
      </c>
      <c r="AL452" s="48">
        <f>IFERROR(IF($A452="","",IF(OR($S452="Collected",$S452="Waived",$S452="Uncollectible",$S452="No Charge Due"),"Closed",IF($AK452&lt;TODAY(),"Overdue",IF($AK452=TODAY(),"Due","Open")))),"")</f>
        <v/>
      </c>
      <c r="AM452" s="49">
        <f>IFERROR(IF($A452="","",IF(COUNTIF($A$5:$A$504,$A452)&gt;1,"Duplicate reservation ID",IF($C452&lt;=$B452,"Check stay dates",IF($G452&gt;$F452,"Resold nights exceed booked nights",IF($M452+$N452&gt;$AA452+0.01,"Collection exceeds expected amount",IF(AND($S452="Collected",$M452=0),"Collected status has no amount",IF($AJ452&gt;='Assumptions'!$B$10,"High-cost review","OK"))))))),"")</f>
        <v/>
      </c>
    </row>
    <row r="453">
      <c r="A453" s="38" t="n"/>
      <c r="B453" s="39" t="n"/>
      <c r="C453" s="39" t="n"/>
      <c r="D453" s="38" t="n"/>
      <c r="E453" s="38" t="n"/>
      <c r="F453" s="40" t="n"/>
      <c r="G453" s="40" t="n"/>
      <c r="H453" s="41" t="n"/>
      <c r="I453" s="41" t="n"/>
      <c r="J453" s="42" t="n"/>
      <c r="K453" s="42" t="n"/>
      <c r="L453" s="42" t="n"/>
      <c r="M453" s="41" t="n"/>
      <c r="N453" s="41" t="n"/>
      <c r="O453" s="41" t="n"/>
      <c r="P453" s="41" t="n"/>
      <c r="Q453" s="40" t="n"/>
      <c r="R453" s="38" t="n"/>
      <c r="S453" s="38" t="n"/>
      <c r="T453" s="39" t="n"/>
      <c r="U453" s="43" t="n"/>
      <c r="V453" s="44">
        <f>IFERROR(IF($A453="","",MAX($F453-$G453,0)),"")</f>
        <v/>
      </c>
      <c r="W453" s="45">
        <f>IFERROR(IF($A453="","",$H453+$I453),"")</f>
        <v/>
      </c>
      <c r="X453" s="45">
        <f>IFERROR(IF($A453="","",$H453*IF($J453="",'Assumptions'!$B$4,$J453)),"")</f>
        <v/>
      </c>
      <c r="Y453" s="45">
        <f>IFERROR(IF($A453="","",$X453*IF($K453="",'Assumptions'!$B$12,$K453)),"")</f>
        <v/>
      </c>
      <c r="Z453" s="45">
        <f>IFERROR(IF($A453="","",($X453+$Y453)*IF($L453="",'Assumptions'!$B$13,$L453)),"")</f>
        <v/>
      </c>
      <c r="AA453" s="45">
        <f>IFERROR(IF($A453="","",$X453+$Y453+$Z453),"")</f>
        <v/>
      </c>
      <c r="AB453" s="45">
        <f>IFERROR(IF($A453="","",$V453*'Assumptions'!$B$5),"")</f>
        <v/>
      </c>
      <c r="AC453" s="45">
        <f>IFERROR(IF($A453="","",$I453*'Assumptions'!$B$6),"")</f>
        <v/>
      </c>
      <c r="AD453" s="45">
        <f>IFERROR(IF($A453="","",$AB453+$AC453),"")</f>
        <v/>
      </c>
      <c r="AE453" s="45">
        <f>IFERROR(IF($A453="","",($M453+$N453)*'Assumptions'!$B$7),"")</f>
        <v/>
      </c>
      <c r="AF453" s="45">
        <f>IFERROR(IF($A453="","",($Q453/60)*'Assumptions'!$B$8),"")</f>
        <v/>
      </c>
      <c r="AG453" s="45">
        <f>IFERROR(IF($A453="","",$P453+$AE453+$AF453),"")</f>
        <v/>
      </c>
      <c r="AH453" s="45">
        <f>IFERROR(IF($A453="","",$M453+$O453),"")</f>
        <v/>
      </c>
      <c r="AI453" s="46">
        <f>IFERROR(IF($A453="","",IFERROR($AH453/$W453,0)),"")</f>
        <v/>
      </c>
      <c r="AJ453" s="45">
        <f>IFERROR(IF($A453="","",$W453-$AH453-$AD453+$AG453),"")</f>
        <v/>
      </c>
      <c r="AK453" s="47">
        <f>IFERROR(IF($A453="","",IF(OR($S453="Collected",$S453="Waived",$S453="Uncollectible",$S453="No Charge Due"),"",IF($T453="",$B453+'Assumptions'!$B$9,$T453+'Assumptions'!$B$9))),"")</f>
        <v/>
      </c>
      <c r="AL453" s="48">
        <f>IFERROR(IF($A453="","",IF(OR($S453="Collected",$S453="Waived",$S453="Uncollectible",$S453="No Charge Due"),"Closed",IF($AK453&lt;TODAY(),"Overdue",IF($AK453=TODAY(),"Due","Open")))),"")</f>
        <v/>
      </c>
      <c r="AM453" s="49">
        <f>IFERROR(IF($A453="","",IF(COUNTIF($A$5:$A$504,$A453)&gt;1,"Duplicate reservation ID",IF($C453&lt;=$B453,"Check stay dates",IF($G453&gt;$F453,"Resold nights exceed booked nights",IF($M453+$N453&gt;$AA453+0.01,"Collection exceeds expected amount",IF(AND($S453="Collected",$M453=0),"Collected status has no amount",IF($AJ453&gt;='Assumptions'!$B$10,"High-cost review","OK"))))))),"")</f>
        <v/>
      </c>
    </row>
    <row r="454">
      <c r="A454" s="38" t="n"/>
      <c r="B454" s="39" t="n"/>
      <c r="C454" s="39" t="n"/>
      <c r="D454" s="38" t="n"/>
      <c r="E454" s="38" t="n"/>
      <c r="F454" s="40" t="n"/>
      <c r="G454" s="40" t="n"/>
      <c r="H454" s="41" t="n"/>
      <c r="I454" s="41" t="n"/>
      <c r="J454" s="42" t="n"/>
      <c r="K454" s="42" t="n"/>
      <c r="L454" s="42" t="n"/>
      <c r="M454" s="41" t="n"/>
      <c r="N454" s="41" t="n"/>
      <c r="O454" s="41" t="n"/>
      <c r="P454" s="41" t="n"/>
      <c r="Q454" s="40" t="n"/>
      <c r="R454" s="38" t="n"/>
      <c r="S454" s="38" t="n"/>
      <c r="T454" s="39" t="n"/>
      <c r="U454" s="43" t="n"/>
      <c r="V454" s="44">
        <f>IFERROR(IF($A454="","",MAX($F454-$G454,0)),"")</f>
        <v/>
      </c>
      <c r="W454" s="45">
        <f>IFERROR(IF($A454="","",$H454+$I454),"")</f>
        <v/>
      </c>
      <c r="X454" s="45">
        <f>IFERROR(IF($A454="","",$H454*IF($J454="",'Assumptions'!$B$4,$J454)),"")</f>
        <v/>
      </c>
      <c r="Y454" s="45">
        <f>IFERROR(IF($A454="","",$X454*IF($K454="",'Assumptions'!$B$12,$K454)),"")</f>
        <v/>
      </c>
      <c r="Z454" s="45">
        <f>IFERROR(IF($A454="","",($X454+$Y454)*IF($L454="",'Assumptions'!$B$13,$L454)),"")</f>
        <v/>
      </c>
      <c r="AA454" s="45">
        <f>IFERROR(IF($A454="","",$X454+$Y454+$Z454),"")</f>
        <v/>
      </c>
      <c r="AB454" s="45">
        <f>IFERROR(IF($A454="","",$V454*'Assumptions'!$B$5),"")</f>
        <v/>
      </c>
      <c r="AC454" s="45">
        <f>IFERROR(IF($A454="","",$I454*'Assumptions'!$B$6),"")</f>
        <v/>
      </c>
      <c r="AD454" s="45">
        <f>IFERROR(IF($A454="","",$AB454+$AC454),"")</f>
        <v/>
      </c>
      <c r="AE454" s="45">
        <f>IFERROR(IF($A454="","",($M454+$N454)*'Assumptions'!$B$7),"")</f>
        <v/>
      </c>
      <c r="AF454" s="45">
        <f>IFERROR(IF($A454="","",($Q454/60)*'Assumptions'!$B$8),"")</f>
        <v/>
      </c>
      <c r="AG454" s="45">
        <f>IFERROR(IF($A454="","",$P454+$AE454+$AF454),"")</f>
        <v/>
      </c>
      <c r="AH454" s="45">
        <f>IFERROR(IF($A454="","",$M454+$O454),"")</f>
        <v/>
      </c>
      <c r="AI454" s="46">
        <f>IFERROR(IF($A454="","",IFERROR($AH454/$W454,0)),"")</f>
        <v/>
      </c>
      <c r="AJ454" s="45">
        <f>IFERROR(IF($A454="","",$W454-$AH454-$AD454+$AG454),"")</f>
        <v/>
      </c>
      <c r="AK454" s="47">
        <f>IFERROR(IF($A454="","",IF(OR($S454="Collected",$S454="Waived",$S454="Uncollectible",$S454="No Charge Due"),"",IF($T454="",$B454+'Assumptions'!$B$9,$T454+'Assumptions'!$B$9))),"")</f>
        <v/>
      </c>
      <c r="AL454" s="48">
        <f>IFERROR(IF($A454="","",IF(OR($S454="Collected",$S454="Waived",$S454="Uncollectible",$S454="No Charge Due"),"Closed",IF($AK454&lt;TODAY(),"Overdue",IF($AK454=TODAY(),"Due","Open")))),"")</f>
        <v/>
      </c>
      <c r="AM454" s="49">
        <f>IFERROR(IF($A454="","",IF(COUNTIF($A$5:$A$504,$A454)&gt;1,"Duplicate reservation ID",IF($C454&lt;=$B454,"Check stay dates",IF($G454&gt;$F454,"Resold nights exceed booked nights",IF($M454+$N454&gt;$AA454+0.01,"Collection exceeds expected amount",IF(AND($S454="Collected",$M454=0),"Collected status has no amount",IF($AJ454&gt;='Assumptions'!$B$10,"High-cost review","OK"))))))),"")</f>
        <v/>
      </c>
    </row>
    <row r="455">
      <c r="A455" s="38" t="n"/>
      <c r="B455" s="39" t="n"/>
      <c r="C455" s="39" t="n"/>
      <c r="D455" s="38" t="n"/>
      <c r="E455" s="38" t="n"/>
      <c r="F455" s="40" t="n"/>
      <c r="G455" s="40" t="n"/>
      <c r="H455" s="41" t="n"/>
      <c r="I455" s="41" t="n"/>
      <c r="J455" s="42" t="n"/>
      <c r="K455" s="42" t="n"/>
      <c r="L455" s="42" t="n"/>
      <c r="M455" s="41" t="n"/>
      <c r="N455" s="41" t="n"/>
      <c r="O455" s="41" t="n"/>
      <c r="P455" s="41" t="n"/>
      <c r="Q455" s="40" t="n"/>
      <c r="R455" s="38" t="n"/>
      <c r="S455" s="38" t="n"/>
      <c r="T455" s="39" t="n"/>
      <c r="U455" s="43" t="n"/>
      <c r="V455" s="44">
        <f>IFERROR(IF($A455="","",MAX($F455-$G455,0)),"")</f>
        <v/>
      </c>
      <c r="W455" s="45">
        <f>IFERROR(IF($A455="","",$H455+$I455),"")</f>
        <v/>
      </c>
      <c r="X455" s="45">
        <f>IFERROR(IF($A455="","",$H455*IF($J455="",'Assumptions'!$B$4,$J455)),"")</f>
        <v/>
      </c>
      <c r="Y455" s="45">
        <f>IFERROR(IF($A455="","",$X455*IF($K455="",'Assumptions'!$B$12,$K455)),"")</f>
        <v/>
      </c>
      <c r="Z455" s="45">
        <f>IFERROR(IF($A455="","",($X455+$Y455)*IF($L455="",'Assumptions'!$B$13,$L455)),"")</f>
        <v/>
      </c>
      <c r="AA455" s="45">
        <f>IFERROR(IF($A455="","",$X455+$Y455+$Z455),"")</f>
        <v/>
      </c>
      <c r="AB455" s="45">
        <f>IFERROR(IF($A455="","",$V455*'Assumptions'!$B$5),"")</f>
        <v/>
      </c>
      <c r="AC455" s="45">
        <f>IFERROR(IF($A455="","",$I455*'Assumptions'!$B$6),"")</f>
        <v/>
      </c>
      <c r="AD455" s="45">
        <f>IFERROR(IF($A455="","",$AB455+$AC455),"")</f>
        <v/>
      </c>
      <c r="AE455" s="45">
        <f>IFERROR(IF($A455="","",($M455+$N455)*'Assumptions'!$B$7),"")</f>
        <v/>
      </c>
      <c r="AF455" s="45">
        <f>IFERROR(IF($A455="","",($Q455/60)*'Assumptions'!$B$8),"")</f>
        <v/>
      </c>
      <c r="AG455" s="45">
        <f>IFERROR(IF($A455="","",$P455+$AE455+$AF455),"")</f>
        <v/>
      </c>
      <c r="AH455" s="45">
        <f>IFERROR(IF($A455="","",$M455+$O455),"")</f>
        <v/>
      </c>
      <c r="AI455" s="46">
        <f>IFERROR(IF($A455="","",IFERROR($AH455/$W455,0)),"")</f>
        <v/>
      </c>
      <c r="AJ455" s="45">
        <f>IFERROR(IF($A455="","",$W455-$AH455-$AD455+$AG455),"")</f>
        <v/>
      </c>
      <c r="AK455" s="47">
        <f>IFERROR(IF($A455="","",IF(OR($S455="Collected",$S455="Waived",$S455="Uncollectible",$S455="No Charge Due"),"",IF($T455="",$B455+'Assumptions'!$B$9,$T455+'Assumptions'!$B$9))),"")</f>
        <v/>
      </c>
      <c r="AL455" s="48">
        <f>IFERROR(IF($A455="","",IF(OR($S455="Collected",$S455="Waived",$S455="Uncollectible",$S455="No Charge Due"),"Closed",IF($AK455&lt;TODAY(),"Overdue",IF($AK455=TODAY(),"Due","Open")))),"")</f>
        <v/>
      </c>
      <c r="AM455" s="49">
        <f>IFERROR(IF($A455="","",IF(COUNTIF($A$5:$A$504,$A455)&gt;1,"Duplicate reservation ID",IF($C455&lt;=$B455,"Check stay dates",IF($G455&gt;$F455,"Resold nights exceed booked nights",IF($M455+$N455&gt;$AA455+0.01,"Collection exceeds expected amount",IF(AND($S455="Collected",$M455=0),"Collected status has no amount",IF($AJ455&gt;='Assumptions'!$B$10,"High-cost review","OK"))))))),"")</f>
        <v/>
      </c>
    </row>
    <row r="456">
      <c r="A456" s="38" t="n"/>
      <c r="B456" s="39" t="n"/>
      <c r="C456" s="39" t="n"/>
      <c r="D456" s="38" t="n"/>
      <c r="E456" s="38" t="n"/>
      <c r="F456" s="40" t="n"/>
      <c r="G456" s="40" t="n"/>
      <c r="H456" s="41" t="n"/>
      <c r="I456" s="41" t="n"/>
      <c r="J456" s="42" t="n"/>
      <c r="K456" s="42" t="n"/>
      <c r="L456" s="42" t="n"/>
      <c r="M456" s="41" t="n"/>
      <c r="N456" s="41" t="n"/>
      <c r="O456" s="41" t="n"/>
      <c r="P456" s="41" t="n"/>
      <c r="Q456" s="40" t="n"/>
      <c r="R456" s="38" t="n"/>
      <c r="S456" s="38" t="n"/>
      <c r="T456" s="39" t="n"/>
      <c r="U456" s="43" t="n"/>
      <c r="V456" s="44">
        <f>IFERROR(IF($A456="","",MAX($F456-$G456,0)),"")</f>
        <v/>
      </c>
      <c r="W456" s="45">
        <f>IFERROR(IF($A456="","",$H456+$I456),"")</f>
        <v/>
      </c>
      <c r="X456" s="45">
        <f>IFERROR(IF($A456="","",$H456*IF($J456="",'Assumptions'!$B$4,$J456)),"")</f>
        <v/>
      </c>
      <c r="Y456" s="45">
        <f>IFERROR(IF($A456="","",$X456*IF($K456="",'Assumptions'!$B$12,$K456)),"")</f>
        <v/>
      </c>
      <c r="Z456" s="45">
        <f>IFERROR(IF($A456="","",($X456+$Y456)*IF($L456="",'Assumptions'!$B$13,$L456)),"")</f>
        <v/>
      </c>
      <c r="AA456" s="45">
        <f>IFERROR(IF($A456="","",$X456+$Y456+$Z456),"")</f>
        <v/>
      </c>
      <c r="AB456" s="45">
        <f>IFERROR(IF($A456="","",$V456*'Assumptions'!$B$5),"")</f>
        <v/>
      </c>
      <c r="AC456" s="45">
        <f>IFERROR(IF($A456="","",$I456*'Assumptions'!$B$6),"")</f>
        <v/>
      </c>
      <c r="AD456" s="45">
        <f>IFERROR(IF($A456="","",$AB456+$AC456),"")</f>
        <v/>
      </c>
      <c r="AE456" s="45">
        <f>IFERROR(IF($A456="","",($M456+$N456)*'Assumptions'!$B$7),"")</f>
        <v/>
      </c>
      <c r="AF456" s="45">
        <f>IFERROR(IF($A456="","",($Q456/60)*'Assumptions'!$B$8),"")</f>
        <v/>
      </c>
      <c r="AG456" s="45">
        <f>IFERROR(IF($A456="","",$P456+$AE456+$AF456),"")</f>
        <v/>
      </c>
      <c r="AH456" s="45">
        <f>IFERROR(IF($A456="","",$M456+$O456),"")</f>
        <v/>
      </c>
      <c r="AI456" s="46">
        <f>IFERROR(IF($A456="","",IFERROR($AH456/$W456,0)),"")</f>
        <v/>
      </c>
      <c r="AJ456" s="45">
        <f>IFERROR(IF($A456="","",$W456-$AH456-$AD456+$AG456),"")</f>
        <v/>
      </c>
      <c r="AK456" s="47">
        <f>IFERROR(IF($A456="","",IF(OR($S456="Collected",$S456="Waived",$S456="Uncollectible",$S456="No Charge Due"),"",IF($T456="",$B456+'Assumptions'!$B$9,$T456+'Assumptions'!$B$9))),"")</f>
        <v/>
      </c>
      <c r="AL456" s="48">
        <f>IFERROR(IF($A456="","",IF(OR($S456="Collected",$S456="Waived",$S456="Uncollectible",$S456="No Charge Due"),"Closed",IF($AK456&lt;TODAY(),"Overdue",IF($AK456=TODAY(),"Due","Open")))),"")</f>
        <v/>
      </c>
      <c r="AM456" s="49">
        <f>IFERROR(IF($A456="","",IF(COUNTIF($A$5:$A$504,$A456)&gt;1,"Duplicate reservation ID",IF($C456&lt;=$B456,"Check stay dates",IF($G456&gt;$F456,"Resold nights exceed booked nights",IF($M456+$N456&gt;$AA456+0.01,"Collection exceeds expected amount",IF(AND($S456="Collected",$M456=0),"Collected status has no amount",IF($AJ456&gt;='Assumptions'!$B$10,"High-cost review","OK"))))))),"")</f>
        <v/>
      </c>
    </row>
    <row r="457">
      <c r="A457" s="38" t="n"/>
      <c r="B457" s="39" t="n"/>
      <c r="C457" s="39" t="n"/>
      <c r="D457" s="38" t="n"/>
      <c r="E457" s="38" t="n"/>
      <c r="F457" s="40" t="n"/>
      <c r="G457" s="40" t="n"/>
      <c r="H457" s="41" t="n"/>
      <c r="I457" s="41" t="n"/>
      <c r="J457" s="42" t="n"/>
      <c r="K457" s="42" t="n"/>
      <c r="L457" s="42" t="n"/>
      <c r="M457" s="41" t="n"/>
      <c r="N457" s="41" t="n"/>
      <c r="O457" s="41" t="n"/>
      <c r="P457" s="41" t="n"/>
      <c r="Q457" s="40" t="n"/>
      <c r="R457" s="38" t="n"/>
      <c r="S457" s="38" t="n"/>
      <c r="T457" s="39" t="n"/>
      <c r="U457" s="43" t="n"/>
      <c r="V457" s="44">
        <f>IFERROR(IF($A457="","",MAX($F457-$G457,0)),"")</f>
        <v/>
      </c>
      <c r="W457" s="45">
        <f>IFERROR(IF($A457="","",$H457+$I457),"")</f>
        <v/>
      </c>
      <c r="X457" s="45">
        <f>IFERROR(IF($A457="","",$H457*IF($J457="",'Assumptions'!$B$4,$J457)),"")</f>
        <v/>
      </c>
      <c r="Y457" s="45">
        <f>IFERROR(IF($A457="","",$X457*IF($K457="",'Assumptions'!$B$12,$K457)),"")</f>
        <v/>
      </c>
      <c r="Z457" s="45">
        <f>IFERROR(IF($A457="","",($X457+$Y457)*IF($L457="",'Assumptions'!$B$13,$L457)),"")</f>
        <v/>
      </c>
      <c r="AA457" s="45">
        <f>IFERROR(IF($A457="","",$X457+$Y457+$Z457),"")</f>
        <v/>
      </c>
      <c r="AB457" s="45">
        <f>IFERROR(IF($A457="","",$V457*'Assumptions'!$B$5),"")</f>
        <v/>
      </c>
      <c r="AC457" s="45">
        <f>IFERROR(IF($A457="","",$I457*'Assumptions'!$B$6),"")</f>
        <v/>
      </c>
      <c r="AD457" s="45">
        <f>IFERROR(IF($A457="","",$AB457+$AC457),"")</f>
        <v/>
      </c>
      <c r="AE457" s="45">
        <f>IFERROR(IF($A457="","",($M457+$N457)*'Assumptions'!$B$7),"")</f>
        <v/>
      </c>
      <c r="AF457" s="45">
        <f>IFERROR(IF($A457="","",($Q457/60)*'Assumptions'!$B$8),"")</f>
        <v/>
      </c>
      <c r="AG457" s="45">
        <f>IFERROR(IF($A457="","",$P457+$AE457+$AF457),"")</f>
        <v/>
      </c>
      <c r="AH457" s="45">
        <f>IFERROR(IF($A457="","",$M457+$O457),"")</f>
        <v/>
      </c>
      <c r="AI457" s="46">
        <f>IFERROR(IF($A457="","",IFERROR($AH457/$W457,0)),"")</f>
        <v/>
      </c>
      <c r="AJ457" s="45">
        <f>IFERROR(IF($A457="","",$W457-$AH457-$AD457+$AG457),"")</f>
        <v/>
      </c>
      <c r="AK457" s="47">
        <f>IFERROR(IF($A457="","",IF(OR($S457="Collected",$S457="Waived",$S457="Uncollectible",$S457="No Charge Due"),"",IF($T457="",$B457+'Assumptions'!$B$9,$T457+'Assumptions'!$B$9))),"")</f>
        <v/>
      </c>
      <c r="AL457" s="48">
        <f>IFERROR(IF($A457="","",IF(OR($S457="Collected",$S457="Waived",$S457="Uncollectible",$S457="No Charge Due"),"Closed",IF($AK457&lt;TODAY(),"Overdue",IF($AK457=TODAY(),"Due","Open")))),"")</f>
        <v/>
      </c>
      <c r="AM457" s="49">
        <f>IFERROR(IF($A457="","",IF(COUNTIF($A$5:$A$504,$A457)&gt;1,"Duplicate reservation ID",IF($C457&lt;=$B457,"Check stay dates",IF($G457&gt;$F457,"Resold nights exceed booked nights",IF($M457+$N457&gt;$AA457+0.01,"Collection exceeds expected amount",IF(AND($S457="Collected",$M457=0),"Collected status has no amount",IF($AJ457&gt;='Assumptions'!$B$10,"High-cost review","OK"))))))),"")</f>
        <v/>
      </c>
    </row>
    <row r="458">
      <c r="A458" s="38" t="n"/>
      <c r="B458" s="39" t="n"/>
      <c r="C458" s="39" t="n"/>
      <c r="D458" s="38" t="n"/>
      <c r="E458" s="38" t="n"/>
      <c r="F458" s="40" t="n"/>
      <c r="G458" s="40" t="n"/>
      <c r="H458" s="41" t="n"/>
      <c r="I458" s="41" t="n"/>
      <c r="J458" s="42" t="n"/>
      <c r="K458" s="42" t="n"/>
      <c r="L458" s="42" t="n"/>
      <c r="M458" s="41" t="n"/>
      <c r="N458" s="41" t="n"/>
      <c r="O458" s="41" t="n"/>
      <c r="P458" s="41" t="n"/>
      <c r="Q458" s="40" t="n"/>
      <c r="R458" s="38" t="n"/>
      <c r="S458" s="38" t="n"/>
      <c r="T458" s="39" t="n"/>
      <c r="U458" s="43" t="n"/>
      <c r="V458" s="44">
        <f>IFERROR(IF($A458="","",MAX($F458-$G458,0)),"")</f>
        <v/>
      </c>
      <c r="W458" s="45">
        <f>IFERROR(IF($A458="","",$H458+$I458),"")</f>
        <v/>
      </c>
      <c r="X458" s="45">
        <f>IFERROR(IF($A458="","",$H458*IF($J458="",'Assumptions'!$B$4,$J458)),"")</f>
        <v/>
      </c>
      <c r="Y458" s="45">
        <f>IFERROR(IF($A458="","",$X458*IF($K458="",'Assumptions'!$B$12,$K458)),"")</f>
        <v/>
      </c>
      <c r="Z458" s="45">
        <f>IFERROR(IF($A458="","",($X458+$Y458)*IF($L458="",'Assumptions'!$B$13,$L458)),"")</f>
        <v/>
      </c>
      <c r="AA458" s="45">
        <f>IFERROR(IF($A458="","",$X458+$Y458+$Z458),"")</f>
        <v/>
      </c>
      <c r="AB458" s="45">
        <f>IFERROR(IF($A458="","",$V458*'Assumptions'!$B$5),"")</f>
        <v/>
      </c>
      <c r="AC458" s="45">
        <f>IFERROR(IF($A458="","",$I458*'Assumptions'!$B$6),"")</f>
        <v/>
      </c>
      <c r="AD458" s="45">
        <f>IFERROR(IF($A458="","",$AB458+$AC458),"")</f>
        <v/>
      </c>
      <c r="AE458" s="45">
        <f>IFERROR(IF($A458="","",($M458+$N458)*'Assumptions'!$B$7),"")</f>
        <v/>
      </c>
      <c r="AF458" s="45">
        <f>IFERROR(IF($A458="","",($Q458/60)*'Assumptions'!$B$8),"")</f>
        <v/>
      </c>
      <c r="AG458" s="45">
        <f>IFERROR(IF($A458="","",$P458+$AE458+$AF458),"")</f>
        <v/>
      </c>
      <c r="AH458" s="45">
        <f>IFERROR(IF($A458="","",$M458+$O458),"")</f>
        <v/>
      </c>
      <c r="AI458" s="46">
        <f>IFERROR(IF($A458="","",IFERROR($AH458/$W458,0)),"")</f>
        <v/>
      </c>
      <c r="AJ458" s="45">
        <f>IFERROR(IF($A458="","",$W458-$AH458-$AD458+$AG458),"")</f>
        <v/>
      </c>
      <c r="AK458" s="47">
        <f>IFERROR(IF($A458="","",IF(OR($S458="Collected",$S458="Waived",$S458="Uncollectible",$S458="No Charge Due"),"",IF($T458="",$B458+'Assumptions'!$B$9,$T458+'Assumptions'!$B$9))),"")</f>
        <v/>
      </c>
      <c r="AL458" s="48">
        <f>IFERROR(IF($A458="","",IF(OR($S458="Collected",$S458="Waived",$S458="Uncollectible",$S458="No Charge Due"),"Closed",IF($AK458&lt;TODAY(),"Overdue",IF($AK458=TODAY(),"Due","Open")))),"")</f>
        <v/>
      </c>
      <c r="AM458" s="49">
        <f>IFERROR(IF($A458="","",IF(COUNTIF($A$5:$A$504,$A458)&gt;1,"Duplicate reservation ID",IF($C458&lt;=$B458,"Check stay dates",IF($G458&gt;$F458,"Resold nights exceed booked nights",IF($M458+$N458&gt;$AA458+0.01,"Collection exceeds expected amount",IF(AND($S458="Collected",$M458=0),"Collected status has no amount",IF($AJ458&gt;='Assumptions'!$B$10,"High-cost review","OK"))))))),"")</f>
        <v/>
      </c>
    </row>
    <row r="459">
      <c r="A459" s="38" t="n"/>
      <c r="B459" s="39" t="n"/>
      <c r="C459" s="39" t="n"/>
      <c r="D459" s="38" t="n"/>
      <c r="E459" s="38" t="n"/>
      <c r="F459" s="40" t="n"/>
      <c r="G459" s="40" t="n"/>
      <c r="H459" s="41" t="n"/>
      <c r="I459" s="41" t="n"/>
      <c r="J459" s="42" t="n"/>
      <c r="K459" s="42" t="n"/>
      <c r="L459" s="42" t="n"/>
      <c r="M459" s="41" t="n"/>
      <c r="N459" s="41" t="n"/>
      <c r="O459" s="41" t="n"/>
      <c r="P459" s="41" t="n"/>
      <c r="Q459" s="40" t="n"/>
      <c r="R459" s="38" t="n"/>
      <c r="S459" s="38" t="n"/>
      <c r="T459" s="39" t="n"/>
      <c r="U459" s="43" t="n"/>
      <c r="V459" s="44">
        <f>IFERROR(IF($A459="","",MAX($F459-$G459,0)),"")</f>
        <v/>
      </c>
      <c r="W459" s="45">
        <f>IFERROR(IF($A459="","",$H459+$I459),"")</f>
        <v/>
      </c>
      <c r="X459" s="45">
        <f>IFERROR(IF($A459="","",$H459*IF($J459="",'Assumptions'!$B$4,$J459)),"")</f>
        <v/>
      </c>
      <c r="Y459" s="45">
        <f>IFERROR(IF($A459="","",$X459*IF($K459="",'Assumptions'!$B$12,$K459)),"")</f>
        <v/>
      </c>
      <c r="Z459" s="45">
        <f>IFERROR(IF($A459="","",($X459+$Y459)*IF($L459="",'Assumptions'!$B$13,$L459)),"")</f>
        <v/>
      </c>
      <c r="AA459" s="45">
        <f>IFERROR(IF($A459="","",$X459+$Y459+$Z459),"")</f>
        <v/>
      </c>
      <c r="AB459" s="45">
        <f>IFERROR(IF($A459="","",$V459*'Assumptions'!$B$5),"")</f>
        <v/>
      </c>
      <c r="AC459" s="45">
        <f>IFERROR(IF($A459="","",$I459*'Assumptions'!$B$6),"")</f>
        <v/>
      </c>
      <c r="AD459" s="45">
        <f>IFERROR(IF($A459="","",$AB459+$AC459),"")</f>
        <v/>
      </c>
      <c r="AE459" s="45">
        <f>IFERROR(IF($A459="","",($M459+$N459)*'Assumptions'!$B$7),"")</f>
        <v/>
      </c>
      <c r="AF459" s="45">
        <f>IFERROR(IF($A459="","",($Q459/60)*'Assumptions'!$B$8),"")</f>
        <v/>
      </c>
      <c r="AG459" s="45">
        <f>IFERROR(IF($A459="","",$P459+$AE459+$AF459),"")</f>
        <v/>
      </c>
      <c r="AH459" s="45">
        <f>IFERROR(IF($A459="","",$M459+$O459),"")</f>
        <v/>
      </c>
      <c r="AI459" s="46">
        <f>IFERROR(IF($A459="","",IFERROR($AH459/$W459,0)),"")</f>
        <v/>
      </c>
      <c r="AJ459" s="45">
        <f>IFERROR(IF($A459="","",$W459-$AH459-$AD459+$AG459),"")</f>
        <v/>
      </c>
      <c r="AK459" s="47">
        <f>IFERROR(IF($A459="","",IF(OR($S459="Collected",$S459="Waived",$S459="Uncollectible",$S459="No Charge Due"),"",IF($T459="",$B459+'Assumptions'!$B$9,$T459+'Assumptions'!$B$9))),"")</f>
        <v/>
      </c>
      <c r="AL459" s="48">
        <f>IFERROR(IF($A459="","",IF(OR($S459="Collected",$S459="Waived",$S459="Uncollectible",$S459="No Charge Due"),"Closed",IF($AK459&lt;TODAY(),"Overdue",IF($AK459=TODAY(),"Due","Open")))),"")</f>
        <v/>
      </c>
      <c r="AM459" s="49">
        <f>IFERROR(IF($A459="","",IF(COUNTIF($A$5:$A$504,$A459)&gt;1,"Duplicate reservation ID",IF($C459&lt;=$B459,"Check stay dates",IF($G459&gt;$F459,"Resold nights exceed booked nights",IF($M459+$N459&gt;$AA459+0.01,"Collection exceeds expected amount",IF(AND($S459="Collected",$M459=0),"Collected status has no amount",IF($AJ459&gt;='Assumptions'!$B$10,"High-cost review","OK"))))))),"")</f>
        <v/>
      </c>
    </row>
    <row r="460">
      <c r="A460" s="38" t="n"/>
      <c r="B460" s="39" t="n"/>
      <c r="C460" s="39" t="n"/>
      <c r="D460" s="38" t="n"/>
      <c r="E460" s="38" t="n"/>
      <c r="F460" s="40" t="n"/>
      <c r="G460" s="40" t="n"/>
      <c r="H460" s="41" t="n"/>
      <c r="I460" s="41" t="n"/>
      <c r="J460" s="42" t="n"/>
      <c r="K460" s="42" t="n"/>
      <c r="L460" s="42" t="n"/>
      <c r="M460" s="41" t="n"/>
      <c r="N460" s="41" t="n"/>
      <c r="O460" s="41" t="n"/>
      <c r="P460" s="41" t="n"/>
      <c r="Q460" s="40" t="n"/>
      <c r="R460" s="38" t="n"/>
      <c r="S460" s="38" t="n"/>
      <c r="T460" s="39" t="n"/>
      <c r="U460" s="43" t="n"/>
      <c r="V460" s="44">
        <f>IFERROR(IF($A460="","",MAX($F460-$G460,0)),"")</f>
        <v/>
      </c>
      <c r="W460" s="45">
        <f>IFERROR(IF($A460="","",$H460+$I460),"")</f>
        <v/>
      </c>
      <c r="X460" s="45">
        <f>IFERROR(IF($A460="","",$H460*IF($J460="",'Assumptions'!$B$4,$J460)),"")</f>
        <v/>
      </c>
      <c r="Y460" s="45">
        <f>IFERROR(IF($A460="","",$X460*IF($K460="",'Assumptions'!$B$12,$K460)),"")</f>
        <v/>
      </c>
      <c r="Z460" s="45">
        <f>IFERROR(IF($A460="","",($X460+$Y460)*IF($L460="",'Assumptions'!$B$13,$L460)),"")</f>
        <v/>
      </c>
      <c r="AA460" s="45">
        <f>IFERROR(IF($A460="","",$X460+$Y460+$Z460),"")</f>
        <v/>
      </c>
      <c r="AB460" s="45">
        <f>IFERROR(IF($A460="","",$V460*'Assumptions'!$B$5),"")</f>
        <v/>
      </c>
      <c r="AC460" s="45">
        <f>IFERROR(IF($A460="","",$I460*'Assumptions'!$B$6),"")</f>
        <v/>
      </c>
      <c r="AD460" s="45">
        <f>IFERROR(IF($A460="","",$AB460+$AC460),"")</f>
        <v/>
      </c>
      <c r="AE460" s="45">
        <f>IFERROR(IF($A460="","",($M460+$N460)*'Assumptions'!$B$7),"")</f>
        <v/>
      </c>
      <c r="AF460" s="45">
        <f>IFERROR(IF($A460="","",($Q460/60)*'Assumptions'!$B$8),"")</f>
        <v/>
      </c>
      <c r="AG460" s="45">
        <f>IFERROR(IF($A460="","",$P460+$AE460+$AF460),"")</f>
        <v/>
      </c>
      <c r="AH460" s="45">
        <f>IFERROR(IF($A460="","",$M460+$O460),"")</f>
        <v/>
      </c>
      <c r="AI460" s="46">
        <f>IFERROR(IF($A460="","",IFERROR($AH460/$W460,0)),"")</f>
        <v/>
      </c>
      <c r="AJ460" s="45">
        <f>IFERROR(IF($A460="","",$W460-$AH460-$AD460+$AG460),"")</f>
        <v/>
      </c>
      <c r="AK460" s="47">
        <f>IFERROR(IF($A460="","",IF(OR($S460="Collected",$S460="Waived",$S460="Uncollectible",$S460="No Charge Due"),"",IF($T460="",$B460+'Assumptions'!$B$9,$T460+'Assumptions'!$B$9))),"")</f>
        <v/>
      </c>
      <c r="AL460" s="48">
        <f>IFERROR(IF($A460="","",IF(OR($S460="Collected",$S460="Waived",$S460="Uncollectible",$S460="No Charge Due"),"Closed",IF($AK460&lt;TODAY(),"Overdue",IF($AK460=TODAY(),"Due","Open")))),"")</f>
        <v/>
      </c>
      <c r="AM460" s="49">
        <f>IFERROR(IF($A460="","",IF(COUNTIF($A$5:$A$504,$A460)&gt;1,"Duplicate reservation ID",IF($C460&lt;=$B460,"Check stay dates",IF($G460&gt;$F460,"Resold nights exceed booked nights",IF($M460+$N460&gt;$AA460+0.01,"Collection exceeds expected amount",IF(AND($S460="Collected",$M460=0),"Collected status has no amount",IF($AJ460&gt;='Assumptions'!$B$10,"High-cost review","OK"))))))),"")</f>
        <v/>
      </c>
    </row>
    <row r="461">
      <c r="A461" s="38" t="n"/>
      <c r="B461" s="39" t="n"/>
      <c r="C461" s="39" t="n"/>
      <c r="D461" s="38" t="n"/>
      <c r="E461" s="38" t="n"/>
      <c r="F461" s="40" t="n"/>
      <c r="G461" s="40" t="n"/>
      <c r="H461" s="41" t="n"/>
      <c r="I461" s="41" t="n"/>
      <c r="J461" s="42" t="n"/>
      <c r="K461" s="42" t="n"/>
      <c r="L461" s="42" t="n"/>
      <c r="M461" s="41" t="n"/>
      <c r="N461" s="41" t="n"/>
      <c r="O461" s="41" t="n"/>
      <c r="P461" s="41" t="n"/>
      <c r="Q461" s="40" t="n"/>
      <c r="R461" s="38" t="n"/>
      <c r="S461" s="38" t="n"/>
      <c r="T461" s="39" t="n"/>
      <c r="U461" s="43" t="n"/>
      <c r="V461" s="44">
        <f>IFERROR(IF($A461="","",MAX($F461-$G461,0)),"")</f>
        <v/>
      </c>
      <c r="W461" s="45">
        <f>IFERROR(IF($A461="","",$H461+$I461),"")</f>
        <v/>
      </c>
      <c r="X461" s="45">
        <f>IFERROR(IF($A461="","",$H461*IF($J461="",'Assumptions'!$B$4,$J461)),"")</f>
        <v/>
      </c>
      <c r="Y461" s="45">
        <f>IFERROR(IF($A461="","",$X461*IF($K461="",'Assumptions'!$B$12,$K461)),"")</f>
        <v/>
      </c>
      <c r="Z461" s="45">
        <f>IFERROR(IF($A461="","",($X461+$Y461)*IF($L461="",'Assumptions'!$B$13,$L461)),"")</f>
        <v/>
      </c>
      <c r="AA461" s="45">
        <f>IFERROR(IF($A461="","",$X461+$Y461+$Z461),"")</f>
        <v/>
      </c>
      <c r="AB461" s="45">
        <f>IFERROR(IF($A461="","",$V461*'Assumptions'!$B$5),"")</f>
        <v/>
      </c>
      <c r="AC461" s="45">
        <f>IFERROR(IF($A461="","",$I461*'Assumptions'!$B$6),"")</f>
        <v/>
      </c>
      <c r="AD461" s="45">
        <f>IFERROR(IF($A461="","",$AB461+$AC461),"")</f>
        <v/>
      </c>
      <c r="AE461" s="45">
        <f>IFERROR(IF($A461="","",($M461+$N461)*'Assumptions'!$B$7),"")</f>
        <v/>
      </c>
      <c r="AF461" s="45">
        <f>IFERROR(IF($A461="","",($Q461/60)*'Assumptions'!$B$8),"")</f>
        <v/>
      </c>
      <c r="AG461" s="45">
        <f>IFERROR(IF($A461="","",$P461+$AE461+$AF461),"")</f>
        <v/>
      </c>
      <c r="AH461" s="45">
        <f>IFERROR(IF($A461="","",$M461+$O461),"")</f>
        <v/>
      </c>
      <c r="AI461" s="46">
        <f>IFERROR(IF($A461="","",IFERROR($AH461/$W461,0)),"")</f>
        <v/>
      </c>
      <c r="AJ461" s="45">
        <f>IFERROR(IF($A461="","",$W461-$AH461-$AD461+$AG461),"")</f>
        <v/>
      </c>
      <c r="AK461" s="47">
        <f>IFERROR(IF($A461="","",IF(OR($S461="Collected",$S461="Waived",$S461="Uncollectible",$S461="No Charge Due"),"",IF($T461="",$B461+'Assumptions'!$B$9,$T461+'Assumptions'!$B$9))),"")</f>
        <v/>
      </c>
      <c r="AL461" s="48">
        <f>IFERROR(IF($A461="","",IF(OR($S461="Collected",$S461="Waived",$S461="Uncollectible",$S461="No Charge Due"),"Closed",IF($AK461&lt;TODAY(),"Overdue",IF($AK461=TODAY(),"Due","Open")))),"")</f>
        <v/>
      </c>
      <c r="AM461" s="49">
        <f>IFERROR(IF($A461="","",IF(COUNTIF($A$5:$A$504,$A461)&gt;1,"Duplicate reservation ID",IF($C461&lt;=$B461,"Check stay dates",IF($G461&gt;$F461,"Resold nights exceed booked nights",IF($M461+$N461&gt;$AA461+0.01,"Collection exceeds expected amount",IF(AND($S461="Collected",$M461=0),"Collected status has no amount",IF($AJ461&gt;='Assumptions'!$B$10,"High-cost review","OK"))))))),"")</f>
        <v/>
      </c>
    </row>
    <row r="462">
      <c r="A462" s="38" t="n"/>
      <c r="B462" s="39" t="n"/>
      <c r="C462" s="39" t="n"/>
      <c r="D462" s="38" t="n"/>
      <c r="E462" s="38" t="n"/>
      <c r="F462" s="40" t="n"/>
      <c r="G462" s="40" t="n"/>
      <c r="H462" s="41" t="n"/>
      <c r="I462" s="41" t="n"/>
      <c r="J462" s="42" t="n"/>
      <c r="K462" s="42" t="n"/>
      <c r="L462" s="42" t="n"/>
      <c r="M462" s="41" t="n"/>
      <c r="N462" s="41" t="n"/>
      <c r="O462" s="41" t="n"/>
      <c r="P462" s="41" t="n"/>
      <c r="Q462" s="40" t="n"/>
      <c r="R462" s="38" t="n"/>
      <c r="S462" s="38" t="n"/>
      <c r="T462" s="39" t="n"/>
      <c r="U462" s="43" t="n"/>
      <c r="V462" s="44">
        <f>IFERROR(IF($A462="","",MAX($F462-$G462,0)),"")</f>
        <v/>
      </c>
      <c r="W462" s="45">
        <f>IFERROR(IF($A462="","",$H462+$I462),"")</f>
        <v/>
      </c>
      <c r="X462" s="45">
        <f>IFERROR(IF($A462="","",$H462*IF($J462="",'Assumptions'!$B$4,$J462)),"")</f>
        <v/>
      </c>
      <c r="Y462" s="45">
        <f>IFERROR(IF($A462="","",$X462*IF($K462="",'Assumptions'!$B$12,$K462)),"")</f>
        <v/>
      </c>
      <c r="Z462" s="45">
        <f>IFERROR(IF($A462="","",($X462+$Y462)*IF($L462="",'Assumptions'!$B$13,$L462)),"")</f>
        <v/>
      </c>
      <c r="AA462" s="45">
        <f>IFERROR(IF($A462="","",$X462+$Y462+$Z462),"")</f>
        <v/>
      </c>
      <c r="AB462" s="45">
        <f>IFERROR(IF($A462="","",$V462*'Assumptions'!$B$5),"")</f>
        <v/>
      </c>
      <c r="AC462" s="45">
        <f>IFERROR(IF($A462="","",$I462*'Assumptions'!$B$6),"")</f>
        <v/>
      </c>
      <c r="AD462" s="45">
        <f>IFERROR(IF($A462="","",$AB462+$AC462),"")</f>
        <v/>
      </c>
      <c r="AE462" s="45">
        <f>IFERROR(IF($A462="","",($M462+$N462)*'Assumptions'!$B$7),"")</f>
        <v/>
      </c>
      <c r="AF462" s="45">
        <f>IFERROR(IF($A462="","",($Q462/60)*'Assumptions'!$B$8),"")</f>
        <v/>
      </c>
      <c r="AG462" s="45">
        <f>IFERROR(IF($A462="","",$P462+$AE462+$AF462),"")</f>
        <v/>
      </c>
      <c r="AH462" s="45">
        <f>IFERROR(IF($A462="","",$M462+$O462),"")</f>
        <v/>
      </c>
      <c r="AI462" s="46">
        <f>IFERROR(IF($A462="","",IFERROR($AH462/$W462,0)),"")</f>
        <v/>
      </c>
      <c r="AJ462" s="45">
        <f>IFERROR(IF($A462="","",$W462-$AH462-$AD462+$AG462),"")</f>
        <v/>
      </c>
      <c r="AK462" s="47">
        <f>IFERROR(IF($A462="","",IF(OR($S462="Collected",$S462="Waived",$S462="Uncollectible",$S462="No Charge Due"),"",IF($T462="",$B462+'Assumptions'!$B$9,$T462+'Assumptions'!$B$9))),"")</f>
        <v/>
      </c>
      <c r="AL462" s="48">
        <f>IFERROR(IF($A462="","",IF(OR($S462="Collected",$S462="Waived",$S462="Uncollectible",$S462="No Charge Due"),"Closed",IF($AK462&lt;TODAY(),"Overdue",IF($AK462=TODAY(),"Due","Open")))),"")</f>
        <v/>
      </c>
      <c r="AM462" s="49">
        <f>IFERROR(IF($A462="","",IF(COUNTIF($A$5:$A$504,$A462)&gt;1,"Duplicate reservation ID",IF($C462&lt;=$B462,"Check stay dates",IF($G462&gt;$F462,"Resold nights exceed booked nights",IF($M462+$N462&gt;$AA462+0.01,"Collection exceeds expected amount",IF(AND($S462="Collected",$M462=0),"Collected status has no amount",IF($AJ462&gt;='Assumptions'!$B$10,"High-cost review","OK"))))))),"")</f>
        <v/>
      </c>
    </row>
    <row r="463">
      <c r="A463" s="38" t="n"/>
      <c r="B463" s="39" t="n"/>
      <c r="C463" s="39" t="n"/>
      <c r="D463" s="38" t="n"/>
      <c r="E463" s="38" t="n"/>
      <c r="F463" s="40" t="n"/>
      <c r="G463" s="40" t="n"/>
      <c r="H463" s="41" t="n"/>
      <c r="I463" s="41" t="n"/>
      <c r="J463" s="42" t="n"/>
      <c r="K463" s="42" t="n"/>
      <c r="L463" s="42" t="n"/>
      <c r="M463" s="41" t="n"/>
      <c r="N463" s="41" t="n"/>
      <c r="O463" s="41" t="n"/>
      <c r="P463" s="41" t="n"/>
      <c r="Q463" s="40" t="n"/>
      <c r="R463" s="38" t="n"/>
      <c r="S463" s="38" t="n"/>
      <c r="T463" s="39" t="n"/>
      <c r="U463" s="43" t="n"/>
      <c r="V463" s="44">
        <f>IFERROR(IF($A463="","",MAX($F463-$G463,0)),"")</f>
        <v/>
      </c>
      <c r="W463" s="45">
        <f>IFERROR(IF($A463="","",$H463+$I463),"")</f>
        <v/>
      </c>
      <c r="X463" s="45">
        <f>IFERROR(IF($A463="","",$H463*IF($J463="",'Assumptions'!$B$4,$J463)),"")</f>
        <v/>
      </c>
      <c r="Y463" s="45">
        <f>IFERROR(IF($A463="","",$X463*IF($K463="",'Assumptions'!$B$12,$K463)),"")</f>
        <v/>
      </c>
      <c r="Z463" s="45">
        <f>IFERROR(IF($A463="","",($X463+$Y463)*IF($L463="",'Assumptions'!$B$13,$L463)),"")</f>
        <v/>
      </c>
      <c r="AA463" s="45">
        <f>IFERROR(IF($A463="","",$X463+$Y463+$Z463),"")</f>
        <v/>
      </c>
      <c r="AB463" s="45">
        <f>IFERROR(IF($A463="","",$V463*'Assumptions'!$B$5),"")</f>
        <v/>
      </c>
      <c r="AC463" s="45">
        <f>IFERROR(IF($A463="","",$I463*'Assumptions'!$B$6),"")</f>
        <v/>
      </c>
      <c r="AD463" s="45">
        <f>IFERROR(IF($A463="","",$AB463+$AC463),"")</f>
        <v/>
      </c>
      <c r="AE463" s="45">
        <f>IFERROR(IF($A463="","",($M463+$N463)*'Assumptions'!$B$7),"")</f>
        <v/>
      </c>
      <c r="AF463" s="45">
        <f>IFERROR(IF($A463="","",($Q463/60)*'Assumptions'!$B$8),"")</f>
        <v/>
      </c>
      <c r="AG463" s="45">
        <f>IFERROR(IF($A463="","",$P463+$AE463+$AF463),"")</f>
        <v/>
      </c>
      <c r="AH463" s="45">
        <f>IFERROR(IF($A463="","",$M463+$O463),"")</f>
        <v/>
      </c>
      <c r="AI463" s="46">
        <f>IFERROR(IF($A463="","",IFERROR($AH463/$W463,0)),"")</f>
        <v/>
      </c>
      <c r="AJ463" s="45">
        <f>IFERROR(IF($A463="","",$W463-$AH463-$AD463+$AG463),"")</f>
        <v/>
      </c>
      <c r="AK463" s="47">
        <f>IFERROR(IF($A463="","",IF(OR($S463="Collected",$S463="Waived",$S463="Uncollectible",$S463="No Charge Due"),"",IF($T463="",$B463+'Assumptions'!$B$9,$T463+'Assumptions'!$B$9))),"")</f>
        <v/>
      </c>
      <c r="AL463" s="48">
        <f>IFERROR(IF($A463="","",IF(OR($S463="Collected",$S463="Waived",$S463="Uncollectible",$S463="No Charge Due"),"Closed",IF($AK463&lt;TODAY(),"Overdue",IF($AK463=TODAY(),"Due","Open")))),"")</f>
        <v/>
      </c>
      <c r="AM463" s="49">
        <f>IFERROR(IF($A463="","",IF(COUNTIF($A$5:$A$504,$A463)&gt;1,"Duplicate reservation ID",IF($C463&lt;=$B463,"Check stay dates",IF($G463&gt;$F463,"Resold nights exceed booked nights",IF($M463+$N463&gt;$AA463+0.01,"Collection exceeds expected amount",IF(AND($S463="Collected",$M463=0),"Collected status has no amount",IF($AJ463&gt;='Assumptions'!$B$10,"High-cost review","OK"))))))),"")</f>
        <v/>
      </c>
    </row>
    <row r="464">
      <c r="A464" s="38" t="n"/>
      <c r="B464" s="39" t="n"/>
      <c r="C464" s="39" t="n"/>
      <c r="D464" s="38" t="n"/>
      <c r="E464" s="38" t="n"/>
      <c r="F464" s="40" t="n"/>
      <c r="G464" s="40" t="n"/>
      <c r="H464" s="41" t="n"/>
      <c r="I464" s="41" t="n"/>
      <c r="J464" s="42" t="n"/>
      <c r="K464" s="42" t="n"/>
      <c r="L464" s="42" t="n"/>
      <c r="M464" s="41" t="n"/>
      <c r="N464" s="41" t="n"/>
      <c r="O464" s="41" t="n"/>
      <c r="P464" s="41" t="n"/>
      <c r="Q464" s="40" t="n"/>
      <c r="R464" s="38" t="n"/>
      <c r="S464" s="38" t="n"/>
      <c r="T464" s="39" t="n"/>
      <c r="U464" s="43" t="n"/>
      <c r="V464" s="44">
        <f>IFERROR(IF($A464="","",MAX($F464-$G464,0)),"")</f>
        <v/>
      </c>
      <c r="W464" s="45">
        <f>IFERROR(IF($A464="","",$H464+$I464),"")</f>
        <v/>
      </c>
      <c r="X464" s="45">
        <f>IFERROR(IF($A464="","",$H464*IF($J464="",'Assumptions'!$B$4,$J464)),"")</f>
        <v/>
      </c>
      <c r="Y464" s="45">
        <f>IFERROR(IF($A464="","",$X464*IF($K464="",'Assumptions'!$B$12,$K464)),"")</f>
        <v/>
      </c>
      <c r="Z464" s="45">
        <f>IFERROR(IF($A464="","",($X464+$Y464)*IF($L464="",'Assumptions'!$B$13,$L464)),"")</f>
        <v/>
      </c>
      <c r="AA464" s="45">
        <f>IFERROR(IF($A464="","",$X464+$Y464+$Z464),"")</f>
        <v/>
      </c>
      <c r="AB464" s="45">
        <f>IFERROR(IF($A464="","",$V464*'Assumptions'!$B$5),"")</f>
        <v/>
      </c>
      <c r="AC464" s="45">
        <f>IFERROR(IF($A464="","",$I464*'Assumptions'!$B$6),"")</f>
        <v/>
      </c>
      <c r="AD464" s="45">
        <f>IFERROR(IF($A464="","",$AB464+$AC464),"")</f>
        <v/>
      </c>
      <c r="AE464" s="45">
        <f>IFERROR(IF($A464="","",($M464+$N464)*'Assumptions'!$B$7),"")</f>
        <v/>
      </c>
      <c r="AF464" s="45">
        <f>IFERROR(IF($A464="","",($Q464/60)*'Assumptions'!$B$8),"")</f>
        <v/>
      </c>
      <c r="AG464" s="45">
        <f>IFERROR(IF($A464="","",$P464+$AE464+$AF464),"")</f>
        <v/>
      </c>
      <c r="AH464" s="45">
        <f>IFERROR(IF($A464="","",$M464+$O464),"")</f>
        <v/>
      </c>
      <c r="AI464" s="46">
        <f>IFERROR(IF($A464="","",IFERROR($AH464/$W464,0)),"")</f>
        <v/>
      </c>
      <c r="AJ464" s="45">
        <f>IFERROR(IF($A464="","",$W464-$AH464-$AD464+$AG464),"")</f>
        <v/>
      </c>
      <c r="AK464" s="47">
        <f>IFERROR(IF($A464="","",IF(OR($S464="Collected",$S464="Waived",$S464="Uncollectible",$S464="No Charge Due"),"",IF($T464="",$B464+'Assumptions'!$B$9,$T464+'Assumptions'!$B$9))),"")</f>
        <v/>
      </c>
      <c r="AL464" s="48">
        <f>IFERROR(IF($A464="","",IF(OR($S464="Collected",$S464="Waived",$S464="Uncollectible",$S464="No Charge Due"),"Closed",IF($AK464&lt;TODAY(),"Overdue",IF($AK464=TODAY(),"Due","Open")))),"")</f>
        <v/>
      </c>
      <c r="AM464" s="49">
        <f>IFERROR(IF($A464="","",IF(COUNTIF($A$5:$A$504,$A464)&gt;1,"Duplicate reservation ID",IF($C464&lt;=$B464,"Check stay dates",IF($G464&gt;$F464,"Resold nights exceed booked nights",IF($M464+$N464&gt;$AA464+0.01,"Collection exceeds expected amount",IF(AND($S464="Collected",$M464=0),"Collected status has no amount",IF($AJ464&gt;='Assumptions'!$B$10,"High-cost review","OK"))))))),"")</f>
        <v/>
      </c>
    </row>
    <row r="465">
      <c r="A465" s="38" t="n"/>
      <c r="B465" s="39" t="n"/>
      <c r="C465" s="39" t="n"/>
      <c r="D465" s="38" t="n"/>
      <c r="E465" s="38" t="n"/>
      <c r="F465" s="40" t="n"/>
      <c r="G465" s="40" t="n"/>
      <c r="H465" s="41" t="n"/>
      <c r="I465" s="41" t="n"/>
      <c r="J465" s="42" t="n"/>
      <c r="K465" s="42" t="n"/>
      <c r="L465" s="42" t="n"/>
      <c r="M465" s="41" t="n"/>
      <c r="N465" s="41" t="n"/>
      <c r="O465" s="41" t="n"/>
      <c r="P465" s="41" t="n"/>
      <c r="Q465" s="40" t="n"/>
      <c r="R465" s="38" t="n"/>
      <c r="S465" s="38" t="n"/>
      <c r="T465" s="39" t="n"/>
      <c r="U465" s="43" t="n"/>
      <c r="V465" s="44">
        <f>IFERROR(IF($A465="","",MAX($F465-$G465,0)),"")</f>
        <v/>
      </c>
      <c r="W465" s="45">
        <f>IFERROR(IF($A465="","",$H465+$I465),"")</f>
        <v/>
      </c>
      <c r="X465" s="45">
        <f>IFERROR(IF($A465="","",$H465*IF($J465="",'Assumptions'!$B$4,$J465)),"")</f>
        <v/>
      </c>
      <c r="Y465" s="45">
        <f>IFERROR(IF($A465="","",$X465*IF($K465="",'Assumptions'!$B$12,$K465)),"")</f>
        <v/>
      </c>
      <c r="Z465" s="45">
        <f>IFERROR(IF($A465="","",($X465+$Y465)*IF($L465="",'Assumptions'!$B$13,$L465)),"")</f>
        <v/>
      </c>
      <c r="AA465" s="45">
        <f>IFERROR(IF($A465="","",$X465+$Y465+$Z465),"")</f>
        <v/>
      </c>
      <c r="AB465" s="45">
        <f>IFERROR(IF($A465="","",$V465*'Assumptions'!$B$5),"")</f>
        <v/>
      </c>
      <c r="AC465" s="45">
        <f>IFERROR(IF($A465="","",$I465*'Assumptions'!$B$6),"")</f>
        <v/>
      </c>
      <c r="AD465" s="45">
        <f>IFERROR(IF($A465="","",$AB465+$AC465),"")</f>
        <v/>
      </c>
      <c r="AE465" s="45">
        <f>IFERROR(IF($A465="","",($M465+$N465)*'Assumptions'!$B$7),"")</f>
        <v/>
      </c>
      <c r="AF465" s="45">
        <f>IFERROR(IF($A465="","",($Q465/60)*'Assumptions'!$B$8),"")</f>
        <v/>
      </c>
      <c r="AG465" s="45">
        <f>IFERROR(IF($A465="","",$P465+$AE465+$AF465),"")</f>
        <v/>
      </c>
      <c r="AH465" s="45">
        <f>IFERROR(IF($A465="","",$M465+$O465),"")</f>
        <v/>
      </c>
      <c r="AI465" s="46">
        <f>IFERROR(IF($A465="","",IFERROR($AH465/$W465,0)),"")</f>
        <v/>
      </c>
      <c r="AJ465" s="45">
        <f>IFERROR(IF($A465="","",$W465-$AH465-$AD465+$AG465),"")</f>
        <v/>
      </c>
      <c r="AK465" s="47">
        <f>IFERROR(IF($A465="","",IF(OR($S465="Collected",$S465="Waived",$S465="Uncollectible",$S465="No Charge Due"),"",IF($T465="",$B465+'Assumptions'!$B$9,$T465+'Assumptions'!$B$9))),"")</f>
        <v/>
      </c>
      <c r="AL465" s="48">
        <f>IFERROR(IF($A465="","",IF(OR($S465="Collected",$S465="Waived",$S465="Uncollectible",$S465="No Charge Due"),"Closed",IF($AK465&lt;TODAY(),"Overdue",IF($AK465=TODAY(),"Due","Open")))),"")</f>
        <v/>
      </c>
      <c r="AM465" s="49">
        <f>IFERROR(IF($A465="","",IF(COUNTIF($A$5:$A$504,$A465)&gt;1,"Duplicate reservation ID",IF($C465&lt;=$B465,"Check stay dates",IF($G465&gt;$F465,"Resold nights exceed booked nights",IF($M465+$N465&gt;$AA465+0.01,"Collection exceeds expected amount",IF(AND($S465="Collected",$M465=0),"Collected status has no amount",IF($AJ465&gt;='Assumptions'!$B$10,"High-cost review","OK"))))))),"")</f>
        <v/>
      </c>
    </row>
    <row r="466">
      <c r="A466" s="38" t="n"/>
      <c r="B466" s="39" t="n"/>
      <c r="C466" s="39" t="n"/>
      <c r="D466" s="38" t="n"/>
      <c r="E466" s="38" t="n"/>
      <c r="F466" s="40" t="n"/>
      <c r="G466" s="40" t="n"/>
      <c r="H466" s="41" t="n"/>
      <c r="I466" s="41" t="n"/>
      <c r="J466" s="42" t="n"/>
      <c r="K466" s="42" t="n"/>
      <c r="L466" s="42" t="n"/>
      <c r="M466" s="41" t="n"/>
      <c r="N466" s="41" t="n"/>
      <c r="O466" s="41" t="n"/>
      <c r="P466" s="41" t="n"/>
      <c r="Q466" s="40" t="n"/>
      <c r="R466" s="38" t="n"/>
      <c r="S466" s="38" t="n"/>
      <c r="T466" s="39" t="n"/>
      <c r="U466" s="43" t="n"/>
      <c r="V466" s="44">
        <f>IFERROR(IF($A466="","",MAX($F466-$G466,0)),"")</f>
        <v/>
      </c>
      <c r="W466" s="45">
        <f>IFERROR(IF($A466="","",$H466+$I466),"")</f>
        <v/>
      </c>
      <c r="X466" s="45">
        <f>IFERROR(IF($A466="","",$H466*IF($J466="",'Assumptions'!$B$4,$J466)),"")</f>
        <v/>
      </c>
      <c r="Y466" s="45">
        <f>IFERROR(IF($A466="","",$X466*IF($K466="",'Assumptions'!$B$12,$K466)),"")</f>
        <v/>
      </c>
      <c r="Z466" s="45">
        <f>IFERROR(IF($A466="","",($X466+$Y466)*IF($L466="",'Assumptions'!$B$13,$L466)),"")</f>
        <v/>
      </c>
      <c r="AA466" s="45">
        <f>IFERROR(IF($A466="","",$X466+$Y466+$Z466),"")</f>
        <v/>
      </c>
      <c r="AB466" s="45">
        <f>IFERROR(IF($A466="","",$V466*'Assumptions'!$B$5),"")</f>
        <v/>
      </c>
      <c r="AC466" s="45">
        <f>IFERROR(IF($A466="","",$I466*'Assumptions'!$B$6),"")</f>
        <v/>
      </c>
      <c r="AD466" s="45">
        <f>IFERROR(IF($A466="","",$AB466+$AC466),"")</f>
        <v/>
      </c>
      <c r="AE466" s="45">
        <f>IFERROR(IF($A466="","",($M466+$N466)*'Assumptions'!$B$7),"")</f>
        <v/>
      </c>
      <c r="AF466" s="45">
        <f>IFERROR(IF($A466="","",($Q466/60)*'Assumptions'!$B$8),"")</f>
        <v/>
      </c>
      <c r="AG466" s="45">
        <f>IFERROR(IF($A466="","",$P466+$AE466+$AF466),"")</f>
        <v/>
      </c>
      <c r="AH466" s="45">
        <f>IFERROR(IF($A466="","",$M466+$O466),"")</f>
        <v/>
      </c>
      <c r="AI466" s="46">
        <f>IFERROR(IF($A466="","",IFERROR($AH466/$W466,0)),"")</f>
        <v/>
      </c>
      <c r="AJ466" s="45">
        <f>IFERROR(IF($A466="","",$W466-$AH466-$AD466+$AG466),"")</f>
        <v/>
      </c>
      <c r="AK466" s="47">
        <f>IFERROR(IF($A466="","",IF(OR($S466="Collected",$S466="Waived",$S466="Uncollectible",$S466="No Charge Due"),"",IF($T466="",$B466+'Assumptions'!$B$9,$T466+'Assumptions'!$B$9))),"")</f>
        <v/>
      </c>
      <c r="AL466" s="48">
        <f>IFERROR(IF($A466="","",IF(OR($S466="Collected",$S466="Waived",$S466="Uncollectible",$S466="No Charge Due"),"Closed",IF($AK466&lt;TODAY(),"Overdue",IF($AK466=TODAY(),"Due","Open")))),"")</f>
        <v/>
      </c>
      <c r="AM466" s="49">
        <f>IFERROR(IF($A466="","",IF(COUNTIF($A$5:$A$504,$A466)&gt;1,"Duplicate reservation ID",IF($C466&lt;=$B466,"Check stay dates",IF($G466&gt;$F466,"Resold nights exceed booked nights",IF($M466+$N466&gt;$AA466+0.01,"Collection exceeds expected amount",IF(AND($S466="Collected",$M466=0),"Collected status has no amount",IF($AJ466&gt;='Assumptions'!$B$10,"High-cost review","OK"))))))),"")</f>
        <v/>
      </c>
    </row>
    <row r="467">
      <c r="A467" s="38" t="n"/>
      <c r="B467" s="39" t="n"/>
      <c r="C467" s="39" t="n"/>
      <c r="D467" s="38" t="n"/>
      <c r="E467" s="38" t="n"/>
      <c r="F467" s="40" t="n"/>
      <c r="G467" s="40" t="n"/>
      <c r="H467" s="41" t="n"/>
      <c r="I467" s="41" t="n"/>
      <c r="J467" s="42" t="n"/>
      <c r="K467" s="42" t="n"/>
      <c r="L467" s="42" t="n"/>
      <c r="M467" s="41" t="n"/>
      <c r="N467" s="41" t="n"/>
      <c r="O467" s="41" t="n"/>
      <c r="P467" s="41" t="n"/>
      <c r="Q467" s="40" t="n"/>
      <c r="R467" s="38" t="n"/>
      <c r="S467" s="38" t="n"/>
      <c r="T467" s="39" t="n"/>
      <c r="U467" s="43" t="n"/>
      <c r="V467" s="44">
        <f>IFERROR(IF($A467="","",MAX($F467-$G467,0)),"")</f>
        <v/>
      </c>
      <c r="W467" s="45">
        <f>IFERROR(IF($A467="","",$H467+$I467),"")</f>
        <v/>
      </c>
      <c r="X467" s="45">
        <f>IFERROR(IF($A467="","",$H467*IF($J467="",'Assumptions'!$B$4,$J467)),"")</f>
        <v/>
      </c>
      <c r="Y467" s="45">
        <f>IFERROR(IF($A467="","",$X467*IF($K467="",'Assumptions'!$B$12,$K467)),"")</f>
        <v/>
      </c>
      <c r="Z467" s="45">
        <f>IFERROR(IF($A467="","",($X467+$Y467)*IF($L467="",'Assumptions'!$B$13,$L467)),"")</f>
        <v/>
      </c>
      <c r="AA467" s="45">
        <f>IFERROR(IF($A467="","",$X467+$Y467+$Z467),"")</f>
        <v/>
      </c>
      <c r="AB467" s="45">
        <f>IFERROR(IF($A467="","",$V467*'Assumptions'!$B$5),"")</f>
        <v/>
      </c>
      <c r="AC467" s="45">
        <f>IFERROR(IF($A467="","",$I467*'Assumptions'!$B$6),"")</f>
        <v/>
      </c>
      <c r="AD467" s="45">
        <f>IFERROR(IF($A467="","",$AB467+$AC467),"")</f>
        <v/>
      </c>
      <c r="AE467" s="45">
        <f>IFERROR(IF($A467="","",($M467+$N467)*'Assumptions'!$B$7),"")</f>
        <v/>
      </c>
      <c r="AF467" s="45">
        <f>IFERROR(IF($A467="","",($Q467/60)*'Assumptions'!$B$8),"")</f>
        <v/>
      </c>
      <c r="AG467" s="45">
        <f>IFERROR(IF($A467="","",$P467+$AE467+$AF467),"")</f>
        <v/>
      </c>
      <c r="AH467" s="45">
        <f>IFERROR(IF($A467="","",$M467+$O467),"")</f>
        <v/>
      </c>
      <c r="AI467" s="46">
        <f>IFERROR(IF($A467="","",IFERROR($AH467/$W467,0)),"")</f>
        <v/>
      </c>
      <c r="AJ467" s="45">
        <f>IFERROR(IF($A467="","",$W467-$AH467-$AD467+$AG467),"")</f>
        <v/>
      </c>
      <c r="AK467" s="47">
        <f>IFERROR(IF($A467="","",IF(OR($S467="Collected",$S467="Waived",$S467="Uncollectible",$S467="No Charge Due"),"",IF($T467="",$B467+'Assumptions'!$B$9,$T467+'Assumptions'!$B$9))),"")</f>
        <v/>
      </c>
      <c r="AL467" s="48">
        <f>IFERROR(IF($A467="","",IF(OR($S467="Collected",$S467="Waived",$S467="Uncollectible",$S467="No Charge Due"),"Closed",IF($AK467&lt;TODAY(),"Overdue",IF($AK467=TODAY(),"Due","Open")))),"")</f>
        <v/>
      </c>
      <c r="AM467" s="49">
        <f>IFERROR(IF($A467="","",IF(COUNTIF($A$5:$A$504,$A467)&gt;1,"Duplicate reservation ID",IF($C467&lt;=$B467,"Check stay dates",IF($G467&gt;$F467,"Resold nights exceed booked nights",IF($M467+$N467&gt;$AA467+0.01,"Collection exceeds expected amount",IF(AND($S467="Collected",$M467=0),"Collected status has no amount",IF($AJ467&gt;='Assumptions'!$B$10,"High-cost review","OK"))))))),"")</f>
        <v/>
      </c>
    </row>
    <row r="468">
      <c r="A468" s="38" t="n"/>
      <c r="B468" s="39" t="n"/>
      <c r="C468" s="39" t="n"/>
      <c r="D468" s="38" t="n"/>
      <c r="E468" s="38" t="n"/>
      <c r="F468" s="40" t="n"/>
      <c r="G468" s="40" t="n"/>
      <c r="H468" s="41" t="n"/>
      <c r="I468" s="41" t="n"/>
      <c r="J468" s="42" t="n"/>
      <c r="K468" s="42" t="n"/>
      <c r="L468" s="42" t="n"/>
      <c r="M468" s="41" t="n"/>
      <c r="N468" s="41" t="n"/>
      <c r="O468" s="41" t="n"/>
      <c r="P468" s="41" t="n"/>
      <c r="Q468" s="40" t="n"/>
      <c r="R468" s="38" t="n"/>
      <c r="S468" s="38" t="n"/>
      <c r="T468" s="39" t="n"/>
      <c r="U468" s="43" t="n"/>
      <c r="V468" s="44">
        <f>IFERROR(IF($A468="","",MAX($F468-$G468,0)),"")</f>
        <v/>
      </c>
      <c r="W468" s="45">
        <f>IFERROR(IF($A468="","",$H468+$I468),"")</f>
        <v/>
      </c>
      <c r="X468" s="45">
        <f>IFERROR(IF($A468="","",$H468*IF($J468="",'Assumptions'!$B$4,$J468)),"")</f>
        <v/>
      </c>
      <c r="Y468" s="45">
        <f>IFERROR(IF($A468="","",$X468*IF($K468="",'Assumptions'!$B$12,$K468)),"")</f>
        <v/>
      </c>
      <c r="Z468" s="45">
        <f>IFERROR(IF($A468="","",($X468+$Y468)*IF($L468="",'Assumptions'!$B$13,$L468)),"")</f>
        <v/>
      </c>
      <c r="AA468" s="45">
        <f>IFERROR(IF($A468="","",$X468+$Y468+$Z468),"")</f>
        <v/>
      </c>
      <c r="AB468" s="45">
        <f>IFERROR(IF($A468="","",$V468*'Assumptions'!$B$5),"")</f>
        <v/>
      </c>
      <c r="AC468" s="45">
        <f>IFERROR(IF($A468="","",$I468*'Assumptions'!$B$6),"")</f>
        <v/>
      </c>
      <c r="AD468" s="45">
        <f>IFERROR(IF($A468="","",$AB468+$AC468),"")</f>
        <v/>
      </c>
      <c r="AE468" s="45">
        <f>IFERROR(IF($A468="","",($M468+$N468)*'Assumptions'!$B$7),"")</f>
        <v/>
      </c>
      <c r="AF468" s="45">
        <f>IFERROR(IF($A468="","",($Q468/60)*'Assumptions'!$B$8),"")</f>
        <v/>
      </c>
      <c r="AG468" s="45">
        <f>IFERROR(IF($A468="","",$P468+$AE468+$AF468),"")</f>
        <v/>
      </c>
      <c r="AH468" s="45">
        <f>IFERROR(IF($A468="","",$M468+$O468),"")</f>
        <v/>
      </c>
      <c r="AI468" s="46">
        <f>IFERROR(IF($A468="","",IFERROR($AH468/$W468,0)),"")</f>
        <v/>
      </c>
      <c r="AJ468" s="45">
        <f>IFERROR(IF($A468="","",$W468-$AH468-$AD468+$AG468),"")</f>
        <v/>
      </c>
      <c r="AK468" s="47">
        <f>IFERROR(IF($A468="","",IF(OR($S468="Collected",$S468="Waived",$S468="Uncollectible",$S468="No Charge Due"),"",IF($T468="",$B468+'Assumptions'!$B$9,$T468+'Assumptions'!$B$9))),"")</f>
        <v/>
      </c>
      <c r="AL468" s="48">
        <f>IFERROR(IF($A468="","",IF(OR($S468="Collected",$S468="Waived",$S468="Uncollectible",$S468="No Charge Due"),"Closed",IF($AK468&lt;TODAY(),"Overdue",IF($AK468=TODAY(),"Due","Open")))),"")</f>
        <v/>
      </c>
      <c r="AM468" s="49">
        <f>IFERROR(IF($A468="","",IF(COUNTIF($A$5:$A$504,$A468)&gt;1,"Duplicate reservation ID",IF($C468&lt;=$B468,"Check stay dates",IF($G468&gt;$F468,"Resold nights exceed booked nights",IF($M468+$N468&gt;$AA468+0.01,"Collection exceeds expected amount",IF(AND($S468="Collected",$M468=0),"Collected status has no amount",IF($AJ468&gt;='Assumptions'!$B$10,"High-cost review","OK"))))))),"")</f>
        <v/>
      </c>
    </row>
    <row r="469">
      <c r="A469" s="38" t="n"/>
      <c r="B469" s="39" t="n"/>
      <c r="C469" s="39" t="n"/>
      <c r="D469" s="38" t="n"/>
      <c r="E469" s="38" t="n"/>
      <c r="F469" s="40" t="n"/>
      <c r="G469" s="40" t="n"/>
      <c r="H469" s="41" t="n"/>
      <c r="I469" s="41" t="n"/>
      <c r="J469" s="42" t="n"/>
      <c r="K469" s="42" t="n"/>
      <c r="L469" s="42" t="n"/>
      <c r="M469" s="41" t="n"/>
      <c r="N469" s="41" t="n"/>
      <c r="O469" s="41" t="n"/>
      <c r="P469" s="41" t="n"/>
      <c r="Q469" s="40" t="n"/>
      <c r="R469" s="38" t="n"/>
      <c r="S469" s="38" t="n"/>
      <c r="T469" s="39" t="n"/>
      <c r="U469" s="43" t="n"/>
      <c r="V469" s="44">
        <f>IFERROR(IF($A469="","",MAX($F469-$G469,0)),"")</f>
        <v/>
      </c>
      <c r="W469" s="45">
        <f>IFERROR(IF($A469="","",$H469+$I469),"")</f>
        <v/>
      </c>
      <c r="X469" s="45">
        <f>IFERROR(IF($A469="","",$H469*IF($J469="",'Assumptions'!$B$4,$J469)),"")</f>
        <v/>
      </c>
      <c r="Y469" s="45">
        <f>IFERROR(IF($A469="","",$X469*IF($K469="",'Assumptions'!$B$12,$K469)),"")</f>
        <v/>
      </c>
      <c r="Z469" s="45">
        <f>IFERROR(IF($A469="","",($X469+$Y469)*IF($L469="",'Assumptions'!$B$13,$L469)),"")</f>
        <v/>
      </c>
      <c r="AA469" s="45">
        <f>IFERROR(IF($A469="","",$X469+$Y469+$Z469),"")</f>
        <v/>
      </c>
      <c r="AB469" s="45">
        <f>IFERROR(IF($A469="","",$V469*'Assumptions'!$B$5),"")</f>
        <v/>
      </c>
      <c r="AC469" s="45">
        <f>IFERROR(IF($A469="","",$I469*'Assumptions'!$B$6),"")</f>
        <v/>
      </c>
      <c r="AD469" s="45">
        <f>IFERROR(IF($A469="","",$AB469+$AC469),"")</f>
        <v/>
      </c>
      <c r="AE469" s="45">
        <f>IFERROR(IF($A469="","",($M469+$N469)*'Assumptions'!$B$7),"")</f>
        <v/>
      </c>
      <c r="AF469" s="45">
        <f>IFERROR(IF($A469="","",($Q469/60)*'Assumptions'!$B$8),"")</f>
        <v/>
      </c>
      <c r="AG469" s="45">
        <f>IFERROR(IF($A469="","",$P469+$AE469+$AF469),"")</f>
        <v/>
      </c>
      <c r="AH469" s="45">
        <f>IFERROR(IF($A469="","",$M469+$O469),"")</f>
        <v/>
      </c>
      <c r="AI469" s="46">
        <f>IFERROR(IF($A469="","",IFERROR($AH469/$W469,0)),"")</f>
        <v/>
      </c>
      <c r="AJ469" s="45">
        <f>IFERROR(IF($A469="","",$W469-$AH469-$AD469+$AG469),"")</f>
        <v/>
      </c>
      <c r="AK469" s="47">
        <f>IFERROR(IF($A469="","",IF(OR($S469="Collected",$S469="Waived",$S469="Uncollectible",$S469="No Charge Due"),"",IF($T469="",$B469+'Assumptions'!$B$9,$T469+'Assumptions'!$B$9))),"")</f>
        <v/>
      </c>
      <c r="AL469" s="48">
        <f>IFERROR(IF($A469="","",IF(OR($S469="Collected",$S469="Waived",$S469="Uncollectible",$S469="No Charge Due"),"Closed",IF($AK469&lt;TODAY(),"Overdue",IF($AK469=TODAY(),"Due","Open")))),"")</f>
        <v/>
      </c>
      <c r="AM469" s="49">
        <f>IFERROR(IF($A469="","",IF(COUNTIF($A$5:$A$504,$A469)&gt;1,"Duplicate reservation ID",IF($C469&lt;=$B469,"Check stay dates",IF($G469&gt;$F469,"Resold nights exceed booked nights",IF($M469+$N469&gt;$AA469+0.01,"Collection exceeds expected amount",IF(AND($S469="Collected",$M469=0),"Collected status has no amount",IF($AJ469&gt;='Assumptions'!$B$10,"High-cost review","OK"))))))),"")</f>
        <v/>
      </c>
    </row>
    <row r="470">
      <c r="A470" s="38" t="n"/>
      <c r="B470" s="39" t="n"/>
      <c r="C470" s="39" t="n"/>
      <c r="D470" s="38" t="n"/>
      <c r="E470" s="38" t="n"/>
      <c r="F470" s="40" t="n"/>
      <c r="G470" s="40" t="n"/>
      <c r="H470" s="41" t="n"/>
      <c r="I470" s="41" t="n"/>
      <c r="J470" s="42" t="n"/>
      <c r="K470" s="42" t="n"/>
      <c r="L470" s="42" t="n"/>
      <c r="M470" s="41" t="n"/>
      <c r="N470" s="41" t="n"/>
      <c r="O470" s="41" t="n"/>
      <c r="P470" s="41" t="n"/>
      <c r="Q470" s="40" t="n"/>
      <c r="R470" s="38" t="n"/>
      <c r="S470" s="38" t="n"/>
      <c r="T470" s="39" t="n"/>
      <c r="U470" s="43" t="n"/>
      <c r="V470" s="44">
        <f>IFERROR(IF($A470="","",MAX($F470-$G470,0)),"")</f>
        <v/>
      </c>
      <c r="W470" s="45">
        <f>IFERROR(IF($A470="","",$H470+$I470),"")</f>
        <v/>
      </c>
      <c r="X470" s="45">
        <f>IFERROR(IF($A470="","",$H470*IF($J470="",'Assumptions'!$B$4,$J470)),"")</f>
        <v/>
      </c>
      <c r="Y470" s="45">
        <f>IFERROR(IF($A470="","",$X470*IF($K470="",'Assumptions'!$B$12,$K470)),"")</f>
        <v/>
      </c>
      <c r="Z470" s="45">
        <f>IFERROR(IF($A470="","",($X470+$Y470)*IF($L470="",'Assumptions'!$B$13,$L470)),"")</f>
        <v/>
      </c>
      <c r="AA470" s="45">
        <f>IFERROR(IF($A470="","",$X470+$Y470+$Z470),"")</f>
        <v/>
      </c>
      <c r="AB470" s="45">
        <f>IFERROR(IF($A470="","",$V470*'Assumptions'!$B$5),"")</f>
        <v/>
      </c>
      <c r="AC470" s="45">
        <f>IFERROR(IF($A470="","",$I470*'Assumptions'!$B$6),"")</f>
        <v/>
      </c>
      <c r="AD470" s="45">
        <f>IFERROR(IF($A470="","",$AB470+$AC470),"")</f>
        <v/>
      </c>
      <c r="AE470" s="45">
        <f>IFERROR(IF($A470="","",($M470+$N470)*'Assumptions'!$B$7),"")</f>
        <v/>
      </c>
      <c r="AF470" s="45">
        <f>IFERROR(IF($A470="","",($Q470/60)*'Assumptions'!$B$8),"")</f>
        <v/>
      </c>
      <c r="AG470" s="45">
        <f>IFERROR(IF($A470="","",$P470+$AE470+$AF470),"")</f>
        <v/>
      </c>
      <c r="AH470" s="45">
        <f>IFERROR(IF($A470="","",$M470+$O470),"")</f>
        <v/>
      </c>
      <c r="AI470" s="46">
        <f>IFERROR(IF($A470="","",IFERROR($AH470/$W470,0)),"")</f>
        <v/>
      </c>
      <c r="AJ470" s="45">
        <f>IFERROR(IF($A470="","",$W470-$AH470-$AD470+$AG470),"")</f>
        <v/>
      </c>
      <c r="AK470" s="47">
        <f>IFERROR(IF($A470="","",IF(OR($S470="Collected",$S470="Waived",$S470="Uncollectible",$S470="No Charge Due"),"",IF($T470="",$B470+'Assumptions'!$B$9,$T470+'Assumptions'!$B$9))),"")</f>
        <v/>
      </c>
      <c r="AL470" s="48">
        <f>IFERROR(IF($A470="","",IF(OR($S470="Collected",$S470="Waived",$S470="Uncollectible",$S470="No Charge Due"),"Closed",IF($AK470&lt;TODAY(),"Overdue",IF($AK470=TODAY(),"Due","Open")))),"")</f>
        <v/>
      </c>
      <c r="AM470" s="49">
        <f>IFERROR(IF($A470="","",IF(COUNTIF($A$5:$A$504,$A470)&gt;1,"Duplicate reservation ID",IF($C470&lt;=$B470,"Check stay dates",IF($G470&gt;$F470,"Resold nights exceed booked nights",IF($M470+$N470&gt;$AA470+0.01,"Collection exceeds expected amount",IF(AND($S470="Collected",$M470=0),"Collected status has no amount",IF($AJ470&gt;='Assumptions'!$B$10,"High-cost review","OK"))))))),"")</f>
        <v/>
      </c>
    </row>
    <row r="471">
      <c r="A471" s="38" t="n"/>
      <c r="B471" s="39" t="n"/>
      <c r="C471" s="39" t="n"/>
      <c r="D471" s="38" t="n"/>
      <c r="E471" s="38" t="n"/>
      <c r="F471" s="40" t="n"/>
      <c r="G471" s="40" t="n"/>
      <c r="H471" s="41" t="n"/>
      <c r="I471" s="41" t="n"/>
      <c r="J471" s="42" t="n"/>
      <c r="K471" s="42" t="n"/>
      <c r="L471" s="42" t="n"/>
      <c r="M471" s="41" t="n"/>
      <c r="N471" s="41" t="n"/>
      <c r="O471" s="41" t="n"/>
      <c r="P471" s="41" t="n"/>
      <c r="Q471" s="40" t="n"/>
      <c r="R471" s="38" t="n"/>
      <c r="S471" s="38" t="n"/>
      <c r="T471" s="39" t="n"/>
      <c r="U471" s="43" t="n"/>
      <c r="V471" s="44">
        <f>IFERROR(IF($A471="","",MAX($F471-$G471,0)),"")</f>
        <v/>
      </c>
      <c r="W471" s="45">
        <f>IFERROR(IF($A471="","",$H471+$I471),"")</f>
        <v/>
      </c>
      <c r="X471" s="45">
        <f>IFERROR(IF($A471="","",$H471*IF($J471="",'Assumptions'!$B$4,$J471)),"")</f>
        <v/>
      </c>
      <c r="Y471" s="45">
        <f>IFERROR(IF($A471="","",$X471*IF($K471="",'Assumptions'!$B$12,$K471)),"")</f>
        <v/>
      </c>
      <c r="Z471" s="45">
        <f>IFERROR(IF($A471="","",($X471+$Y471)*IF($L471="",'Assumptions'!$B$13,$L471)),"")</f>
        <v/>
      </c>
      <c r="AA471" s="45">
        <f>IFERROR(IF($A471="","",$X471+$Y471+$Z471),"")</f>
        <v/>
      </c>
      <c r="AB471" s="45">
        <f>IFERROR(IF($A471="","",$V471*'Assumptions'!$B$5),"")</f>
        <v/>
      </c>
      <c r="AC471" s="45">
        <f>IFERROR(IF($A471="","",$I471*'Assumptions'!$B$6),"")</f>
        <v/>
      </c>
      <c r="AD471" s="45">
        <f>IFERROR(IF($A471="","",$AB471+$AC471),"")</f>
        <v/>
      </c>
      <c r="AE471" s="45">
        <f>IFERROR(IF($A471="","",($M471+$N471)*'Assumptions'!$B$7),"")</f>
        <v/>
      </c>
      <c r="AF471" s="45">
        <f>IFERROR(IF($A471="","",($Q471/60)*'Assumptions'!$B$8),"")</f>
        <v/>
      </c>
      <c r="AG471" s="45">
        <f>IFERROR(IF($A471="","",$P471+$AE471+$AF471),"")</f>
        <v/>
      </c>
      <c r="AH471" s="45">
        <f>IFERROR(IF($A471="","",$M471+$O471),"")</f>
        <v/>
      </c>
      <c r="AI471" s="46">
        <f>IFERROR(IF($A471="","",IFERROR($AH471/$W471,0)),"")</f>
        <v/>
      </c>
      <c r="AJ471" s="45">
        <f>IFERROR(IF($A471="","",$W471-$AH471-$AD471+$AG471),"")</f>
        <v/>
      </c>
      <c r="AK471" s="47">
        <f>IFERROR(IF($A471="","",IF(OR($S471="Collected",$S471="Waived",$S471="Uncollectible",$S471="No Charge Due"),"",IF($T471="",$B471+'Assumptions'!$B$9,$T471+'Assumptions'!$B$9))),"")</f>
        <v/>
      </c>
      <c r="AL471" s="48">
        <f>IFERROR(IF($A471="","",IF(OR($S471="Collected",$S471="Waived",$S471="Uncollectible",$S471="No Charge Due"),"Closed",IF($AK471&lt;TODAY(),"Overdue",IF($AK471=TODAY(),"Due","Open")))),"")</f>
        <v/>
      </c>
      <c r="AM471" s="49">
        <f>IFERROR(IF($A471="","",IF(COUNTIF($A$5:$A$504,$A471)&gt;1,"Duplicate reservation ID",IF($C471&lt;=$B471,"Check stay dates",IF($G471&gt;$F471,"Resold nights exceed booked nights",IF($M471+$N471&gt;$AA471+0.01,"Collection exceeds expected amount",IF(AND($S471="Collected",$M471=0),"Collected status has no amount",IF($AJ471&gt;='Assumptions'!$B$10,"High-cost review","OK"))))))),"")</f>
        <v/>
      </c>
    </row>
    <row r="472">
      <c r="A472" s="38" t="n"/>
      <c r="B472" s="39" t="n"/>
      <c r="C472" s="39" t="n"/>
      <c r="D472" s="38" t="n"/>
      <c r="E472" s="38" t="n"/>
      <c r="F472" s="40" t="n"/>
      <c r="G472" s="40" t="n"/>
      <c r="H472" s="41" t="n"/>
      <c r="I472" s="41" t="n"/>
      <c r="J472" s="42" t="n"/>
      <c r="K472" s="42" t="n"/>
      <c r="L472" s="42" t="n"/>
      <c r="M472" s="41" t="n"/>
      <c r="N472" s="41" t="n"/>
      <c r="O472" s="41" t="n"/>
      <c r="P472" s="41" t="n"/>
      <c r="Q472" s="40" t="n"/>
      <c r="R472" s="38" t="n"/>
      <c r="S472" s="38" t="n"/>
      <c r="T472" s="39" t="n"/>
      <c r="U472" s="43" t="n"/>
      <c r="V472" s="44">
        <f>IFERROR(IF($A472="","",MAX($F472-$G472,0)),"")</f>
        <v/>
      </c>
      <c r="W472" s="45">
        <f>IFERROR(IF($A472="","",$H472+$I472),"")</f>
        <v/>
      </c>
      <c r="X472" s="45">
        <f>IFERROR(IF($A472="","",$H472*IF($J472="",'Assumptions'!$B$4,$J472)),"")</f>
        <v/>
      </c>
      <c r="Y472" s="45">
        <f>IFERROR(IF($A472="","",$X472*IF($K472="",'Assumptions'!$B$12,$K472)),"")</f>
        <v/>
      </c>
      <c r="Z472" s="45">
        <f>IFERROR(IF($A472="","",($X472+$Y472)*IF($L472="",'Assumptions'!$B$13,$L472)),"")</f>
        <v/>
      </c>
      <c r="AA472" s="45">
        <f>IFERROR(IF($A472="","",$X472+$Y472+$Z472),"")</f>
        <v/>
      </c>
      <c r="AB472" s="45">
        <f>IFERROR(IF($A472="","",$V472*'Assumptions'!$B$5),"")</f>
        <v/>
      </c>
      <c r="AC472" s="45">
        <f>IFERROR(IF($A472="","",$I472*'Assumptions'!$B$6),"")</f>
        <v/>
      </c>
      <c r="AD472" s="45">
        <f>IFERROR(IF($A472="","",$AB472+$AC472),"")</f>
        <v/>
      </c>
      <c r="AE472" s="45">
        <f>IFERROR(IF($A472="","",($M472+$N472)*'Assumptions'!$B$7),"")</f>
        <v/>
      </c>
      <c r="AF472" s="45">
        <f>IFERROR(IF($A472="","",($Q472/60)*'Assumptions'!$B$8),"")</f>
        <v/>
      </c>
      <c r="AG472" s="45">
        <f>IFERROR(IF($A472="","",$P472+$AE472+$AF472),"")</f>
        <v/>
      </c>
      <c r="AH472" s="45">
        <f>IFERROR(IF($A472="","",$M472+$O472),"")</f>
        <v/>
      </c>
      <c r="AI472" s="46">
        <f>IFERROR(IF($A472="","",IFERROR($AH472/$W472,0)),"")</f>
        <v/>
      </c>
      <c r="AJ472" s="45">
        <f>IFERROR(IF($A472="","",$W472-$AH472-$AD472+$AG472),"")</f>
        <v/>
      </c>
      <c r="AK472" s="47">
        <f>IFERROR(IF($A472="","",IF(OR($S472="Collected",$S472="Waived",$S472="Uncollectible",$S472="No Charge Due"),"",IF($T472="",$B472+'Assumptions'!$B$9,$T472+'Assumptions'!$B$9))),"")</f>
        <v/>
      </c>
      <c r="AL472" s="48">
        <f>IFERROR(IF($A472="","",IF(OR($S472="Collected",$S472="Waived",$S472="Uncollectible",$S472="No Charge Due"),"Closed",IF($AK472&lt;TODAY(),"Overdue",IF($AK472=TODAY(),"Due","Open")))),"")</f>
        <v/>
      </c>
      <c r="AM472" s="49">
        <f>IFERROR(IF($A472="","",IF(COUNTIF($A$5:$A$504,$A472)&gt;1,"Duplicate reservation ID",IF($C472&lt;=$B472,"Check stay dates",IF($G472&gt;$F472,"Resold nights exceed booked nights",IF($M472+$N472&gt;$AA472+0.01,"Collection exceeds expected amount",IF(AND($S472="Collected",$M472=0),"Collected status has no amount",IF($AJ472&gt;='Assumptions'!$B$10,"High-cost review","OK"))))))),"")</f>
        <v/>
      </c>
    </row>
    <row r="473">
      <c r="A473" s="38" t="n"/>
      <c r="B473" s="39" t="n"/>
      <c r="C473" s="39" t="n"/>
      <c r="D473" s="38" t="n"/>
      <c r="E473" s="38" t="n"/>
      <c r="F473" s="40" t="n"/>
      <c r="G473" s="40" t="n"/>
      <c r="H473" s="41" t="n"/>
      <c r="I473" s="41" t="n"/>
      <c r="J473" s="42" t="n"/>
      <c r="K473" s="42" t="n"/>
      <c r="L473" s="42" t="n"/>
      <c r="M473" s="41" t="n"/>
      <c r="N473" s="41" t="n"/>
      <c r="O473" s="41" t="n"/>
      <c r="P473" s="41" t="n"/>
      <c r="Q473" s="40" t="n"/>
      <c r="R473" s="38" t="n"/>
      <c r="S473" s="38" t="n"/>
      <c r="T473" s="39" t="n"/>
      <c r="U473" s="43" t="n"/>
      <c r="V473" s="44">
        <f>IFERROR(IF($A473="","",MAX($F473-$G473,0)),"")</f>
        <v/>
      </c>
      <c r="W473" s="45">
        <f>IFERROR(IF($A473="","",$H473+$I473),"")</f>
        <v/>
      </c>
      <c r="X473" s="45">
        <f>IFERROR(IF($A473="","",$H473*IF($J473="",'Assumptions'!$B$4,$J473)),"")</f>
        <v/>
      </c>
      <c r="Y473" s="45">
        <f>IFERROR(IF($A473="","",$X473*IF($K473="",'Assumptions'!$B$12,$K473)),"")</f>
        <v/>
      </c>
      <c r="Z473" s="45">
        <f>IFERROR(IF($A473="","",($X473+$Y473)*IF($L473="",'Assumptions'!$B$13,$L473)),"")</f>
        <v/>
      </c>
      <c r="AA473" s="45">
        <f>IFERROR(IF($A473="","",$X473+$Y473+$Z473),"")</f>
        <v/>
      </c>
      <c r="AB473" s="45">
        <f>IFERROR(IF($A473="","",$V473*'Assumptions'!$B$5),"")</f>
        <v/>
      </c>
      <c r="AC473" s="45">
        <f>IFERROR(IF($A473="","",$I473*'Assumptions'!$B$6),"")</f>
        <v/>
      </c>
      <c r="AD473" s="45">
        <f>IFERROR(IF($A473="","",$AB473+$AC473),"")</f>
        <v/>
      </c>
      <c r="AE473" s="45">
        <f>IFERROR(IF($A473="","",($M473+$N473)*'Assumptions'!$B$7),"")</f>
        <v/>
      </c>
      <c r="AF473" s="45">
        <f>IFERROR(IF($A473="","",($Q473/60)*'Assumptions'!$B$8),"")</f>
        <v/>
      </c>
      <c r="AG473" s="45">
        <f>IFERROR(IF($A473="","",$P473+$AE473+$AF473),"")</f>
        <v/>
      </c>
      <c r="AH473" s="45">
        <f>IFERROR(IF($A473="","",$M473+$O473),"")</f>
        <v/>
      </c>
      <c r="AI473" s="46">
        <f>IFERROR(IF($A473="","",IFERROR($AH473/$W473,0)),"")</f>
        <v/>
      </c>
      <c r="AJ473" s="45">
        <f>IFERROR(IF($A473="","",$W473-$AH473-$AD473+$AG473),"")</f>
        <v/>
      </c>
      <c r="AK473" s="47">
        <f>IFERROR(IF($A473="","",IF(OR($S473="Collected",$S473="Waived",$S473="Uncollectible",$S473="No Charge Due"),"",IF($T473="",$B473+'Assumptions'!$B$9,$T473+'Assumptions'!$B$9))),"")</f>
        <v/>
      </c>
      <c r="AL473" s="48">
        <f>IFERROR(IF($A473="","",IF(OR($S473="Collected",$S473="Waived",$S473="Uncollectible",$S473="No Charge Due"),"Closed",IF($AK473&lt;TODAY(),"Overdue",IF($AK473=TODAY(),"Due","Open")))),"")</f>
        <v/>
      </c>
      <c r="AM473" s="49">
        <f>IFERROR(IF($A473="","",IF(COUNTIF($A$5:$A$504,$A473)&gt;1,"Duplicate reservation ID",IF($C473&lt;=$B473,"Check stay dates",IF($G473&gt;$F473,"Resold nights exceed booked nights",IF($M473+$N473&gt;$AA473+0.01,"Collection exceeds expected amount",IF(AND($S473="Collected",$M473=0),"Collected status has no amount",IF($AJ473&gt;='Assumptions'!$B$10,"High-cost review","OK"))))))),"")</f>
        <v/>
      </c>
    </row>
    <row r="474">
      <c r="A474" s="38" t="n"/>
      <c r="B474" s="39" t="n"/>
      <c r="C474" s="39" t="n"/>
      <c r="D474" s="38" t="n"/>
      <c r="E474" s="38" t="n"/>
      <c r="F474" s="40" t="n"/>
      <c r="G474" s="40" t="n"/>
      <c r="H474" s="41" t="n"/>
      <c r="I474" s="41" t="n"/>
      <c r="J474" s="42" t="n"/>
      <c r="K474" s="42" t="n"/>
      <c r="L474" s="42" t="n"/>
      <c r="M474" s="41" t="n"/>
      <c r="N474" s="41" t="n"/>
      <c r="O474" s="41" t="n"/>
      <c r="P474" s="41" t="n"/>
      <c r="Q474" s="40" t="n"/>
      <c r="R474" s="38" t="n"/>
      <c r="S474" s="38" t="n"/>
      <c r="T474" s="39" t="n"/>
      <c r="U474" s="43" t="n"/>
      <c r="V474" s="44">
        <f>IFERROR(IF($A474="","",MAX($F474-$G474,0)),"")</f>
        <v/>
      </c>
      <c r="W474" s="45">
        <f>IFERROR(IF($A474="","",$H474+$I474),"")</f>
        <v/>
      </c>
      <c r="X474" s="45">
        <f>IFERROR(IF($A474="","",$H474*IF($J474="",'Assumptions'!$B$4,$J474)),"")</f>
        <v/>
      </c>
      <c r="Y474" s="45">
        <f>IFERROR(IF($A474="","",$X474*IF($K474="",'Assumptions'!$B$12,$K474)),"")</f>
        <v/>
      </c>
      <c r="Z474" s="45">
        <f>IFERROR(IF($A474="","",($X474+$Y474)*IF($L474="",'Assumptions'!$B$13,$L474)),"")</f>
        <v/>
      </c>
      <c r="AA474" s="45">
        <f>IFERROR(IF($A474="","",$X474+$Y474+$Z474),"")</f>
        <v/>
      </c>
      <c r="AB474" s="45">
        <f>IFERROR(IF($A474="","",$V474*'Assumptions'!$B$5),"")</f>
        <v/>
      </c>
      <c r="AC474" s="45">
        <f>IFERROR(IF($A474="","",$I474*'Assumptions'!$B$6),"")</f>
        <v/>
      </c>
      <c r="AD474" s="45">
        <f>IFERROR(IF($A474="","",$AB474+$AC474),"")</f>
        <v/>
      </c>
      <c r="AE474" s="45">
        <f>IFERROR(IF($A474="","",($M474+$N474)*'Assumptions'!$B$7),"")</f>
        <v/>
      </c>
      <c r="AF474" s="45">
        <f>IFERROR(IF($A474="","",($Q474/60)*'Assumptions'!$B$8),"")</f>
        <v/>
      </c>
      <c r="AG474" s="45">
        <f>IFERROR(IF($A474="","",$P474+$AE474+$AF474),"")</f>
        <v/>
      </c>
      <c r="AH474" s="45">
        <f>IFERROR(IF($A474="","",$M474+$O474),"")</f>
        <v/>
      </c>
      <c r="AI474" s="46">
        <f>IFERROR(IF($A474="","",IFERROR($AH474/$W474,0)),"")</f>
        <v/>
      </c>
      <c r="AJ474" s="45">
        <f>IFERROR(IF($A474="","",$W474-$AH474-$AD474+$AG474),"")</f>
        <v/>
      </c>
      <c r="AK474" s="47">
        <f>IFERROR(IF($A474="","",IF(OR($S474="Collected",$S474="Waived",$S474="Uncollectible",$S474="No Charge Due"),"",IF($T474="",$B474+'Assumptions'!$B$9,$T474+'Assumptions'!$B$9))),"")</f>
        <v/>
      </c>
      <c r="AL474" s="48">
        <f>IFERROR(IF($A474="","",IF(OR($S474="Collected",$S474="Waived",$S474="Uncollectible",$S474="No Charge Due"),"Closed",IF($AK474&lt;TODAY(),"Overdue",IF($AK474=TODAY(),"Due","Open")))),"")</f>
        <v/>
      </c>
      <c r="AM474" s="49">
        <f>IFERROR(IF($A474="","",IF(COUNTIF($A$5:$A$504,$A474)&gt;1,"Duplicate reservation ID",IF($C474&lt;=$B474,"Check stay dates",IF($G474&gt;$F474,"Resold nights exceed booked nights",IF($M474+$N474&gt;$AA474+0.01,"Collection exceeds expected amount",IF(AND($S474="Collected",$M474=0),"Collected status has no amount",IF($AJ474&gt;='Assumptions'!$B$10,"High-cost review","OK"))))))),"")</f>
        <v/>
      </c>
    </row>
    <row r="475">
      <c r="A475" s="38" t="n"/>
      <c r="B475" s="39" t="n"/>
      <c r="C475" s="39" t="n"/>
      <c r="D475" s="38" t="n"/>
      <c r="E475" s="38" t="n"/>
      <c r="F475" s="40" t="n"/>
      <c r="G475" s="40" t="n"/>
      <c r="H475" s="41" t="n"/>
      <c r="I475" s="41" t="n"/>
      <c r="J475" s="42" t="n"/>
      <c r="K475" s="42" t="n"/>
      <c r="L475" s="42" t="n"/>
      <c r="M475" s="41" t="n"/>
      <c r="N475" s="41" t="n"/>
      <c r="O475" s="41" t="n"/>
      <c r="P475" s="41" t="n"/>
      <c r="Q475" s="40" t="n"/>
      <c r="R475" s="38" t="n"/>
      <c r="S475" s="38" t="n"/>
      <c r="T475" s="39" t="n"/>
      <c r="U475" s="43" t="n"/>
      <c r="V475" s="44">
        <f>IFERROR(IF($A475="","",MAX($F475-$G475,0)),"")</f>
        <v/>
      </c>
      <c r="W475" s="45">
        <f>IFERROR(IF($A475="","",$H475+$I475),"")</f>
        <v/>
      </c>
      <c r="X475" s="45">
        <f>IFERROR(IF($A475="","",$H475*IF($J475="",'Assumptions'!$B$4,$J475)),"")</f>
        <v/>
      </c>
      <c r="Y475" s="45">
        <f>IFERROR(IF($A475="","",$X475*IF($K475="",'Assumptions'!$B$12,$K475)),"")</f>
        <v/>
      </c>
      <c r="Z475" s="45">
        <f>IFERROR(IF($A475="","",($X475+$Y475)*IF($L475="",'Assumptions'!$B$13,$L475)),"")</f>
        <v/>
      </c>
      <c r="AA475" s="45">
        <f>IFERROR(IF($A475="","",$X475+$Y475+$Z475),"")</f>
        <v/>
      </c>
      <c r="AB475" s="45">
        <f>IFERROR(IF($A475="","",$V475*'Assumptions'!$B$5),"")</f>
        <v/>
      </c>
      <c r="AC475" s="45">
        <f>IFERROR(IF($A475="","",$I475*'Assumptions'!$B$6),"")</f>
        <v/>
      </c>
      <c r="AD475" s="45">
        <f>IFERROR(IF($A475="","",$AB475+$AC475),"")</f>
        <v/>
      </c>
      <c r="AE475" s="45">
        <f>IFERROR(IF($A475="","",($M475+$N475)*'Assumptions'!$B$7),"")</f>
        <v/>
      </c>
      <c r="AF475" s="45">
        <f>IFERROR(IF($A475="","",($Q475/60)*'Assumptions'!$B$8),"")</f>
        <v/>
      </c>
      <c r="AG475" s="45">
        <f>IFERROR(IF($A475="","",$P475+$AE475+$AF475),"")</f>
        <v/>
      </c>
      <c r="AH475" s="45">
        <f>IFERROR(IF($A475="","",$M475+$O475),"")</f>
        <v/>
      </c>
      <c r="AI475" s="46">
        <f>IFERROR(IF($A475="","",IFERROR($AH475/$W475,0)),"")</f>
        <v/>
      </c>
      <c r="AJ475" s="45">
        <f>IFERROR(IF($A475="","",$W475-$AH475-$AD475+$AG475),"")</f>
        <v/>
      </c>
      <c r="AK475" s="47">
        <f>IFERROR(IF($A475="","",IF(OR($S475="Collected",$S475="Waived",$S475="Uncollectible",$S475="No Charge Due"),"",IF($T475="",$B475+'Assumptions'!$B$9,$T475+'Assumptions'!$B$9))),"")</f>
        <v/>
      </c>
      <c r="AL475" s="48">
        <f>IFERROR(IF($A475="","",IF(OR($S475="Collected",$S475="Waived",$S475="Uncollectible",$S475="No Charge Due"),"Closed",IF($AK475&lt;TODAY(),"Overdue",IF($AK475=TODAY(),"Due","Open")))),"")</f>
        <v/>
      </c>
      <c r="AM475" s="49">
        <f>IFERROR(IF($A475="","",IF(COUNTIF($A$5:$A$504,$A475)&gt;1,"Duplicate reservation ID",IF($C475&lt;=$B475,"Check stay dates",IF($G475&gt;$F475,"Resold nights exceed booked nights",IF($M475+$N475&gt;$AA475+0.01,"Collection exceeds expected amount",IF(AND($S475="Collected",$M475=0),"Collected status has no amount",IF($AJ475&gt;='Assumptions'!$B$10,"High-cost review","OK"))))))),"")</f>
        <v/>
      </c>
    </row>
    <row r="476">
      <c r="A476" s="38" t="n"/>
      <c r="B476" s="39" t="n"/>
      <c r="C476" s="39" t="n"/>
      <c r="D476" s="38" t="n"/>
      <c r="E476" s="38" t="n"/>
      <c r="F476" s="40" t="n"/>
      <c r="G476" s="40" t="n"/>
      <c r="H476" s="41" t="n"/>
      <c r="I476" s="41" t="n"/>
      <c r="J476" s="42" t="n"/>
      <c r="K476" s="42" t="n"/>
      <c r="L476" s="42" t="n"/>
      <c r="M476" s="41" t="n"/>
      <c r="N476" s="41" t="n"/>
      <c r="O476" s="41" t="n"/>
      <c r="P476" s="41" t="n"/>
      <c r="Q476" s="40" t="n"/>
      <c r="R476" s="38" t="n"/>
      <c r="S476" s="38" t="n"/>
      <c r="T476" s="39" t="n"/>
      <c r="U476" s="43" t="n"/>
      <c r="V476" s="44">
        <f>IFERROR(IF($A476="","",MAX($F476-$G476,0)),"")</f>
        <v/>
      </c>
      <c r="W476" s="45">
        <f>IFERROR(IF($A476="","",$H476+$I476),"")</f>
        <v/>
      </c>
      <c r="X476" s="45">
        <f>IFERROR(IF($A476="","",$H476*IF($J476="",'Assumptions'!$B$4,$J476)),"")</f>
        <v/>
      </c>
      <c r="Y476" s="45">
        <f>IFERROR(IF($A476="","",$X476*IF($K476="",'Assumptions'!$B$12,$K476)),"")</f>
        <v/>
      </c>
      <c r="Z476" s="45">
        <f>IFERROR(IF($A476="","",($X476+$Y476)*IF($L476="",'Assumptions'!$B$13,$L476)),"")</f>
        <v/>
      </c>
      <c r="AA476" s="45">
        <f>IFERROR(IF($A476="","",$X476+$Y476+$Z476),"")</f>
        <v/>
      </c>
      <c r="AB476" s="45">
        <f>IFERROR(IF($A476="","",$V476*'Assumptions'!$B$5),"")</f>
        <v/>
      </c>
      <c r="AC476" s="45">
        <f>IFERROR(IF($A476="","",$I476*'Assumptions'!$B$6),"")</f>
        <v/>
      </c>
      <c r="AD476" s="45">
        <f>IFERROR(IF($A476="","",$AB476+$AC476),"")</f>
        <v/>
      </c>
      <c r="AE476" s="45">
        <f>IFERROR(IF($A476="","",($M476+$N476)*'Assumptions'!$B$7),"")</f>
        <v/>
      </c>
      <c r="AF476" s="45">
        <f>IFERROR(IF($A476="","",($Q476/60)*'Assumptions'!$B$8),"")</f>
        <v/>
      </c>
      <c r="AG476" s="45">
        <f>IFERROR(IF($A476="","",$P476+$AE476+$AF476),"")</f>
        <v/>
      </c>
      <c r="AH476" s="45">
        <f>IFERROR(IF($A476="","",$M476+$O476),"")</f>
        <v/>
      </c>
      <c r="AI476" s="46">
        <f>IFERROR(IF($A476="","",IFERROR($AH476/$W476,0)),"")</f>
        <v/>
      </c>
      <c r="AJ476" s="45">
        <f>IFERROR(IF($A476="","",$W476-$AH476-$AD476+$AG476),"")</f>
        <v/>
      </c>
      <c r="AK476" s="47">
        <f>IFERROR(IF($A476="","",IF(OR($S476="Collected",$S476="Waived",$S476="Uncollectible",$S476="No Charge Due"),"",IF($T476="",$B476+'Assumptions'!$B$9,$T476+'Assumptions'!$B$9))),"")</f>
        <v/>
      </c>
      <c r="AL476" s="48">
        <f>IFERROR(IF($A476="","",IF(OR($S476="Collected",$S476="Waived",$S476="Uncollectible",$S476="No Charge Due"),"Closed",IF($AK476&lt;TODAY(),"Overdue",IF($AK476=TODAY(),"Due","Open")))),"")</f>
        <v/>
      </c>
      <c r="AM476" s="49">
        <f>IFERROR(IF($A476="","",IF(COUNTIF($A$5:$A$504,$A476)&gt;1,"Duplicate reservation ID",IF($C476&lt;=$B476,"Check stay dates",IF($G476&gt;$F476,"Resold nights exceed booked nights",IF($M476+$N476&gt;$AA476+0.01,"Collection exceeds expected amount",IF(AND($S476="Collected",$M476=0),"Collected status has no amount",IF($AJ476&gt;='Assumptions'!$B$10,"High-cost review","OK"))))))),"")</f>
        <v/>
      </c>
    </row>
    <row r="477">
      <c r="A477" s="38" t="n"/>
      <c r="B477" s="39" t="n"/>
      <c r="C477" s="39" t="n"/>
      <c r="D477" s="38" t="n"/>
      <c r="E477" s="38" t="n"/>
      <c r="F477" s="40" t="n"/>
      <c r="G477" s="40" t="n"/>
      <c r="H477" s="41" t="n"/>
      <c r="I477" s="41" t="n"/>
      <c r="J477" s="42" t="n"/>
      <c r="K477" s="42" t="n"/>
      <c r="L477" s="42" t="n"/>
      <c r="M477" s="41" t="n"/>
      <c r="N477" s="41" t="n"/>
      <c r="O477" s="41" t="n"/>
      <c r="P477" s="41" t="n"/>
      <c r="Q477" s="40" t="n"/>
      <c r="R477" s="38" t="n"/>
      <c r="S477" s="38" t="n"/>
      <c r="T477" s="39" t="n"/>
      <c r="U477" s="43" t="n"/>
      <c r="V477" s="44">
        <f>IFERROR(IF($A477="","",MAX($F477-$G477,0)),"")</f>
        <v/>
      </c>
      <c r="W477" s="45">
        <f>IFERROR(IF($A477="","",$H477+$I477),"")</f>
        <v/>
      </c>
      <c r="X477" s="45">
        <f>IFERROR(IF($A477="","",$H477*IF($J477="",'Assumptions'!$B$4,$J477)),"")</f>
        <v/>
      </c>
      <c r="Y477" s="45">
        <f>IFERROR(IF($A477="","",$X477*IF($K477="",'Assumptions'!$B$12,$K477)),"")</f>
        <v/>
      </c>
      <c r="Z477" s="45">
        <f>IFERROR(IF($A477="","",($X477+$Y477)*IF($L477="",'Assumptions'!$B$13,$L477)),"")</f>
        <v/>
      </c>
      <c r="AA477" s="45">
        <f>IFERROR(IF($A477="","",$X477+$Y477+$Z477),"")</f>
        <v/>
      </c>
      <c r="AB477" s="45">
        <f>IFERROR(IF($A477="","",$V477*'Assumptions'!$B$5),"")</f>
        <v/>
      </c>
      <c r="AC477" s="45">
        <f>IFERROR(IF($A477="","",$I477*'Assumptions'!$B$6),"")</f>
        <v/>
      </c>
      <c r="AD477" s="45">
        <f>IFERROR(IF($A477="","",$AB477+$AC477),"")</f>
        <v/>
      </c>
      <c r="AE477" s="45">
        <f>IFERROR(IF($A477="","",($M477+$N477)*'Assumptions'!$B$7),"")</f>
        <v/>
      </c>
      <c r="AF477" s="45">
        <f>IFERROR(IF($A477="","",($Q477/60)*'Assumptions'!$B$8),"")</f>
        <v/>
      </c>
      <c r="AG477" s="45">
        <f>IFERROR(IF($A477="","",$P477+$AE477+$AF477),"")</f>
        <v/>
      </c>
      <c r="AH477" s="45">
        <f>IFERROR(IF($A477="","",$M477+$O477),"")</f>
        <v/>
      </c>
      <c r="AI477" s="46">
        <f>IFERROR(IF($A477="","",IFERROR($AH477/$W477,0)),"")</f>
        <v/>
      </c>
      <c r="AJ477" s="45">
        <f>IFERROR(IF($A477="","",$W477-$AH477-$AD477+$AG477),"")</f>
        <v/>
      </c>
      <c r="AK477" s="47">
        <f>IFERROR(IF($A477="","",IF(OR($S477="Collected",$S477="Waived",$S477="Uncollectible",$S477="No Charge Due"),"",IF($T477="",$B477+'Assumptions'!$B$9,$T477+'Assumptions'!$B$9))),"")</f>
        <v/>
      </c>
      <c r="AL477" s="48">
        <f>IFERROR(IF($A477="","",IF(OR($S477="Collected",$S477="Waived",$S477="Uncollectible",$S477="No Charge Due"),"Closed",IF($AK477&lt;TODAY(),"Overdue",IF($AK477=TODAY(),"Due","Open")))),"")</f>
        <v/>
      </c>
      <c r="AM477" s="49">
        <f>IFERROR(IF($A477="","",IF(COUNTIF($A$5:$A$504,$A477)&gt;1,"Duplicate reservation ID",IF($C477&lt;=$B477,"Check stay dates",IF($G477&gt;$F477,"Resold nights exceed booked nights",IF($M477+$N477&gt;$AA477+0.01,"Collection exceeds expected amount",IF(AND($S477="Collected",$M477=0),"Collected status has no amount",IF($AJ477&gt;='Assumptions'!$B$10,"High-cost review","OK"))))))),"")</f>
        <v/>
      </c>
    </row>
    <row r="478">
      <c r="A478" s="38" t="n"/>
      <c r="B478" s="39" t="n"/>
      <c r="C478" s="39" t="n"/>
      <c r="D478" s="38" t="n"/>
      <c r="E478" s="38" t="n"/>
      <c r="F478" s="40" t="n"/>
      <c r="G478" s="40" t="n"/>
      <c r="H478" s="41" t="n"/>
      <c r="I478" s="41" t="n"/>
      <c r="J478" s="42" t="n"/>
      <c r="K478" s="42" t="n"/>
      <c r="L478" s="42" t="n"/>
      <c r="M478" s="41" t="n"/>
      <c r="N478" s="41" t="n"/>
      <c r="O478" s="41" t="n"/>
      <c r="P478" s="41" t="n"/>
      <c r="Q478" s="40" t="n"/>
      <c r="R478" s="38" t="n"/>
      <c r="S478" s="38" t="n"/>
      <c r="T478" s="39" t="n"/>
      <c r="U478" s="43" t="n"/>
      <c r="V478" s="44">
        <f>IFERROR(IF($A478="","",MAX($F478-$G478,0)),"")</f>
        <v/>
      </c>
      <c r="W478" s="45">
        <f>IFERROR(IF($A478="","",$H478+$I478),"")</f>
        <v/>
      </c>
      <c r="X478" s="45">
        <f>IFERROR(IF($A478="","",$H478*IF($J478="",'Assumptions'!$B$4,$J478)),"")</f>
        <v/>
      </c>
      <c r="Y478" s="45">
        <f>IFERROR(IF($A478="","",$X478*IF($K478="",'Assumptions'!$B$12,$K478)),"")</f>
        <v/>
      </c>
      <c r="Z478" s="45">
        <f>IFERROR(IF($A478="","",($X478+$Y478)*IF($L478="",'Assumptions'!$B$13,$L478)),"")</f>
        <v/>
      </c>
      <c r="AA478" s="45">
        <f>IFERROR(IF($A478="","",$X478+$Y478+$Z478),"")</f>
        <v/>
      </c>
      <c r="AB478" s="45">
        <f>IFERROR(IF($A478="","",$V478*'Assumptions'!$B$5),"")</f>
        <v/>
      </c>
      <c r="AC478" s="45">
        <f>IFERROR(IF($A478="","",$I478*'Assumptions'!$B$6),"")</f>
        <v/>
      </c>
      <c r="AD478" s="45">
        <f>IFERROR(IF($A478="","",$AB478+$AC478),"")</f>
        <v/>
      </c>
      <c r="AE478" s="45">
        <f>IFERROR(IF($A478="","",($M478+$N478)*'Assumptions'!$B$7),"")</f>
        <v/>
      </c>
      <c r="AF478" s="45">
        <f>IFERROR(IF($A478="","",($Q478/60)*'Assumptions'!$B$8),"")</f>
        <v/>
      </c>
      <c r="AG478" s="45">
        <f>IFERROR(IF($A478="","",$P478+$AE478+$AF478),"")</f>
        <v/>
      </c>
      <c r="AH478" s="45">
        <f>IFERROR(IF($A478="","",$M478+$O478),"")</f>
        <v/>
      </c>
      <c r="AI478" s="46">
        <f>IFERROR(IF($A478="","",IFERROR($AH478/$W478,0)),"")</f>
        <v/>
      </c>
      <c r="AJ478" s="45">
        <f>IFERROR(IF($A478="","",$W478-$AH478-$AD478+$AG478),"")</f>
        <v/>
      </c>
      <c r="AK478" s="47">
        <f>IFERROR(IF($A478="","",IF(OR($S478="Collected",$S478="Waived",$S478="Uncollectible",$S478="No Charge Due"),"",IF($T478="",$B478+'Assumptions'!$B$9,$T478+'Assumptions'!$B$9))),"")</f>
        <v/>
      </c>
      <c r="AL478" s="48">
        <f>IFERROR(IF($A478="","",IF(OR($S478="Collected",$S478="Waived",$S478="Uncollectible",$S478="No Charge Due"),"Closed",IF($AK478&lt;TODAY(),"Overdue",IF($AK478=TODAY(),"Due","Open")))),"")</f>
        <v/>
      </c>
      <c r="AM478" s="49">
        <f>IFERROR(IF($A478="","",IF(COUNTIF($A$5:$A$504,$A478)&gt;1,"Duplicate reservation ID",IF($C478&lt;=$B478,"Check stay dates",IF($G478&gt;$F478,"Resold nights exceed booked nights",IF($M478+$N478&gt;$AA478+0.01,"Collection exceeds expected amount",IF(AND($S478="Collected",$M478=0),"Collected status has no amount",IF($AJ478&gt;='Assumptions'!$B$10,"High-cost review","OK"))))))),"")</f>
        <v/>
      </c>
    </row>
    <row r="479">
      <c r="A479" s="38" t="n"/>
      <c r="B479" s="39" t="n"/>
      <c r="C479" s="39" t="n"/>
      <c r="D479" s="38" t="n"/>
      <c r="E479" s="38" t="n"/>
      <c r="F479" s="40" t="n"/>
      <c r="G479" s="40" t="n"/>
      <c r="H479" s="41" t="n"/>
      <c r="I479" s="41" t="n"/>
      <c r="J479" s="42" t="n"/>
      <c r="K479" s="42" t="n"/>
      <c r="L479" s="42" t="n"/>
      <c r="M479" s="41" t="n"/>
      <c r="N479" s="41" t="n"/>
      <c r="O479" s="41" t="n"/>
      <c r="P479" s="41" t="n"/>
      <c r="Q479" s="40" t="n"/>
      <c r="R479" s="38" t="n"/>
      <c r="S479" s="38" t="n"/>
      <c r="T479" s="39" t="n"/>
      <c r="U479" s="43" t="n"/>
      <c r="V479" s="44">
        <f>IFERROR(IF($A479="","",MAX($F479-$G479,0)),"")</f>
        <v/>
      </c>
      <c r="W479" s="45">
        <f>IFERROR(IF($A479="","",$H479+$I479),"")</f>
        <v/>
      </c>
      <c r="X479" s="45">
        <f>IFERROR(IF($A479="","",$H479*IF($J479="",'Assumptions'!$B$4,$J479)),"")</f>
        <v/>
      </c>
      <c r="Y479" s="45">
        <f>IFERROR(IF($A479="","",$X479*IF($K479="",'Assumptions'!$B$12,$K479)),"")</f>
        <v/>
      </c>
      <c r="Z479" s="45">
        <f>IFERROR(IF($A479="","",($X479+$Y479)*IF($L479="",'Assumptions'!$B$13,$L479)),"")</f>
        <v/>
      </c>
      <c r="AA479" s="45">
        <f>IFERROR(IF($A479="","",$X479+$Y479+$Z479),"")</f>
        <v/>
      </c>
      <c r="AB479" s="45">
        <f>IFERROR(IF($A479="","",$V479*'Assumptions'!$B$5),"")</f>
        <v/>
      </c>
      <c r="AC479" s="45">
        <f>IFERROR(IF($A479="","",$I479*'Assumptions'!$B$6),"")</f>
        <v/>
      </c>
      <c r="AD479" s="45">
        <f>IFERROR(IF($A479="","",$AB479+$AC479),"")</f>
        <v/>
      </c>
      <c r="AE479" s="45">
        <f>IFERROR(IF($A479="","",($M479+$N479)*'Assumptions'!$B$7),"")</f>
        <v/>
      </c>
      <c r="AF479" s="45">
        <f>IFERROR(IF($A479="","",($Q479/60)*'Assumptions'!$B$8),"")</f>
        <v/>
      </c>
      <c r="AG479" s="45">
        <f>IFERROR(IF($A479="","",$P479+$AE479+$AF479),"")</f>
        <v/>
      </c>
      <c r="AH479" s="45">
        <f>IFERROR(IF($A479="","",$M479+$O479),"")</f>
        <v/>
      </c>
      <c r="AI479" s="46">
        <f>IFERROR(IF($A479="","",IFERROR($AH479/$W479,0)),"")</f>
        <v/>
      </c>
      <c r="AJ479" s="45">
        <f>IFERROR(IF($A479="","",$W479-$AH479-$AD479+$AG479),"")</f>
        <v/>
      </c>
      <c r="AK479" s="47">
        <f>IFERROR(IF($A479="","",IF(OR($S479="Collected",$S479="Waived",$S479="Uncollectible",$S479="No Charge Due"),"",IF($T479="",$B479+'Assumptions'!$B$9,$T479+'Assumptions'!$B$9))),"")</f>
        <v/>
      </c>
      <c r="AL479" s="48">
        <f>IFERROR(IF($A479="","",IF(OR($S479="Collected",$S479="Waived",$S479="Uncollectible",$S479="No Charge Due"),"Closed",IF($AK479&lt;TODAY(),"Overdue",IF($AK479=TODAY(),"Due","Open")))),"")</f>
        <v/>
      </c>
      <c r="AM479" s="49">
        <f>IFERROR(IF($A479="","",IF(COUNTIF($A$5:$A$504,$A479)&gt;1,"Duplicate reservation ID",IF($C479&lt;=$B479,"Check stay dates",IF($G479&gt;$F479,"Resold nights exceed booked nights",IF($M479+$N479&gt;$AA479+0.01,"Collection exceeds expected amount",IF(AND($S479="Collected",$M479=0),"Collected status has no amount",IF($AJ479&gt;='Assumptions'!$B$10,"High-cost review","OK"))))))),"")</f>
        <v/>
      </c>
    </row>
    <row r="480">
      <c r="A480" s="38" t="n"/>
      <c r="B480" s="39" t="n"/>
      <c r="C480" s="39" t="n"/>
      <c r="D480" s="38" t="n"/>
      <c r="E480" s="38" t="n"/>
      <c r="F480" s="40" t="n"/>
      <c r="G480" s="40" t="n"/>
      <c r="H480" s="41" t="n"/>
      <c r="I480" s="41" t="n"/>
      <c r="J480" s="42" t="n"/>
      <c r="K480" s="42" t="n"/>
      <c r="L480" s="42" t="n"/>
      <c r="M480" s="41" t="n"/>
      <c r="N480" s="41" t="n"/>
      <c r="O480" s="41" t="n"/>
      <c r="P480" s="41" t="n"/>
      <c r="Q480" s="40" t="n"/>
      <c r="R480" s="38" t="n"/>
      <c r="S480" s="38" t="n"/>
      <c r="T480" s="39" t="n"/>
      <c r="U480" s="43" t="n"/>
      <c r="V480" s="44">
        <f>IFERROR(IF($A480="","",MAX($F480-$G480,0)),"")</f>
        <v/>
      </c>
      <c r="W480" s="45">
        <f>IFERROR(IF($A480="","",$H480+$I480),"")</f>
        <v/>
      </c>
      <c r="X480" s="45">
        <f>IFERROR(IF($A480="","",$H480*IF($J480="",'Assumptions'!$B$4,$J480)),"")</f>
        <v/>
      </c>
      <c r="Y480" s="45">
        <f>IFERROR(IF($A480="","",$X480*IF($K480="",'Assumptions'!$B$12,$K480)),"")</f>
        <v/>
      </c>
      <c r="Z480" s="45">
        <f>IFERROR(IF($A480="","",($X480+$Y480)*IF($L480="",'Assumptions'!$B$13,$L480)),"")</f>
        <v/>
      </c>
      <c r="AA480" s="45">
        <f>IFERROR(IF($A480="","",$X480+$Y480+$Z480),"")</f>
        <v/>
      </c>
      <c r="AB480" s="45">
        <f>IFERROR(IF($A480="","",$V480*'Assumptions'!$B$5),"")</f>
        <v/>
      </c>
      <c r="AC480" s="45">
        <f>IFERROR(IF($A480="","",$I480*'Assumptions'!$B$6),"")</f>
        <v/>
      </c>
      <c r="AD480" s="45">
        <f>IFERROR(IF($A480="","",$AB480+$AC480),"")</f>
        <v/>
      </c>
      <c r="AE480" s="45">
        <f>IFERROR(IF($A480="","",($M480+$N480)*'Assumptions'!$B$7),"")</f>
        <v/>
      </c>
      <c r="AF480" s="45">
        <f>IFERROR(IF($A480="","",($Q480/60)*'Assumptions'!$B$8),"")</f>
        <v/>
      </c>
      <c r="AG480" s="45">
        <f>IFERROR(IF($A480="","",$P480+$AE480+$AF480),"")</f>
        <v/>
      </c>
      <c r="AH480" s="45">
        <f>IFERROR(IF($A480="","",$M480+$O480),"")</f>
        <v/>
      </c>
      <c r="AI480" s="46">
        <f>IFERROR(IF($A480="","",IFERROR($AH480/$W480,0)),"")</f>
        <v/>
      </c>
      <c r="AJ480" s="45">
        <f>IFERROR(IF($A480="","",$W480-$AH480-$AD480+$AG480),"")</f>
        <v/>
      </c>
      <c r="AK480" s="47">
        <f>IFERROR(IF($A480="","",IF(OR($S480="Collected",$S480="Waived",$S480="Uncollectible",$S480="No Charge Due"),"",IF($T480="",$B480+'Assumptions'!$B$9,$T480+'Assumptions'!$B$9))),"")</f>
        <v/>
      </c>
      <c r="AL480" s="48">
        <f>IFERROR(IF($A480="","",IF(OR($S480="Collected",$S480="Waived",$S480="Uncollectible",$S480="No Charge Due"),"Closed",IF($AK480&lt;TODAY(),"Overdue",IF($AK480=TODAY(),"Due","Open")))),"")</f>
        <v/>
      </c>
      <c r="AM480" s="49">
        <f>IFERROR(IF($A480="","",IF(COUNTIF($A$5:$A$504,$A480)&gt;1,"Duplicate reservation ID",IF($C480&lt;=$B480,"Check stay dates",IF($G480&gt;$F480,"Resold nights exceed booked nights",IF($M480+$N480&gt;$AA480+0.01,"Collection exceeds expected amount",IF(AND($S480="Collected",$M480=0),"Collected status has no amount",IF($AJ480&gt;='Assumptions'!$B$10,"High-cost review","OK"))))))),"")</f>
        <v/>
      </c>
    </row>
    <row r="481">
      <c r="A481" s="38" t="n"/>
      <c r="B481" s="39" t="n"/>
      <c r="C481" s="39" t="n"/>
      <c r="D481" s="38" t="n"/>
      <c r="E481" s="38" t="n"/>
      <c r="F481" s="40" t="n"/>
      <c r="G481" s="40" t="n"/>
      <c r="H481" s="41" t="n"/>
      <c r="I481" s="41" t="n"/>
      <c r="J481" s="42" t="n"/>
      <c r="K481" s="42" t="n"/>
      <c r="L481" s="42" t="n"/>
      <c r="M481" s="41" t="n"/>
      <c r="N481" s="41" t="n"/>
      <c r="O481" s="41" t="n"/>
      <c r="P481" s="41" t="n"/>
      <c r="Q481" s="40" t="n"/>
      <c r="R481" s="38" t="n"/>
      <c r="S481" s="38" t="n"/>
      <c r="T481" s="39" t="n"/>
      <c r="U481" s="43" t="n"/>
      <c r="V481" s="44">
        <f>IFERROR(IF($A481="","",MAX($F481-$G481,0)),"")</f>
        <v/>
      </c>
      <c r="W481" s="45">
        <f>IFERROR(IF($A481="","",$H481+$I481),"")</f>
        <v/>
      </c>
      <c r="X481" s="45">
        <f>IFERROR(IF($A481="","",$H481*IF($J481="",'Assumptions'!$B$4,$J481)),"")</f>
        <v/>
      </c>
      <c r="Y481" s="45">
        <f>IFERROR(IF($A481="","",$X481*IF($K481="",'Assumptions'!$B$12,$K481)),"")</f>
        <v/>
      </c>
      <c r="Z481" s="45">
        <f>IFERROR(IF($A481="","",($X481+$Y481)*IF($L481="",'Assumptions'!$B$13,$L481)),"")</f>
        <v/>
      </c>
      <c r="AA481" s="45">
        <f>IFERROR(IF($A481="","",$X481+$Y481+$Z481),"")</f>
        <v/>
      </c>
      <c r="AB481" s="45">
        <f>IFERROR(IF($A481="","",$V481*'Assumptions'!$B$5),"")</f>
        <v/>
      </c>
      <c r="AC481" s="45">
        <f>IFERROR(IF($A481="","",$I481*'Assumptions'!$B$6),"")</f>
        <v/>
      </c>
      <c r="AD481" s="45">
        <f>IFERROR(IF($A481="","",$AB481+$AC481),"")</f>
        <v/>
      </c>
      <c r="AE481" s="45">
        <f>IFERROR(IF($A481="","",($M481+$N481)*'Assumptions'!$B$7),"")</f>
        <v/>
      </c>
      <c r="AF481" s="45">
        <f>IFERROR(IF($A481="","",($Q481/60)*'Assumptions'!$B$8),"")</f>
        <v/>
      </c>
      <c r="AG481" s="45">
        <f>IFERROR(IF($A481="","",$P481+$AE481+$AF481),"")</f>
        <v/>
      </c>
      <c r="AH481" s="45">
        <f>IFERROR(IF($A481="","",$M481+$O481),"")</f>
        <v/>
      </c>
      <c r="AI481" s="46">
        <f>IFERROR(IF($A481="","",IFERROR($AH481/$W481,0)),"")</f>
        <v/>
      </c>
      <c r="AJ481" s="45">
        <f>IFERROR(IF($A481="","",$W481-$AH481-$AD481+$AG481),"")</f>
        <v/>
      </c>
      <c r="AK481" s="47">
        <f>IFERROR(IF($A481="","",IF(OR($S481="Collected",$S481="Waived",$S481="Uncollectible",$S481="No Charge Due"),"",IF($T481="",$B481+'Assumptions'!$B$9,$T481+'Assumptions'!$B$9))),"")</f>
        <v/>
      </c>
      <c r="AL481" s="48">
        <f>IFERROR(IF($A481="","",IF(OR($S481="Collected",$S481="Waived",$S481="Uncollectible",$S481="No Charge Due"),"Closed",IF($AK481&lt;TODAY(),"Overdue",IF($AK481=TODAY(),"Due","Open")))),"")</f>
        <v/>
      </c>
      <c r="AM481" s="49">
        <f>IFERROR(IF($A481="","",IF(COUNTIF($A$5:$A$504,$A481)&gt;1,"Duplicate reservation ID",IF($C481&lt;=$B481,"Check stay dates",IF($G481&gt;$F481,"Resold nights exceed booked nights",IF($M481+$N481&gt;$AA481+0.01,"Collection exceeds expected amount",IF(AND($S481="Collected",$M481=0),"Collected status has no amount",IF($AJ481&gt;='Assumptions'!$B$10,"High-cost review","OK"))))))),"")</f>
        <v/>
      </c>
    </row>
    <row r="482">
      <c r="A482" s="38" t="n"/>
      <c r="B482" s="39" t="n"/>
      <c r="C482" s="39" t="n"/>
      <c r="D482" s="38" t="n"/>
      <c r="E482" s="38" t="n"/>
      <c r="F482" s="40" t="n"/>
      <c r="G482" s="40" t="n"/>
      <c r="H482" s="41" t="n"/>
      <c r="I482" s="41" t="n"/>
      <c r="J482" s="42" t="n"/>
      <c r="K482" s="42" t="n"/>
      <c r="L482" s="42" t="n"/>
      <c r="M482" s="41" t="n"/>
      <c r="N482" s="41" t="n"/>
      <c r="O482" s="41" t="n"/>
      <c r="P482" s="41" t="n"/>
      <c r="Q482" s="40" t="n"/>
      <c r="R482" s="38" t="n"/>
      <c r="S482" s="38" t="n"/>
      <c r="T482" s="39" t="n"/>
      <c r="U482" s="43" t="n"/>
      <c r="V482" s="44">
        <f>IFERROR(IF($A482="","",MAX($F482-$G482,0)),"")</f>
        <v/>
      </c>
      <c r="W482" s="45">
        <f>IFERROR(IF($A482="","",$H482+$I482),"")</f>
        <v/>
      </c>
      <c r="X482" s="45">
        <f>IFERROR(IF($A482="","",$H482*IF($J482="",'Assumptions'!$B$4,$J482)),"")</f>
        <v/>
      </c>
      <c r="Y482" s="45">
        <f>IFERROR(IF($A482="","",$X482*IF($K482="",'Assumptions'!$B$12,$K482)),"")</f>
        <v/>
      </c>
      <c r="Z482" s="45">
        <f>IFERROR(IF($A482="","",($X482+$Y482)*IF($L482="",'Assumptions'!$B$13,$L482)),"")</f>
        <v/>
      </c>
      <c r="AA482" s="45">
        <f>IFERROR(IF($A482="","",$X482+$Y482+$Z482),"")</f>
        <v/>
      </c>
      <c r="AB482" s="45">
        <f>IFERROR(IF($A482="","",$V482*'Assumptions'!$B$5),"")</f>
        <v/>
      </c>
      <c r="AC482" s="45">
        <f>IFERROR(IF($A482="","",$I482*'Assumptions'!$B$6),"")</f>
        <v/>
      </c>
      <c r="AD482" s="45">
        <f>IFERROR(IF($A482="","",$AB482+$AC482),"")</f>
        <v/>
      </c>
      <c r="AE482" s="45">
        <f>IFERROR(IF($A482="","",($M482+$N482)*'Assumptions'!$B$7),"")</f>
        <v/>
      </c>
      <c r="AF482" s="45">
        <f>IFERROR(IF($A482="","",($Q482/60)*'Assumptions'!$B$8),"")</f>
        <v/>
      </c>
      <c r="AG482" s="45">
        <f>IFERROR(IF($A482="","",$P482+$AE482+$AF482),"")</f>
        <v/>
      </c>
      <c r="AH482" s="45">
        <f>IFERROR(IF($A482="","",$M482+$O482),"")</f>
        <v/>
      </c>
      <c r="AI482" s="46">
        <f>IFERROR(IF($A482="","",IFERROR($AH482/$W482,0)),"")</f>
        <v/>
      </c>
      <c r="AJ482" s="45">
        <f>IFERROR(IF($A482="","",$W482-$AH482-$AD482+$AG482),"")</f>
        <v/>
      </c>
      <c r="AK482" s="47">
        <f>IFERROR(IF($A482="","",IF(OR($S482="Collected",$S482="Waived",$S482="Uncollectible",$S482="No Charge Due"),"",IF($T482="",$B482+'Assumptions'!$B$9,$T482+'Assumptions'!$B$9))),"")</f>
        <v/>
      </c>
      <c r="AL482" s="48">
        <f>IFERROR(IF($A482="","",IF(OR($S482="Collected",$S482="Waived",$S482="Uncollectible",$S482="No Charge Due"),"Closed",IF($AK482&lt;TODAY(),"Overdue",IF($AK482=TODAY(),"Due","Open")))),"")</f>
        <v/>
      </c>
      <c r="AM482" s="49">
        <f>IFERROR(IF($A482="","",IF(COUNTIF($A$5:$A$504,$A482)&gt;1,"Duplicate reservation ID",IF($C482&lt;=$B482,"Check stay dates",IF($G482&gt;$F482,"Resold nights exceed booked nights",IF($M482+$N482&gt;$AA482+0.01,"Collection exceeds expected amount",IF(AND($S482="Collected",$M482=0),"Collected status has no amount",IF($AJ482&gt;='Assumptions'!$B$10,"High-cost review","OK"))))))),"")</f>
        <v/>
      </c>
    </row>
    <row r="483">
      <c r="A483" s="38" t="n"/>
      <c r="B483" s="39" t="n"/>
      <c r="C483" s="39" t="n"/>
      <c r="D483" s="38" t="n"/>
      <c r="E483" s="38" t="n"/>
      <c r="F483" s="40" t="n"/>
      <c r="G483" s="40" t="n"/>
      <c r="H483" s="41" t="n"/>
      <c r="I483" s="41" t="n"/>
      <c r="J483" s="42" t="n"/>
      <c r="K483" s="42" t="n"/>
      <c r="L483" s="42" t="n"/>
      <c r="M483" s="41" t="n"/>
      <c r="N483" s="41" t="n"/>
      <c r="O483" s="41" t="n"/>
      <c r="P483" s="41" t="n"/>
      <c r="Q483" s="40" t="n"/>
      <c r="R483" s="38" t="n"/>
      <c r="S483" s="38" t="n"/>
      <c r="T483" s="39" t="n"/>
      <c r="U483" s="43" t="n"/>
      <c r="V483" s="44">
        <f>IFERROR(IF($A483="","",MAX($F483-$G483,0)),"")</f>
        <v/>
      </c>
      <c r="W483" s="45">
        <f>IFERROR(IF($A483="","",$H483+$I483),"")</f>
        <v/>
      </c>
      <c r="X483" s="45">
        <f>IFERROR(IF($A483="","",$H483*IF($J483="",'Assumptions'!$B$4,$J483)),"")</f>
        <v/>
      </c>
      <c r="Y483" s="45">
        <f>IFERROR(IF($A483="","",$X483*IF($K483="",'Assumptions'!$B$12,$K483)),"")</f>
        <v/>
      </c>
      <c r="Z483" s="45">
        <f>IFERROR(IF($A483="","",($X483+$Y483)*IF($L483="",'Assumptions'!$B$13,$L483)),"")</f>
        <v/>
      </c>
      <c r="AA483" s="45">
        <f>IFERROR(IF($A483="","",$X483+$Y483+$Z483),"")</f>
        <v/>
      </c>
      <c r="AB483" s="45">
        <f>IFERROR(IF($A483="","",$V483*'Assumptions'!$B$5),"")</f>
        <v/>
      </c>
      <c r="AC483" s="45">
        <f>IFERROR(IF($A483="","",$I483*'Assumptions'!$B$6),"")</f>
        <v/>
      </c>
      <c r="AD483" s="45">
        <f>IFERROR(IF($A483="","",$AB483+$AC483),"")</f>
        <v/>
      </c>
      <c r="AE483" s="45">
        <f>IFERROR(IF($A483="","",($M483+$N483)*'Assumptions'!$B$7),"")</f>
        <v/>
      </c>
      <c r="AF483" s="45">
        <f>IFERROR(IF($A483="","",($Q483/60)*'Assumptions'!$B$8),"")</f>
        <v/>
      </c>
      <c r="AG483" s="45">
        <f>IFERROR(IF($A483="","",$P483+$AE483+$AF483),"")</f>
        <v/>
      </c>
      <c r="AH483" s="45">
        <f>IFERROR(IF($A483="","",$M483+$O483),"")</f>
        <v/>
      </c>
      <c r="AI483" s="46">
        <f>IFERROR(IF($A483="","",IFERROR($AH483/$W483,0)),"")</f>
        <v/>
      </c>
      <c r="AJ483" s="45">
        <f>IFERROR(IF($A483="","",$W483-$AH483-$AD483+$AG483),"")</f>
        <v/>
      </c>
      <c r="AK483" s="47">
        <f>IFERROR(IF($A483="","",IF(OR($S483="Collected",$S483="Waived",$S483="Uncollectible",$S483="No Charge Due"),"",IF($T483="",$B483+'Assumptions'!$B$9,$T483+'Assumptions'!$B$9))),"")</f>
        <v/>
      </c>
      <c r="AL483" s="48">
        <f>IFERROR(IF($A483="","",IF(OR($S483="Collected",$S483="Waived",$S483="Uncollectible",$S483="No Charge Due"),"Closed",IF($AK483&lt;TODAY(),"Overdue",IF($AK483=TODAY(),"Due","Open")))),"")</f>
        <v/>
      </c>
      <c r="AM483" s="49">
        <f>IFERROR(IF($A483="","",IF(COUNTIF($A$5:$A$504,$A483)&gt;1,"Duplicate reservation ID",IF($C483&lt;=$B483,"Check stay dates",IF($G483&gt;$F483,"Resold nights exceed booked nights",IF($M483+$N483&gt;$AA483+0.01,"Collection exceeds expected amount",IF(AND($S483="Collected",$M483=0),"Collected status has no amount",IF($AJ483&gt;='Assumptions'!$B$10,"High-cost review","OK"))))))),"")</f>
        <v/>
      </c>
    </row>
    <row r="484">
      <c r="A484" s="38" t="n"/>
      <c r="B484" s="39" t="n"/>
      <c r="C484" s="39" t="n"/>
      <c r="D484" s="38" t="n"/>
      <c r="E484" s="38" t="n"/>
      <c r="F484" s="40" t="n"/>
      <c r="G484" s="40" t="n"/>
      <c r="H484" s="41" t="n"/>
      <c r="I484" s="41" t="n"/>
      <c r="J484" s="42" t="n"/>
      <c r="K484" s="42" t="n"/>
      <c r="L484" s="42" t="n"/>
      <c r="M484" s="41" t="n"/>
      <c r="N484" s="41" t="n"/>
      <c r="O484" s="41" t="n"/>
      <c r="P484" s="41" t="n"/>
      <c r="Q484" s="40" t="n"/>
      <c r="R484" s="38" t="n"/>
      <c r="S484" s="38" t="n"/>
      <c r="T484" s="39" t="n"/>
      <c r="U484" s="43" t="n"/>
      <c r="V484" s="44">
        <f>IFERROR(IF($A484="","",MAX($F484-$G484,0)),"")</f>
        <v/>
      </c>
      <c r="W484" s="45">
        <f>IFERROR(IF($A484="","",$H484+$I484),"")</f>
        <v/>
      </c>
      <c r="X484" s="45">
        <f>IFERROR(IF($A484="","",$H484*IF($J484="",'Assumptions'!$B$4,$J484)),"")</f>
        <v/>
      </c>
      <c r="Y484" s="45">
        <f>IFERROR(IF($A484="","",$X484*IF($K484="",'Assumptions'!$B$12,$K484)),"")</f>
        <v/>
      </c>
      <c r="Z484" s="45">
        <f>IFERROR(IF($A484="","",($X484+$Y484)*IF($L484="",'Assumptions'!$B$13,$L484)),"")</f>
        <v/>
      </c>
      <c r="AA484" s="45">
        <f>IFERROR(IF($A484="","",$X484+$Y484+$Z484),"")</f>
        <v/>
      </c>
      <c r="AB484" s="45">
        <f>IFERROR(IF($A484="","",$V484*'Assumptions'!$B$5),"")</f>
        <v/>
      </c>
      <c r="AC484" s="45">
        <f>IFERROR(IF($A484="","",$I484*'Assumptions'!$B$6),"")</f>
        <v/>
      </c>
      <c r="AD484" s="45">
        <f>IFERROR(IF($A484="","",$AB484+$AC484),"")</f>
        <v/>
      </c>
      <c r="AE484" s="45">
        <f>IFERROR(IF($A484="","",($M484+$N484)*'Assumptions'!$B$7),"")</f>
        <v/>
      </c>
      <c r="AF484" s="45">
        <f>IFERROR(IF($A484="","",($Q484/60)*'Assumptions'!$B$8),"")</f>
        <v/>
      </c>
      <c r="AG484" s="45">
        <f>IFERROR(IF($A484="","",$P484+$AE484+$AF484),"")</f>
        <v/>
      </c>
      <c r="AH484" s="45">
        <f>IFERROR(IF($A484="","",$M484+$O484),"")</f>
        <v/>
      </c>
      <c r="AI484" s="46">
        <f>IFERROR(IF($A484="","",IFERROR($AH484/$W484,0)),"")</f>
        <v/>
      </c>
      <c r="AJ484" s="45">
        <f>IFERROR(IF($A484="","",$W484-$AH484-$AD484+$AG484),"")</f>
        <v/>
      </c>
      <c r="AK484" s="47">
        <f>IFERROR(IF($A484="","",IF(OR($S484="Collected",$S484="Waived",$S484="Uncollectible",$S484="No Charge Due"),"",IF($T484="",$B484+'Assumptions'!$B$9,$T484+'Assumptions'!$B$9))),"")</f>
        <v/>
      </c>
      <c r="AL484" s="48">
        <f>IFERROR(IF($A484="","",IF(OR($S484="Collected",$S484="Waived",$S484="Uncollectible",$S484="No Charge Due"),"Closed",IF($AK484&lt;TODAY(),"Overdue",IF($AK484=TODAY(),"Due","Open")))),"")</f>
        <v/>
      </c>
      <c r="AM484" s="49">
        <f>IFERROR(IF($A484="","",IF(COUNTIF($A$5:$A$504,$A484)&gt;1,"Duplicate reservation ID",IF($C484&lt;=$B484,"Check stay dates",IF($G484&gt;$F484,"Resold nights exceed booked nights",IF($M484+$N484&gt;$AA484+0.01,"Collection exceeds expected amount",IF(AND($S484="Collected",$M484=0),"Collected status has no amount",IF($AJ484&gt;='Assumptions'!$B$10,"High-cost review","OK"))))))),"")</f>
        <v/>
      </c>
    </row>
    <row r="485">
      <c r="A485" s="38" t="n"/>
      <c r="B485" s="39" t="n"/>
      <c r="C485" s="39" t="n"/>
      <c r="D485" s="38" t="n"/>
      <c r="E485" s="38" t="n"/>
      <c r="F485" s="40" t="n"/>
      <c r="G485" s="40" t="n"/>
      <c r="H485" s="41" t="n"/>
      <c r="I485" s="41" t="n"/>
      <c r="J485" s="42" t="n"/>
      <c r="K485" s="42" t="n"/>
      <c r="L485" s="42" t="n"/>
      <c r="M485" s="41" t="n"/>
      <c r="N485" s="41" t="n"/>
      <c r="O485" s="41" t="n"/>
      <c r="P485" s="41" t="n"/>
      <c r="Q485" s="40" t="n"/>
      <c r="R485" s="38" t="n"/>
      <c r="S485" s="38" t="n"/>
      <c r="T485" s="39" t="n"/>
      <c r="U485" s="43" t="n"/>
      <c r="V485" s="44">
        <f>IFERROR(IF($A485="","",MAX($F485-$G485,0)),"")</f>
        <v/>
      </c>
      <c r="W485" s="45">
        <f>IFERROR(IF($A485="","",$H485+$I485),"")</f>
        <v/>
      </c>
      <c r="X485" s="45">
        <f>IFERROR(IF($A485="","",$H485*IF($J485="",'Assumptions'!$B$4,$J485)),"")</f>
        <v/>
      </c>
      <c r="Y485" s="45">
        <f>IFERROR(IF($A485="","",$X485*IF($K485="",'Assumptions'!$B$12,$K485)),"")</f>
        <v/>
      </c>
      <c r="Z485" s="45">
        <f>IFERROR(IF($A485="","",($X485+$Y485)*IF($L485="",'Assumptions'!$B$13,$L485)),"")</f>
        <v/>
      </c>
      <c r="AA485" s="45">
        <f>IFERROR(IF($A485="","",$X485+$Y485+$Z485),"")</f>
        <v/>
      </c>
      <c r="AB485" s="45">
        <f>IFERROR(IF($A485="","",$V485*'Assumptions'!$B$5),"")</f>
        <v/>
      </c>
      <c r="AC485" s="45">
        <f>IFERROR(IF($A485="","",$I485*'Assumptions'!$B$6),"")</f>
        <v/>
      </c>
      <c r="AD485" s="45">
        <f>IFERROR(IF($A485="","",$AB485+$AC485),"")</f>
        <v/>
      </c>
      <c r="AE485" s="45">
        <f>IFERROR(IF($A485="","",($M485+$N485)*'Assumptions'!$B$7),"")</f>
        <v/>
      </c>
      <c r="AF485" s="45">
        <f>IFERROR(IF($A485="","",($Q485/60)*'Assumptions'!$B$8),"")</f>
        <v/>
      </c>
      <c r="AG485" s="45">
        <f>IFERROR(IF($A485="","",$P485+$AE485+$AF485),"")</f>
        <v/>
      </c>
      <c r="AH485" s="45">
        <f>IFERROR(IF($A485="","",$M485+$O485),"")</f>
        <v/>
      </c>
      <c r="AI485" s="46">
        <f>IFERROR(IF($A485="","",IFERROR($AH485/$W485,0)),"")</f>
        <v/>
      </c>
      <c r="AJ485" s="45">
        <f>IFERROR(IF($A485="","",$W485-$AH485-$AD485+$AG485),"")</f>
        <v/>
      </c>
      <c r="AK485" s="47">
        <f>IFERROR(IF($A485="","",IF(OR($S485="Collected",$S485="Waived",$S485="Uncollectible",$S485="No Charge Due"),"",IF($T485="",$B485+'Assumptions'!$B$9,$T485+'Assumptions'!$B$9))),"")</f>
        <v/>
      </c>
      <c r="AL485" s="48">
        <f>IFERROR(IF($A485="","",IF(OR($S485="Collected",$S485="Waived",$S485="Uncollectible",$S485="No Charge Due"),"Closed",IF($AK485&lt;TODAY(),"Overdue",IF($AK485=TODAY(),"Due","Open")))),"")</f>
        <v/>
      </c>
      <c r="AM485" s="49">
        <f>IFERROR(IF($A485="","",IF(COUNTIF($A$5:$A$504,$A485)&gt;1,"Duplicate reservation ID",IF($C485&lt;=$B485,"Check stay dates",IF($G485&gt;$F485,"Resold nights exceed booked nights",IF($M485+$N485&gt;$AA485+0.01,"Collection exceeds expected amount",IF(AND($S485="Collected",$M485=0),"Collected status has no amount",IF($AJ485&gt;='Assumptions'!$B$10,"High-cost review","OK"))))))),"")</f>
        <v/>
      </c>
    </row>
    <row r="486">
      <c r="A486" s="38" t="n"/>
      <c r="B486" s="39" t="n"/>
      <c r="C486" s="39" t="n"/>
      <c r="D486" s="38" t="n"/>
      <c r="E486" s="38" t="n"/>
      <c r="F486" s="40" t="n"/>
      <c r="G486" s="40" t="n"/>
      <c r="H486" s="41" t="n"/>
      <c r="I486" s="41" t="n"/>
      <c r="J486" s="42" t="n"/>
      <c r="K486" s="42" t="n"/>
      <c r="L486" s="42" t="n"/>
      <c r="M486" s="41" t="n"/>
      <c r="N486" s="41" t="n"/>
      <c r="O486" s="41" t="n"/>
      <c r="P486" s="41" t="n"/>
      <c r="Q486" s="40" t="n"/>
      <c r="R486" s="38" t="n"/>
      <c r="S486" s="38" t="n"/>
      <c r="T486" s="39" t="n"/>
      <c r="U486" s="43" t="n"/>
      <c r="V486" s="44">
        <f>IFERROR(IF($A486="","",MAX($F486-$G486,0)),"")</f>
        <v/>
      </c>
      <c r="W486" s="45">
        <f>IFERROR(IF($A486="","",$H486+$I486),"")</f>
        <v/>
      </c>
      <c r="X486" s="45">
        <f>IFERROR(IF($A486="","",$H486*IF($J486="",'Assumptions'!$B$4,$J486)),"")</f>
        <v/>
      </c>
      <c r="Y486" s="45">
        <f>IFERROR(IF($A486="","",$X486*IF($K486="",'Assumptions'!$B$12,$K486)),"")</f>
        <v/>
      </c>
      <c r="Z486" s="45">
        <f>IFERROR(IF($A486="","",($X486+$Y486)*IF($L486="",'Assumptions'!$B$13,$L486)),"")</f>
        <v/>
      </c>
      <c r="AA486" s="45">
        <f>IFERROR(IF($A486="","",$X486+$Y486+$Z486),"")</f>
        <v/>
      </c>
      <c r="AB486" s="45">
        <f>IFERROR(IF($A486="","",$V486*'Assumptions'!$B$5),"")</f>
        <v/>
      </c>
      <c r="AC486" s="45">
        <f>IFERROR(IF($A486="","",$I486*'Assumptions'!$B$6),"")</f>
        <v/>
      </c>
      <c r="AD486" s="45">
        <f>IFERROR(IF($A486="","",$AB486+$AC486),"")</f>
        <v/>
      </c>
      <c r="AE486" s="45">
        <f>IFERROR(IF($A486="","",($M486+$N486)*'Assumptions'!$B$7),"")</f>
        <v/>
      </c>
      <c r="AF486" s="45">
        <f>IFERROR(IF($A486="","",($Q486/60)*'Assumptions'!$B$8),"")</f>
        <v/>
      </c>
      <c r="AG486" s="45">
        <f>IFERROR(IF($A486="","",$P486+$AE486+$AF486),"")</f>
        <v/>
      </c>
      <c r="AH486" s="45">
        <f>IFERROR(IF($A486="","",$M486+$O486),"")</f>
        <v/>
      </c>
      <c r="AI486" s="46">
        <f>IFERROR(IF($A486="","",IFERROR($AH486/$W486,0)),"")</f>
        <v/>
      </c>
      <c r="AJ486" s="45">
        <f>IFERROR(IF($A486="","",$W486-$AH486-$AD486+$AG486),"")</f>
        <v/>
      </c>
      <c r="AK486" s="47">
        <f>IFERROR(IF($A486="","",IF(OR($S486="Collected",$S486="Waived",$S486="Uncollectible",$S486="No Charge Due"),"",IF($T486="",$B486+'Assumptions'!$B$9,$T486+'Assumptions'!$B$9))),"")</f>
        <v/>
      </c>
      <c r="AL486" s="48">
        <f>IFERROR(IF($A486="","",IF(OR($S486="Collected",$S486="Waived",$S486="Uncollectible",$S486="No Charge Due"),"Closed",IF($AK486&lt;TODAY(),"Overdue",IF($AK486=TODAY(),"Due","Open")))),"")</f>
        <v/>
      </c>
      <c r="AM486" s="49">
        <f>IFERROR(IF($A486="","",IF(COUNTIF($A$5:$A$504,$A486)&gt;1,"Duplicate reservation ID",IF($C486&lt;=$B486,"Check stay dates",IF($G486&gt;$F486,"Resold nights exceed booked nights",IF($M486+$N486&gt;$AA486+0.01,"Collection exceeds expected amount",IF(AND($S486="Collected",$M486=0),"Collected status has no amount",IF($AJ486&gt;='Assumptions'!$B$10,"High-cost review","OK"))))))),"")</f>
        <v/>
      </c>
    </row>
    <row r="487">
      <c r="A487" s="38" t="n"/>
      <c r="B487" s="39" t="n"/>
      <c r="C487" s="39" t="n"/>
      <c r="D487" s="38" t="n"/>
      <c r="E487" s="38" t="n"/>
      <c r="F487" s="40" t="n"/>
      <c r="G487" s="40" t="n"/>
      <c r="H487" s="41" t="n"/>
      <c r="I487" s="41" t="n"/>
      <c r="J487" s="42" t="n"/>
      <c r="K487" s="42" t="n"/>
      <c r="L487" s="42" t="n"/>
      <c r="M487" s="41" t="n"/>
      <c r="N487" s="41" t="n"/>
      <c r="O487" s="41" t="n"/>
      <c r="P487" s="41" t="n"/>
      <c r="Q487" s="40" t="n"/>
      <c r="R487" s="38" t="n"/>
      <c r="S487" s="38" t="n"/>
      <c r="T487" s="39" t="n"/>
      <c r="U487" s="43" t="n"/>
      <c r="V487" s="44">
        <f>IFERROR(IF($A487="","",MAX($F487-$G487,0)),"")</f>
        <v/>
      </c>
      <c r="W487" s="45">
        <f>IFERROR(IF($A487="","",$H487+$I487),"")</f>
        <v/>
      </c>
      <c r="X487" s="45">
        <f>IFERROR(IF($A487="","",$H487*IF($J487="",'Assumptions'!$B$4,$J487)),"")</f>
        <v/>
      </c>
      <c r="Y487" s="45">
        <f>IFERROR(IF($A487="","",$X487*IF($K487="",'Assumptions'!$B$12,$K487)),"")</f>
        <v/>
      </c>
      <c r="Z487" s="45">
        <f>IFERROR(IF($A487="","",($X487+$Y487)*IF($L487="",'Assumptions'!$B$13,$L487)),"")</f>
        <v/>
      </c>
      <c r="AA487" s="45">
        <f>IFERROR(IF($A487="","",$X487+$Y487+$Z487),"")</f>
        <v/>
      </c>
      <c r="AB487" s="45">
        <f>IFERROR(IF($A487="","",$V487*'Assumptions'!$B$5),"")</f>
        <v/>
      </c>
      <c r="AC487" s="45">
        <f>IFERROR(IF($A487="","",$I487*'Assumptions'!$B$6),"")</f>
        <v/>
      </c>
      <c r="AD487" s="45">
        <f>IFERROR(IF($A487="","",$AB487+$AC487),"")</f>
        <v/>
      </c>
      <c r="AE487" s="45">
        <f>IFERROR(IF($A487="","",($M487+$N487)*'Assumptions'!$B$7),"")</f>
        <v/>
      </c>
      <c r="AF487" s="45">
        <f>IFERROR(IF($A487="","",($Q487/60)*'Assumptions'!$B$8),"")</f>
        <v/>
      </c>
      <c r="AG487" s="45">
        <f>IFERROR(IF($A487="","",$P487+$AE487+$AF487),"")</f>
        <v/>
      </c>
      <c r="AH487" s="45">
        <f>IFERROR(IF($A487="","",$M487+$O487),"")</f>
        <v/>
      </c>
      <c r="AI487" s="46">
        <f>IFERROR(IF($A487="","",IFERROR($AH487/$W487,0)),"")</f>
        <v/>
      </c>
      <c r="AJ487" s="45">
        <f>IFERROR(IF($A487="","",$W487-$AH487-$AD487+$AG487),"")</f>
        <v/>
      </c>
      <c r="AK487" s="47">
        <f>IFERROR(IF($A487="","",IF(OR($S487="Collected",$S487="Waived",$S487="Uncollectible",$S487="No Charge Due"),"",IF($T487="",$B487+'Assumptions'!$B$9,$T487+'Assumptions'!$B$9))),"")</f>
        <v/>
      </c>
      <c r="AL487" s="48">
        <f>IFERROR(IF($A487="","",IF(OR($S487="Collected",$S487="Waived",$S487="Uncollectible",$S487="No Charge Due"),"Closed",IF($AK487&lt;TODAY(),"Overdue",IF($AK487=TODAY(),"Due","Open")))),"")</f>
        <v/>
      </c>
      <c r="AM487" s="49">
        <f>IFERROR(IF($A487="","",IF(COUNTIF($A$5:$A$504,$A487)&gt;1,"Duplicate reservation ID",IF($C487&lt;=$B487,"Check stay dates",IF($G487&gt;$F487,"Resold nights exceed booked nights",IF($M487+$N487&gt;$AA487+0.01,"Collection exceeds expected amount",IF(AND($S487="Collected",$M487=0),"Collected status has no amount",IF($AJ487&gt;='Assumptions'!$B$10,"High-cost review","OK"))))))),"")</f>
        <v/>
      </c>
    </row>
    <row r="488">
      <c r="A488" s="38" t="n"/>
      <c r="B488" s="39" t="n"/>
      <c r="C488" s="39" t="n"/>
      <c r="D488" s="38" t="n"/>
      <c r="E488" s="38" t="n"/>
      <c r="F488" s="40" t="n"/>
      <c r="G488" s="40" t="n"/>
      <c r="H488" s="41" t="n"/>
      <c r="I488" s="41" t="n"/>
      <c r="J488" s="42" t="n"/>
      <c r="K488" s="42" t="n"/>
      <c r="L488" s="42" t="n"/>
      <c r="M488" s="41" t="n"/>
      <c r="N488" s="41" t="n"/>
      <c r="O488" s="41" t="n"/>
      <c r="P488" s="41" t="n"/>
      <c r="Q488" s="40" t="n"/>
      <c r="R488" s="38" t="n"/>
      <c r="S488" s="38" t="n"/>
      <c r="T488" s="39" t="n"/>
      <c r="U488" s="43" t="n"/>
      <c r="V488" s="44">
        <f>IFERROR(IF($A488="","",MAX($F488-$G488,0)),"")</f>
        <v/>
      </c>
      <c r="W488" s="45">
        <f>IFERROR(IF($A488="","",$H488+$I488),"")</f>
        <v/>
      </c>
      <c r="X488" s="45">
        <f>IFERROR(IF($A488="","",$H488*IF($J488="",'Assumptions'!$B$4,$J488)),"")</f>
        <v/>
      </c>
      <c r="Y488" s="45">
        <f>IFERROR(IF($A488="","",$X488*IF($K488="",'Assumptions'!$B$12,$K488)),"")</f>
        <v/>
      </c>
      <c r="Z488" s="45">
        <f>IFERROR(IF($A488="","",($X488+$Y488)*IF($L488="",'Assumptions'!$B$13,$L488)),"")</f>
        <v/>
      </c>
      <c r="AA488" s="45">
        <f>IFERROR(IF($A488="","",$X488+$Y488+$Z488),"")</f>
        <v/>
      </c>
      <c r="AB488" s="45">
        <f>IFERROR(IF($A488="","",$V488*'Assumptions'!$B$5),"")</f>
        <v/>
      </c>
      <c r="AC488" s="45">
        <f>IFERROR(IF($A488="","",$I488*'Assumptions'!$B$6),"")</f>
        <v/>
      </c>
      <c r="AD488" s="45">
        <f>IFERROR(IF($A488="","",$AB488+$AC488),"")</f>
        <v/>
      </c>
      <c r="AE488" s="45">
        <f>IFERROR(IF($A488="","",($M488+$N488)*'Assumptions'!$B$7),"")</f>
        <v/>
      </c>
      <c r="AF488" s="45">
        <f>IFERROR(IF($A488="","",($Q488/60)*'Assumptions'!$B$8),"")</f>
        <v/>
      </c>
      <c r="AG488" s="45">
        <f>IFERROR(IF($A488="","",$P488+$AE488+$AF488),"")</f>
        <v/>
      </c>
      <c r="AH488" s="45">
        <f>IFERROR(IF($A488="","",$M488+$O488),"")</f>
        <v/>
      </c>
      <c r="AI488" s="46">
        <f>IFERROR(IF($A488="","",IFERROR($AH488/$W488,0)),"")</f>
        <v/>
      </c>
      <c r="AJ488" s="45">
        <f>IFERROR(IF($A488="","",$W488-$AH488-$AD488+$AG488),"")</f>
        <v/>
      </c>
      <c r="AK488" s="47">
        <f>IFERROR(IF($A488="","",IF(OR($S488="Collected",$S488="Waived",$S488="Uncollectible",$S488="No Charge Due"),"",IF($T488="",$B488+'Assumptions'!$B$9,$T488+'Assumptions'!$B$9))),"")</f>
        <v/>
      </c>
      <c r="AL488" s="48">
        <f>IFERROR(IF($A488="","",IF(OR($S488="Collected",$S488="Waived",$S488="Uncollectible",$S488="No Charge Due"),"Closed",IF($AK488&lt;TODAY(),"Overdue",IF($AK488=TODAY(),"Due","Open")))),"")</f>
        <v/>
      </c>
      <c r="AM488" s="49">
        <f>IFERROR(IF($A488="","",IF(COUNTIF($A$5:$A$504,$A488)&gt;1,"Duplicate reservation ID",IF($C488&lt;=$B488,"Check stay dates",IF($G488&gt;$F488,"Resold nights exceed booked nights",IF($M488+$N488&gt;$AA488+0.01,"Collection exceeds expected amount",IF(AND($S488="Collected",$M488=0),"Collected status has no amount",IF($AJ488&gt;='Assumptions'!$B$10,"High-cost review","OK"))))))),"")</f>
        <v/>
      </c>
    </row>
    <row r="489">
      <c r="A489" s="38" t="n"/>
      <c r="B489" s="39" t="n"/>
      <c r="C489" s="39" t="n"/>
      <c r="D489" s="38" t="n"/>
      <c r="E489" s="38" t="n"/>
      <c r="F489" s="40" t="n"/>
      <c r="G489" s="40" t="n"/>
      <c r="H489" s="41" t="n"/>
      <c r="I489" s="41" t="n"/>
      <c r="J489" s="42" t="n"/>
      <c r="K489" s="42" t="n"/>
      <c r="L489" s="42" t="n"/>
      <c r="M489" s="41" t="n"/>
      <c r="N489" s="41" t="n"/>
      <c r="O489" s="41" t="n"/>
      <c r="P489" s="41" t="n"/>
      <c r="Q489" s="40" t="n"/>
      <c r="R489" s="38" t="n"/>
      <c r="S489" s="38" t="n"/>
      <c r="T489" s="39" t="n"/>
      <c r="U489" s="43" t="n"/>
      <c r="V489" s="44">
        <f>IFERROR(IF($A489="","",MAX($F489-$G489,0)),"")</f>
        <v/>
      </c>
      <c r="W489" s="45">
        <f>IFERROR(IF($A489="","",$H489+$I489),"")</f>
        <v/>
      </c>
      <c r="X489" s="45">
        <f>IFERROR(IF($A489="","",$H489*IF($J489="",'Assumptions'!$B$4,$J489)),"")</f>
        <v/>
      </c>
      <c r="Y489" s="45">
        <f>IFERROR(IF($A489="","",$X489*IF($K489="",'Assumptions'!$B$12,$K489)),"")</f>
        <v/>
      </c>
      <c r="Z489" s="45">
        <f>IFERROR(IF($A489="","",($X489+$Y489)*IF($L489="",'Assumptions'!$B$13,$L489)),"")</f>
        <v/>
      </c>
      <c r="AA489" s="45">
        <f>IFERROR(IF($A489="","",$X489+$Y489+$Z489),"")</f>
        <v/>
      </c>
      <c r="AB489" s="45">
        <f>IFERROR(IF($A489="","",$V489*'Assumptions'!$B$5),"")</f>
        <v/>
      </c>
      <c r="AC489" s="45">
        <f>IFERROR(IF($A489="","",$I489*'Assumptions'!$B$6),"")</f>
        <v/>
      </c>
      <c r="AD489" s="45">
        <f>IFERROR(IF($A489="","",$AB489+$AC489),"")</f>
        <v/>
      </c>
      <c r="AE489" s="45">
        <f>IFERROR(IF($A489="","",($M489+$N489)*'Assumptions'!$B$7),"")</f>
        <v/>
      </c>
      <c r="AF489" s="45">
        <f>IFERROR(IF($A489="","",($Q489/60)*'Assumptions'!$B$8),"")</f>
        <v/>
      </c>
      <c r="AG489" s="45">
        <f>IFERROR(IF($A489="","",$P489+$AE489+$AF489),"")</f>
        <v/>
      </c>
      <c r="AH489" s="45">
        <f>IFERROR(IF($A489="","",$M489+$O489),"")</f>
        <v/>
      </c>
      <c r="AI489" s="46">
        <f>IFERROR(IF($A489="","",IFERROR($AH489/$W489,0)),"")</f>
        <v/>
      </c>
      <c r="AJ489" s="45">
        <f>IFERROR(IF($A489="","",$W489-$AH489-$AD489+$AG489),"")</f>
        <v/>
      </c>
      <c r="AK489" s="47">
        <f>IFERROR(IF($A489="","",IF(OR($S489="Collected",$S489="Waived",$S489="Uncollectible",$S489="No Charge Due"),"",IF($T489="",$B489+'Assumptions'!$B$9,$T489+'Assumptions'!$B$9))),"")</f>
        <v/>
      </c>
      <c r="AL489" s="48">
        <f>IFERROR(IF($A489="","",IF(OR($S489="Collected",$S489="Waived",$S489="Uncollectible",$S489="No Charge Due"),"Closed",IF($AK489&lt;TODAY(),"Overdue",IF($AK489=TODAY(),"Due","Open")))),"")</f>
        <v/>
      </c>
      <c r="AM489" s="49">
        <f>IFERROR(IF($A489="","",IF(COUNTIF($A$5:$A$504,$A489)&gt;1,"Duplicate reservation ID",IF($C489&lt;=$B489,"Check stay dates",IF($G489&gt;$F489,"Resold nights exceed booked nights",IF($M489+$N489&gt;$AA489+0.01,"Collection exceeds expected amount",IF(AND($S489="Collected",$M489=0),"Collected status has no amount",IF($AJ489&gt;='Assumptions'!$B$10,"High-cost review","OK"))))))),"")</f>
        <v/>
      </c>
    </row>
    <row r="490">
      <c r="A490" s="38" t="n"/>
      <c r="B490" s="39" t="n"/>
      <c r="C490" s="39" t="n"/>
      <c r="D490" s="38" t="n"/>
      <c r="E490" s="38" t="n"/>
      <c r="F490" s="40" t="n"/>
      <c r="G490" s="40" t="n"/>
      <c r="H490" s="41" t="n"/>
      <c r="I490" s="41" t="n"/>
      <c r="J490" s="42" t="n"/>
      <c r="K490" s="42" t="n"/>
      <c r="L490" s="42" t="n"/>
      <c r="M490" s="41" t="n"/>
      <c r="N490" s="41" t="n"/>
      <c r="O490" s="41" t="n"/>
      <c r="P490" s="41" t="n"/>
      <c r="Q490" s="40" t="n"/>
      <c r="R490" s="38" t="n"/>
      <c r="S490" s="38" t="n"/>
      <c r="T490" s="39" t="n"/>
      <c r="U490" s="43" t="n"/>
      <c r="V490" s="44">
        <f>IFERROR(IF($A490="","",MAX($F490-$G490,0)),"")</f>
        <v/>
      </c>
      <c r="W490" s="45">
        <f>IFERROR(IF($A490="","",$H490+$I490),"")</f>
        <v/>
      </c>
      <c r="X490" s="45">
        <f>IFERROR(IF($A490="","",$H490*IF($J490="",'Assumptions'!$B$4,$J490)),"")</f>
        <v/>
      </c>
      <c r="Y490" s="45">
        <f>IFERROR(IF($A490="","",$X490*IF($K490="",'Assumptions'!$B$12,$K490)),"")</f>
        <v/>
      </c>
      <c r="Z490" s="45">
        <f>IFERROR(IF($A490="","",($X490+$Y490)*IF($L490="",'Assumptions'!$B$13,$L490)),"")</f>
        <v/>
      </c>
      <c r="AA490" s="45">
        <f>IFERROR(IF($A490="","",$X490+$Y490+$Z490),"")</f>
        <v/>
      </c>
      <c r="AB490" s="45">
        <f>IFERROR(IF($A490="","",$V490*'Assumptions'!$B$5),"")</f>
        <v/>
      </c>
      <c r="AC490" s="45">
        <f>IFERROR(IF($A490="","",$I490*'Assumptions'!$B$6),"")</f>
        <v/>
      </c>
      <c r="AD490" s="45">
        <f>IFERROR(IF($A490="","",$AB490+$AC490),"")</f>
        <v/>
      </c>
      <c r="AE490" s="45">
        <f>IFERROR(IF($A490="","",($M490+$N490)*'Assumptions'!$B$7),"")</f>
        <v/>
      </c>
      <c r="AF490" s="45">
        <f>IFERROR(IF($A490="","",($Q490/60)*'Assumptions'!$B$8),"")</f>
        <v/>
      </c>
      <c r="AG490" s="45">
        <f>IFERROR(IF($A490="","",$P490+$AE490+$AF490),"")</f>
        <v/>
      </c>
      <c r="AH490" s="45">
        <f>IFERROR(IF($A490="","",$M490+$O490),"")</f>
        <v/>
      </c>
      <c r="AI490" s="46">
        <f>IFERROR(IF($A490="","",IFERROR($AH490/$W490,0)),"")</f>
        <v/>
      </c>
      <c r="AJ490" s="45">
        <f>IFERROR(IF($A490="","",$W490-$AH490-$AD490+$AG490),"")</f>
        <v/>
      </c>
      <c r="AK490" s="47">
        <f>IFERROR(IF($A490="","",IF(OR($S490="Collected",$S490="Waived",$S490="Uncollectible",$S490="No Charge Due"),"",IF($T490="",$B490+'Assumptions'!$B$9,$T490+'Assumptions'!$B$9))),"")</f>
        <v/>
      </c>
      <c r="AL490" s="48">
        <f>IFERROR(IF($A490="","",IF(OR($S490="Collected",$S490="Waived",$S490="Uncollectible",$S490="No Charge Due"),"Closed",IF($AK490&lt;TODAY(),"Overdue",IF($AK490=TODAY(),"Due","Open")))),"")</f>
        <v/>
      </c>
      <c r="AM490" s="49">
        <f>IFERROR(IF($A490="","",IF(COUNTIF($A$5:$A$504,$A490)&gt;1,"Duplicate reservation ID",IF($C490&lt;=$B490,"Check stay dates",IF($G490&gt;$F490,"Resold nights exceed booked nights",IF($M490+$N490&gt;$AA490+0.01,"Collection exceeds expected amount",IF(AND($S490="Collected",$M490=0),"Collected status has no amount",IF($AJ490&gt;='Assumptions'!$B$10,"High-cost review","OK"))))))),"")</f>
        <v/>
      </c>
    </row>
    <row r="491">
      <c r="A491" s="38" t="n"/>
      <c r="B491" s="39" t="n"/>
      <c r="C491" s="39" t="n"/>
      <c r="D491" s="38" t="n"/>
      <c r="E491" s="38" t="n"/>
      <c r="F491" s="40" t="n"/>
      <c r="G491" s="40" t="n"/>
      <c r="H491" s="41" t="n"/>
      <c r="I491" s="41" t="n"/>
      <c r="J491" s="42" t="n"/>
      <c r="K491" s="42" t="n"/>
      <c r="L491" s="42" t="n"/>
      <c r="M491" s="41" t="n"/>
      <c r="N491" s="41" t="n"/>
      <c r="O491" s="41" t="n"/>
      <c r="P491" s="41" t="n"/>
      <c r="Q491" s="40" t="n"/>
      <c r="R491" s="38" t="n"/>
      <c r="S491" s="38" t="n"/>
      <c r="T491" s="39" t="n"/>
      <c r="U491" s="43" t="n"/>
      <c r="V491" s="44">
        <f>IFERROR(IF($A491="","",MAX($F491-$G491,0)),"")</f>
        <v/>
      </c>
      <c r="W491" s="45">
        <f>IFERROR(IF($A491="","",$H491+$I491),"")</f>
        <v/>
      </c>
      <c r="X491" s="45">
        <f>IFERROR(IF($A491="","",$H491*IF($J491="",'Assumptions'!$B$4,$J491)),"")</f>
        <v/>
      </c>
      <c r="Y491" s="45">
        <f>IFERROR(IF($A491="","",$X491*IF($K491="",'Assumptions'!$B$12,$K491)),"")</f>
        <v/>
      </c>
      <c r="Z491" s="45">
        <f>IFERROR(IF($A491="","",($X491+$Y491)*IF($L491="",'Assumptions'!$B$13,$L491)),"")</f>
        <v/>
      </c>
      <c r="AA491" s="45">
        <f>IFERROR(IF($A491="","",$X491+$Y491+$Z491),"")</f>
        <v/>
      </c>
      <c r="AB491" s="45">
        <f>IFERROR(IF($A491="","",$V491*'Assumptions'!$B$5),"")</f>
        <v/>
      </c>
      <c r="AC491" s="45">
        <f>IFERROR(IF($A491="","",$I491*'Assumptions'!$B$6),"")</f>
        <v/>
      </c>
      <c r="AD491" s="45">
        <f>IFERROR(IF($A491="","",$AB491+$AC491),"")</f>
        <v/>
      </c>
      <c r="AE491" s="45">
        <f>IFERROR(IF($A491="","",($M491+$N491)*'Assumptions'!$B$7),"")</f>
        <v/>
      </c>
      <c r="AF491" s="45">
        <f>IFERROR(IF($A491="","",($Q491/60)*'Assumptions'!$B$8),"")</f>
        <v/>
      </c>
      <c r="AG491" s="45">
        <f>IFERROR(IF($A491="","",$P491+$AE491+$AF491),"")</f>
        <v/>
      </c>
      <c r="AH491" s="45">
        <f>IFERROR(IF($A491="","",$M491+$O491),"")</f>
        <v/>
      </c>
      <c r="AI491" s="46">
        <f>IFERROR(IF($A491="","",IFERROR($AH491/$W491,0)),"")</f>
        <v/>
      </c>
      <c r="AJ491" s="45">
        <f>IFERROR(IF($A491="","",$W491-$AH491-$AD491+$AG491),"")</f>
        <v/>
      </c>
      <c r="AK491" s="47">
        <f>IFERROR(IF($A491="","",IF(OR($S491="Collected",$S491="Waived",$S491="Uncollectible",$S491="No Charge Due"),"",IF($T491="",$B491+'Assumptions'!$B$9,$T491+'Assumptions'!$B$9))),"")</f>
        <v/>
      </c>
      <c r="AL491" s="48">
        <f>IFERROR(IF($A491="","",IF(OR($S491="Collected",$S491="Waived",$S491="Uncollectible",$S491="No Charge Due"),"Closed",IF($AK491&lt;TODAY(),"Overdue",IF($AK491=TODAY(),"Due","Open")))),"")</f>
        <v/>
      </c>
      <c r="AM491" s="49">
        <f>IFERROR(IF($A491="","",IF(COUNTIF($A$5:$A$504,$A491)&gt;1,"Duplicate reservation ID",IF($C491&lt;=$B491,"Check stay dates",IF($G491&gt;$F491,"Resold nights exceed booked nights",IF($M491+$N491&gt;$AA491+0.01,"Collection exceeds expected amount",IF(AND($S491="Collected",$M491=0),"Collected status has no amount",IF($AJ491&gt;='Assumptions'!$B$10,"High-cost review","OK"))))))),"")</f>
        <v/>
      </c>
    </row>
    <row r="492">
      <c r="A492" s="38" t="n"/>
      <c r="B492" s="39" t="n"/>
      <c r="C492" s="39" t="n"/>
      <c r="D492" s="38" t="n"/>
      <c r="E492" s="38" t="n"/>
      <c r="F492" s="40" t="n"/>
      <c r="G492" s="40" t="n"/>
      <c r="H492" s="41" t="n"/>
      <c r="I492" s="41" t="n"/>
      <c r="J492" s="42" t="n"/>
      <c r="K492" s="42" t="n"/>
      <c r="L492" s="42" t="n"/>
      <c r="M492" s="41" t="n"/>
      <c r="N492" s="41" t="n"/>
      <c r="O492" s="41" t="n"/>
      <c r="P492" s="41" t="n"/>
      <c r="Q492" s="40" t="n"/>
      <c r="R492" s="38" t="n"/>
      <c r="S492" s="38" t="n"/>
      <c r="T492" s="39" t="n"/>
      <c r="U492" s="43" t="n"/>
      <c r="V492" s="44">
        <f>IFERROR(IF($A492="","",MAX($F492-$G492,0)),"")</f>
        <v/>
      </c>
      <c r="W492" s="45">
        <f>IFERROR(IF($A492="","",$H492+$I492),"")</f>
        <v/>
      </c>
      <c r="X492" s="45">
        <f>IFERROR(IF($A492="","",$H492*IF($J492="",'Assumptions'!$B$4,$J492)),"")</f>
        <v/>
      </c>
      <c r="Y492" s="45">
        <f>IFERROR(IF($A492="","",$X492*IF($K492="",'Assumptions'!$B$12,$K492)),"")</f>
        <v/>
      </c>
      <c r="Z492" s="45">
        <f>IFERROR(IF($A492="","",($X492+$Y492)*IF($L492="",'Assumptions'!$B$13,$L492)),"")</f>
        <v/>
      </c>
      <c r="AA492" s="45">
        <f>IFERROR(IF($A492="","",$X492+$Y492+$Z492),"")</f>
        <v/>
      </c>
      <c r="AB492" s="45">
        <f>IFERROR(IF($A492="","",$V492*'Assumptions'!$B$5),"")</f>
        <v/>
      </c>
      <c r="AC492" s="45">
        <f>IFERROR(IF($A492="","",$I492*'Assumptions'!$B$6),"")</f>
        <v/>
      </c>
      <c r="AD492" s="45">
        <f>IFERROR(IF($A492="","",$AB492+$AC492),"")</f>
        <v/>
      </c>
      <c r="AE492" s="45">
        <f>IFERROR(IF($A492="","",($M492+$N492)*'Assumptions'!$B$7),"")</f>
        <v/>
      </c>
      <c r="AF492" s="45">
        <f>IFERROR(IF($A492="","",($Q492/60)*'Assumptions'!$B$8),"")</f>
        <v/>
      </c>
      <c r="AG492" s="45">
        <f>IFERROR(IF($A492="","",$P492+$AE492+$AF492),"")</f>
        <v/>
      </c>
      <c r="AH492" s="45">
        <f>IFERROR(IF($A492="","",$M492+$O492),"")</f>
        <v/>
      </c>
      <c r="AI492" s="46">
        <f>IFERROR(IF($A492="","",IFERROR($AH492/$W492,0)),"")</f>
        <v/>
      </c>
      <c r="AJ492" s="45">
        <f>IFERROR(IF($A492="","",$W492-$AH492-$AD492+$AG492),"")</f>
        <v/>
      </c>
      <c r="AK492" s="47">
        <f>IFERROR(IF($A492="","",IF(OR($S492="Collected",$S492="Waived",$S492="Uncollectible",$S492="No Charge Due"),"",IF($T492="",$B492+'Assumptions'!$B$9,$T492+'Assumptions'!$B$9))),"")</f>
        <v/>
      </c>
      <c r="AL492" s="48">
        <f>IFERROR(IF($A492="","",IF(OR($S492="Collected",$S492="Waived",$S492="Uncollectible",$S492="No Charge Due"),"Closed",IF($AK492&lt;TODAY(),"Overdue",IF($AK492=TODAY(),"Due","Open")))),"")</f>
        <v/>
      </c>
      <c r="AM492" s="49">
        <f>IFERROR(IF($A492="","",IF(COUNTIF($A$5:$A$504,$A492)&gt;1,"Duplicate reservation ID",IF($C492&lt;=$B492,"Check stay dates",IF($G492&gt;$F492,"Resold nights exceed booked nights",IF($M492+$N492&gt;$AA492+0.01,"Collection exceeds expected amount",IF(AND($S492="Collected",$M492=0),"Collected status has no amount",IF($AJ492&gt;='Assumptions'!$B$10,"High-cost review","OK"))))))),"")</f>
        <v/>
      </c>
    </row>
    <row r="493">
      <c r="A493" s="38" t="n"/>
      <c r="B493" s="39" t="n"/>
      <c r="C493" s="39" t="n"/>
      <c r="D493" s="38" t="n"/>
      <c r="E493" s="38" t="n"/>
      <c r="F493" s="40" t="n"/>
      <c r="G493" s="40" t="n"/>
      <c r="H493" s="41" t="n"/>
      <c r="I493" s="41" t="n"/>
      <c r="J493" s="42" t="n"/>
      <c r="K493" s="42" t="n"/>
      <c r="L493" s="42" t="n"/>
      <c r="M493" s="41" t="n"/>
      <c r="N493" s="41" t="n"/>
      <c r="O493" s="41" t="n"/>
      <c r="P493" s="41" t="n"/>
      <c r="Q493" s="40" t="n"/>
      <c r="R493" s="38" t="n"/>
      <c r="S493" s="38" t="n"/>
      <c r="T493" s="39" t="n"/>
      <c r="U493" s="43" t="n"/>
      <c r="V493" s="44">
        <f>IFERROR(IF($A493="","",MAX($F493-$G493,0)),"")</f>
        <v/>
      </c>
      <c r="W493" s="45">
        <f>IFERROR(IF($A493="","",$H493+$I493),"")</f>
        <v/>
      </c>
      <c r="X493" s="45">
        <f>IFERROR(IF($A493="","",$H493*IF($J493="",'Assumptions'!$B$4,$J493)),"")</f>
        <v/>
      </c>
      <c r="Y493" s="45">
        <f>IFERROR(IF($A493="","",$X493*IF($K493="",'Assumptions'!$B$12,$K493)),"")</f>
        <v/>
      </c>
      <c r="Z493" s="45">
        <f>IFERROR(IF($A493="","",($X493+$Y493)*IF($L493="",'Assumptions'!$B$13,$L493)),"")</f>
        <v/>
      </c>
      <c r="AA493" s="45">
        <f>IFERROR(IF($A493="","",$X493+$Y493+$Z493),"")</f>
        <v/>
      </c>
      <c r="AB493" s="45">
        <f>IFERROR(IF($A493="","",$V493*'Assumptions'!$B$5),"")</f>
        <v/>
      </c>
      <c r="AC493" s="45">
        <f>IFERROR(IF($A493="","",$I493*'Assumptions'!$B$6),"")</f>
        <v/>
      </c>
      <c r="AD493" s="45">
        <f>IFERROR(IF($A493="","",$AB493+$AC493),"")</f>
        <v/>
      </c>
      <c r="AE493" s="45">
        <f>IFERROR(IF($A493="","",($M493+$N493)*'Assumptions'!$B$7),"")</f>
        <v/>
      </c>
      <c r="AF493" s="45">
        <f>IFERROR(IF($A493="","",($Q493/60)*'Assumptions'!$B$8),"")</f>
        <v/>
      </c>
      <c r="AG493" s="45">
        <f>IFERROR(IF($A493="","",$P493+$AE493+$AF493),"")</f>
        <v/>
      </c>
      <c r="AH493" s="45">
        <f>IFERROR(IF($A493="","",$M493+$O493),"")</f>
        <v/>
      </c>
      <c r="AI493" s="46">
        <f>IFERROR(IF($A493="","",IFERROR($AH493/$W493,0)),"")</f>
        <v/>
      </c>
      <c r="AJ493" s="45">
        <f>IFERROR(IF($A493="","",$W493-$AH493-$AD493+$AG493),"")</f>
        <v/>
      </c>
      <c r="AK493" s="47">
        <f>IFERROR(IF($A493="","",IF(OR($S493="Collected",$S493="Waived",$S493="Uncollectible",$S493="No Charge Due"),"",IF($T493="",$B493+'Assumptions'!$B$9,$T493+'Assumptions'!$B$9))),"")</f>
        <v/>
      </c>
      <c r="AL493" s="48">
        <f>IFERROR(IF($A493="","",IF(OR($S493="Collected",$S493="Waived",$S493="Uncollectible",$S493="No Charge Due"),"Closed",IF($AK493&lt;TODAY(),"Overdue",IF($AK493=TODAY(),"Due","Open")))),"")</f>
        <v/>
      </c>
      <c r="AM493" s="49">
        <f>IFERROR(IF($A493="","",IF(COUNTIF($A$5:$A$504,$A493)&gt;1,"Duplicate reservation ID",IF($C493&lt;=$B493,"Check stay dates",IF($G493&gt;$F493,"Resold nights exceed booked nights",IF($M493+$N493&gt;$AA493+0.01,"Collection exceeds expected amount",IF(AND($S493="Collected",$M493=0),"Collected status has no amount",IF($AJ493&gt;='Assumptions'!$B$10,"High-cost review","OK"))))))),"")</f>
        <v/>
      </c>
    </row>
    <row r="494">
      <c r="A494" s="38" t="n"/>
      <c r="B494" s="39" t="n"/>
      <c r="C494" s="39" t="n"/>
      <c r="D494" s="38" t="n"/>
      <c r="E494" s="38" t="n"/>
      <c r="F494" s="40" t="n"/>
      <c r="G494" s="40" t="n"/>
      <c r="H494" s="41" t="n"/>
      <c r="I494" s="41" t="n"/>
      <c r="J494" s="42" t="n"/>
      <c r="K494" s="42" t="n"/>
      <c r="L494" s="42" t="n"/>
      <c r="M494" s="41" t="n"/>
      <c r="N494" s="41" t="n"/>
      <c r="O494" s="41" t="n"/>
      <c r="P494" s="41" t="n"/>
      <c r="Q494" s="40" t="n"/>
      <c r="R494" s="38" t="n"/>
      <c r="S494" s="38" t="n"/>
      <c r="T494" s="39" t="n"/>
      <c r="U494" s="43" t="n"/>
      <c r="V494" s="44">
        <f>IFERROR(IF($A494="","",MAX($F494-$G494,0)),"")</f>
        <v/>
      </c>
      <c r="W494" s="45">
        <f>IFERROR(IF($A494="","",$H494+$I494),"")</f>
        <v/>
      </c>
      <c r="X494" s="45">
        <f>IFERROR(IF($A494="","",$H494*IF($J494="",'Assumptions'!$B$4,$J494)),"")</f>
        <v/>
      </c>
      <c r="Y494" s="45">
        <f>IFERROR(IF($A494="","",$X494*IF($K494="",'Assumptions'!$B$12,$K494)),"")</f>
        <v/>
      </c>
      <c r="Z494" s="45">
        <f>IFERROR(IF($A494="","",($X494+$Y494)*IF($L494="",'Assumptions'!$B$13,$L494)),"")</f>
        <v/>
      </c>
      <c r="AA494" s="45">
        <f>IFERROR(IF($A494="","",$X494+$Y494+$Z494),"")</f>
        <v/>
      </c>
      <c r="AB494" s="45">
        <f>IFERROR(IF($A494="","",$V494*'Assumptions'!$B$5),"")</f>
        <v/>
      </c>
      <c r="AC494" s="45">
        <f>IFERROR(IF($A494="","",$I494*'Assumptions'!$B$6),"")</f>
        <v/>
      </c>
      <c r="AD494" s="45">
        <f>IFERROR(IF($A494="","",$AB494+$AC494),"")</f>
        <v/>
      </c>
      <c r="AE494" s="45">
        <f>IFERROR(IF($A494="","",($M494+$N494)*'Assumptions'!$B$7),"")</f>
        <v/>
      </c>
      <c r="AF494" s="45">
        <f>IFERROR(IF($A494="","",($Q494/60)*'Assumptions'!$B$8),"")</f>
        <v/>
      </c>
      <c r="AG494" s="45">
        <f>IFERROR(IF($A494="","",$P494+$AE494+$AF494),"")</f>
        <v/>
      </c>
      <c r="AH494" s="45">
        <f>IFERROR(IF($A494="","",$M494+$O494),"")</f>
        <v/>
      </c>
      <c r="AI494" s="46">
        <f>IFERROR(IF($A494="","",IFERROR($AH494/$W494,0)),"")</f>
        <v/>
      </c>
      <c r="AJ494" s="45">
        <f>IFERROR(IF($A494="","",$W494-$AH494-$AD494+$AG494),"")</f>
        <v/>
      </c>
      <c r="AK494" s="47">
        <f>IFERROR(IF($A494="","",IF(OR($S494="Collected",$S494="Waived",$S494="Uncollectible",$S494="No Charge Due"),"",IF($T494="",$B494+'Assumptions'!$B$9,$T494+'Assumptions'!$B$9))),"")</f>
        <v/>
      </c>
      <c r="AL494" s="48">
        <f>IFERROR(IF($A494="","",IF(OR($S494="Collected",$S494="Waived",$S494="Uncollectible",$S494="No Charge Due"),"Closed",IF($AK494&lt;TODAY(),"Overdue",IF($AK494=TODAY(),"Due","Open")))),"")</f>
        <v/>
      </c>
      <c r="AM494" s="49">
        <f>IFERROR(IF($A494="","",IF(COUNTIF($A$5:$A$504,$A494)&gt;1,"Duplicate reservation ID",IF($C494&lt;=$B494,"Check stay dates",IF($G494&gt;$F494,"Resold nights exceed booked nights",IF($M494+$N494&gt;$AA494+0.01,"Collection exceeds expected amount",IF(AND($S494="Collected",$M494=0),"Collected status has no amount",IF($AJ494&gt;='Assumptions'!$B$10,"High-cost review","OK"))))))),"")</f>
        <v/>
      </c>
    </row>
    <row r="495">
      <c r="A495" s="38" t="n"/>
      <c r="B495" s="39" t="n"/>
      <c r="C495" s="39" t="n"/>
      <c r="D495" s="38" t="n"/>
      <c r="E495" s="38" t="n"/>
      <c r="F495" s="40" t="n"/>
      <c r="G495" s="40" t="n"/>
      <c r="H495" s="41" t="n"/>
      <c r="I495" s="41" t="n"/>
      <c r="J495" s="42" t="n"/>
      <c r="K495" s="42" t="n"/>
      <c r="L495" s="42" t="n"/>
      <c r="M495" s="41" t="n"/>
      <c r="N495" s="41" t="n"/>
      <c r="O495" s="41" t="n"/>
      <c r="P495" s="41" t="n"/>
      <c r="Q495" s="40" t="n"/>
      <c r="R495" s="38" t="n"/>
      <c r="S495" s="38" t="n"/>
      <c r="T495" s="39" t="n"/>
      <c r="U495" s="43" t="n"/>
      <c r="V495" s="44">
        <f>IFERROR(IF($A495="","",MAX($F495-$G495,0)),"")</f>
        <v/>
      </c>
      <c r="W495" s="45">
        <f>IFERROR(IF($A495="","",$H495+$I495),"")</f>
        <v/>
      </c>
      <c r="X495" s="45">
        <f>IFERROR(IF($A495="","",$H495*IF($J495="",'Assumptions'!$B$4,$J495)),"")</f>
        <v/>
      </c>
      <c r="Y495" s="45">
        <f>IFERROR(IF($A495="","",$X495*IF($K495="",'Assumptions'!$B$12,$K495)),"")</f>
        <v/>
      </c>
      <c r="Z495" s="45">
        <f>IFERROR(IF($A495="","",($X495+$Y495)*IF($L495="",'Assumptions'!$B$13,$L495)),"")</f>
        <v/>
      </c>
      <c r="AA495" s="45">
        <f>IFERROR(IF($A495="","",$X495+$Y495+$Z495),"")</f>
        <v/>
      </c>
      <c r="AB495" s="45">
        <f>IFERROR(IF($A495="","",$V495*'Assumptions'!$B$5),"")</f>
        <v/>
      </c>
      <c r="AC495" s="45">
        <f>IFERROR(IF($A495="","",$I495*'Assumptions'!$B$6),"")</f>
        <v/>
      </c>
      <c r="AD495" s="45">
        <f>IFERROR(IF($A495="","",$AB495+$AC495),"")</f>
        <v/>
      </c>
      <c r="AE495" s="45">
        <f>IFERROR(IF($A495="","",($M495+$N495)*'Assumptions'!$B$7),"")</f>
        <v/>
      </c>
      <c r="AF495" s="45">
        <f>IFERROR(IF($A495="","",($Q495/60)*'Assumptions'!$B$8),"")</f>
        <v/>
      </c>
      <c r="AG495" s="45">
        <f>IFERROR(IF($A495="","",$P495+$AE495+$AF495),"")</f>
        <v/>
      </c>
      <c r="AH495" s="45">
        <f>IFERROR(IF($A495="","",$M495+$O495),"")</f>
        <v/>
      </c>
      <c r="AI495" s="46">
        <f>IFERROR(IF($A495="","",IFERROR($AH495/$W495,0)),"")</f>
        <v/>
      </c>
      <c r="AJ495" s="45">
        <f>IFERROR(IF($A495="","",$W495-$AH495-$AD495+$AG495),"")</f>
        <v/>
      </c>
      <c r="AK495" s="47">
        <f>IFERROR(IF($A495="","",IF(OR($S495="Collected",$S495="Waived",$S495="Uncollectible",$S495="No Charge Due"),"",IF($T495="",$B495+'Assumptions'!$B$9,$T495+'Assumptions'!$B$9))),"")</f>
        <v/>
      </c>
      <c r="AL495" s="48">
        <f>IFERROR(IF($A495="","",IF(OR($S495="Collected",$S495="Waived",$S495="Uncollectible",$S495="No Charge Due"),"Closed",IF($AK495&lt;TODAY(),"Overdue",IF($AK495=TODAY(),"Due","Open")))),"")</f>
        <v/>
      </c>
      <c r="AM495" s="49">
        <f>IFERROR(IF($A495="","",IF(COUNTIF($A$5:$A$504,$A495)&gt;1,"Duplicate reservation ID",IF($C495&lt;=$B495,"Check stay dates",IF($G495&gt;$F495,"Resold nights exceed booked nights",IF($M495+$N495&gt;$AA495+0.01,"Collection exceeds expected amount",IF(AND($S495="Collected",$M495=0),"Collected status has no amount",IF($AJ495&gt;='Assumptions'!$B$10,"High-cost review","OK"))))))),"")</f>
        <v/>
      </c>
    </row>
    <row r="496">
      <c r="A496" s="38" t="n"/>
      <c r="B496" s="39" t="n"/>
      <c r="C496" s="39" t="n"/>
      <c r="D496" s="38" t="n"/>
      <c r="E496" s="38" t="n"/>
      <c r="F496" s="40" t="n"/>
      <c r="G496" s="40" t="n"/>
      <c r="H496" s="41" t="n"/>
      <c r="I496" s="41" t="n"/>
      <c r="J496" s="42" t="n"/>
      <c r="K496" s="42" t="n"/>
      <c r="L496" s="42" t="n"/>
      <c r="M496" s="41" t="n"/>
      <c r="N496" s="41" t="n"/>
      <c r="O496" s="41" t="n"/>
      <c r="P496" s="41" t="n"/>
      <c r="Q496" s="40" t="n"/>
      <c r="R496" s="38" t="n"/>
      <c r="S496" s="38" t="n"/>
      <c r="T496" s="39" t="n"/>
      <c r="U496" s="43" t="n"/>
      <c r="V496" s="44">
        <f>IFERROR(IF($A496="","",MAX($F496-$G496,0)),"")</f>
        <v/>
      </c>
      <c r="W496" s="45">
        <f>IFERROR(IF($A496="","",$H496+$I496),"")</f>
        <v/>
      </c>
      <c r="X496" s="45">
        <f>IFERROR(IF($A496="","",$H496*IF($J496="",'Assumptions'!$B$4,$J496)),"")</f>
        <v/>
      </c>
      <c r="Y496" s="45">
        <f>IFERROR(IF($A496="","",$X496*IF($K496="",'Assumptions'!$B$12,$K496)),"")</f>
        <v/>
      </c>
      <c r="Z496" s="45">
        <f>IFERROR(IF($A496="","",($X496+$Y496)*IF($L496="",'Assumptions'!$B$13,$L496)),"")</f>
        <v/>
      </c>
      <c r="AA496" s="45">
        <f>IFERROR(IF($A496="","",$X496+$Y496+$Z496),"")</f>
        <v/>
      </c>
      <c r="AB496" s="45">
        <f>IFERROR(IF($A496="","",$V496*'Assumptions'!$B$5),"")</f>
        <v/>
      </c>
      <c r="AC496" s="45">
        <f>IFERROR(IF($A496="","",$I496*'Assumptions'!$B$6),"")</f>
        <v/>
      </c>
      <c r="AD496" s="45">
        <f>IFERROR(IF($A496="","",$AB496+$AC496),"")</f>
        <v/>
      </c>
      <c r="AE496" s="45">
        <f>IFERROR(IF($A496="","",($M496+$N496)*'Assumptions'!$B$7),"")</f>
        <v/>
      </c>
      <c r="AF496" s="45">
        <f>IFERROR(IF($A496="","",($Q496/60)*'Assumptions'!$B$8),"")</f>
        <v/>
      </c>
      <c r="AG496" s="45">
        <f>IFERROR(IF($A496="","",$P496+$AE496+$AF496),"")</f>
        <v/>
      </c>
      <c r="AH496" s="45">
        <f>IFERROR(IF($A496="","",$M496+$O496),"")</f>
        <v/>
      </c>
      <c r="AI496" s="46">
        <f>IFERROR(IF($A496="","",IFERROR($AH496/$W496,0)),"")</f>
        <v/>
      </c>
      <c r="AJ496" s="45">
        <f>IFERROR(IF($A496="","",$W496-$AH496-$AD496+$AG496),"")</f>
        <v/>
      </c>
      <c r="AK496" s="47">
        <f>IFERROR(IF($A496="","",IF(OR($S496="Collected",$S496="Waived",$S496="Uncollectible",$S496="No Charge Due"),"",IF($T496="",$B496+'Assumptions'!$B$9,$T496+'Assumptions'!$B$9))),"")</f>
        <v/>
      </c>
      <c r="AL496" s="48">
        <f>IFERROR(IF($A496="","",IF(OR($S496="Collected",$S496="Waived",$S496="Uncollectible",$S496="No Charge Due"),"Closed",IF($AK496&lt;TODAY(),"Overdue",IF($AK496=TODAY(),"Due","Open")))),"")</f>
        <v/>
      </c>
      <c r="AM496" s="49">
        <f>IFERROR(IF($A496="","",IF(COUNTIF($A$5:$A$504,$A496)&gt;1,"Duplicate reservation ID",IF($C496&lt;=$B496,"Check stay dates",IF($G496&gt;$F496,"Resold nights exceed booked nights",IF($M496+$N496&gt;$AA496+0.01,"Collection exceeds expected amount",IF(AND($S496="Collected",$M496=0),"Collected status has no amount",IF($AJ496&gt;='Assumptions'!$B$10,"High-cost review","OK"))))))),"")</f>
        <v/>
      </c>
    </row>
    <row r="497">
      <c r="A497" s="38" t="n"/>
      <c r="B497" s="39" t="n"/>
      <c r="C497" s="39" t="n"/>
      <c r="D497" s="38" t="n"/>
      <c r="E497" s="38" t="n"/>
      <c r="F497" s="40" t="n"/>
      <c r="G497" s="40" t="n"/>
      <c r="H497" s="41" t="n"/>
      <c r="I497" s="41" t="n"/>
      <c r="J497" s="42" t="n"/>
      <c r="K497" s="42" t="n"/>
      <c r="L497" s="42" t="n"/>
      <c r="M497" s="41" t="n"/>
      <c r="N497" s="41" t="n"/>
      <c r="O497" s="41" t="n"/>
      <c r="P497" s="41" t="n"/>
      <c r="Q497" s="40" t="n"/>
      <c r="R497" s="38" t="n"/>
      <c r="S497" s="38" t="n"/>
      <c r="T497" s="39" t="n"/>
      <c r="U497" s="43" t="n"/>
      <c r="V497" s="44">
        <f>IFERROR(IF($A497="","",MAX($F497-$G497,0)),"")</f>
        <v/>
      </c>
      <c r="W497" s="45">
        <f>IFERROR(IF($A497="","",$H497+$I497),"")</f>
        <v/>
      </c>
      <c r="X497" s="45">
        <f>IFERROR(IF($A497="","",$H497*IF($J497="",'Assumptions'!$B$4,$J497)),"")</f>
        <v/>
      </c>
      <c r="Y497" s="45">
        <f>IFERROR(IF($A497="","",$X497*IF($K497="",'Assumptions'!$B$12,$K497)),"")</f>
        <v/>
      </c>
      <c r="Z497" s="45">
        <f>IFERROR(IF($A497="","",($X497+$Y497)*IF($L497="",'Assumptions'!$B$13,$L497)),"")</f>
        <v/>
      </c>
      <c r="AA497" s="45">
        <f>IFERROR(IF($A497="","",$X497+$Y497+$Z497),"")</f>
        <v/>
      </c>
      <c r="AB497" s="45">
        <f>IFERROR(IF($A497="","",$V497*'Assumptions'!$B$5),"")</f>
        <v/>
      </c>
      <c r="AC497" s="45">
        <f>IFERROR(IF($A497="","",$I497*'Assumptions'!$B$6),"")</f>
        <v/>
      </c>
      <c r="AD497" s="45">
        <f>IFERROR(IF($A497="","",$AB497+$AC497),"")</f>
        <v/>
      </c>
      <c r="AE497" s="45">
        <f>IFERROR(IF($A497="","",($M497+$N497)*'Assumptions'!$B$7),"")</f>
        <v/>
      </c>
      <c r="AF497" s="45">
        <f>IFERROR(IF($A497="","",($Q497/60)*'Assumptions'!$B$8),"")</f>
        <v/>
      </c>
      <c r="AG497" s="45">
        <f>IFERROR(IF($A497="","",$P497+$AE497+$AF497),"")</f>
        <v/>
      </c>
      <c r="AH497" s="45">
        <f>IFERROR(IF($A497="","",$M497+$O497),"")</f>
        <v/>
      </c>
      <c r="AI497" s="46">
        <f>IFERROR(IF($A497="","",IFERROR($AH497/$W497,0)),"")</f>
        <v/>
      </c>
      <c r="AJ497" s="45">
        <f>IFERROR(IF($A497="","",$W497-$AH497-$AD497+$AG497),"")</f>
        <v/>
      </c>
      <c r="AK497" s="47">
        <f>IFERROR(IF($A497="","",IF(OR($S497="Collected",$S497="Waived",$S497="Uncollectible",$S497="No Charge Due"),"",IF($T497="",$B497+'Assumptions'!$B$9,$T497+'Assumptions'!$B$9))),"")</f>
        <v/>
      </c>
      <c r="AL497" s="48">
        <f>IFERROR(IF($A497="","",IF(OR($S497="Collected",$S497="Waived",$S497="Uncollectible",$S497="No Charge Due"),"Closed",IF($AK497&lt;TODAY(),"Overdue",IF($AK497=TODAY(),"Due","Open")))),"")</f>
        <v/>
      </c>
      <c r="AM497" s="49">
        <f>IFERROR(IF($A497="","",IF(COUNTIF($A$5:$A$504,$A497)&gt;1,"Duplicate reservation ID",IF($C497&lt;=$B497,"Check stay dates",IF($G497&gt;$F497,"Resold nights exceed booked nights",IF($M497+$N497&gt;$AA497+0.01,"Collection exceeds expected amount",IF(AND($S497="Collected",$M497=0),"Collected status has no amount",IF($AJ497&gt;='Assumptions'!$B$10,"High-cost review","OK"))))))),"")</f>
        <v/>
      </c>
    </row>
    <row r="498">
      <c r="A498" s="38" t="n"/>
      <c r="B498" s="39" t="n"/>
      <c r="C498" s="39" t="n"/>
      <c r="D498" s="38" t="n"/>
      <c r="E498" s="38" t="n"/>
      <c r="F498" s="40" t="n"/>
      <c r="G498" s="40" t="n"/>
      <c r="H498" s="41" t="n"/>
      <c r="I498" s="41" t="n"/>
      <c r="J498" s="42" t="n"/>
      <c r="K498" s="42" t="n"/>
      <c r="L498" s="42" t="n"/>
      <c r="M498" s="41" t="n"/>
      <c r="N498" s="41" t="n"/>
      <c r="O498" s="41" t="n"/>
      <c r="P498" s="41" t="n"/>
      <c r="Q498" s="40" t="n"/>
      <c r="R498" s="38" t="n"/>
      <c r="S498" s="38" t="n"/>
      <c r="T498" s="39" t="n"/>
      <c r="U498" s="43" t="n"/>
      <c r="V498" s="44">
        <f>IFERROR(IF($A498="","",MAX($F498-$G498,0)),"")</f>
        <v/>
      </c>
      <c r="W498" s="45">
        <f>IFERROR(IF($A498="","",$H498+$I498),"")</f>
        <v/>
      </c>
      <c r="X498" s="45">
        <f>IFERROR(IF($A498="","",$H498*IF($J498="",'Assumptions'!$B$4,$J498)),"")</f>
        <v/>
      </c>
      <c r="Y498" s="45">
        <f>IFERROR(IF($A498="","",$X498*IF($K498="",'Assumptions'!$B$12,$K498)),"")</f>
        <v/>
      </c>
      <c r="Z498" s="45">
        <f>IFERROR(IF($A498="","",($X498+$Y498)*IF($L498="",'Assumptions'!$B$13,$L498)),"")</f>
        <v/>
      </c>
      <c r="AA498" s="45">
        <f>IFERROR(IF($A498="","",$X498+$Y498+$Z498),"")</f>
        <v/>
      </c>
      <c r="AB498" s="45">
        <f>IFERROR(IF($A498="","",$V498*'Assumptions'!$B$5),"")</f>
        <v/>
      </c>
      <c r="AC498" s="45">
        <f>IFERROR(IF($A498="","",$I498*'Assumptions'!$B$6),"")</f>
        <v/>
      </c>
      <c r="AD498" s="45">
        <f>IFERROR(IF($A498="","",$AB498+$AC498),"")</f>
        <v/>
      </c>
      <c r="AE498" s="45">
        <f>IFERROR(IF($A498="","",($M498+$N498)*'Assumptions'!$B$7),"")</f>
        <v/>
      </c>
      <c r="AF498" s="45">
        <f>IFERROR(IF($A498="","",($Q498/60)*'Assumptions'!$B$8),"")</f>
        <v/>
      </c>
      <c r="AG498" s="45">
        <f>IFERROR(IF($A498="","",$P498+$AE498+$AF498),"")</f>
        <v/>
      </c>
      <c r="AH498" s="45">
        <f>IFERROR(IF($A498="","",$M498+$O498),"")</f>
        <v/>
      </c>
      <c r="AI498" s="46">
        <f>IFERROR(IF($A498="","",IFERROR($AH498/$W498,0)),"")</f>
        <v/>
      </c>
      <c r="AJ498" s="45">
        <f>IFERROR(IF($A498="","",$W498-$AH498-$AD498+$AG498),"")</f>
        <v/>
      </c>
      <c r="AK498" s="47">
        <f>IFERROR(IF($A498="","",IF(OR($S498="Collected",$S498="Waived",$S498="Uncollectible",$S498="No Charge Due"),"",IF($T498="",$B498+'Assumptions'!$B$9,$T498+'Assumptions'!$B$9))),"")</f>
        <v/>
      </c>
      <c r="AL498" s="48">
        <f>IFERROR(IF($A498="","",IF(OR($S498="Collected",$S498="Waived",$S498="Uncollectible",$S498="No Charge Due"),"Closed",IF($AK498&lt;TODAY(),"Overdue",IF($AK498=TODAY(),"Due","Open")))),"")</f>
        <v/>
      </c>
      <c r="AM498" s="49">
        <f>IFERROR(IF($A498="","",IF(COUNTIF($A$5:$A$504,$A498)&gt;1,"Duplicate reservation ID",IF($C498&lt;=$B498,"Check stay dates",IF($G498&gt;$F498,"Resold nights exceed booked nights",IF($M498+$N498&gt;$AA498+0.01,"Collection exceeds expected amount",IF(AND($S498="Collected",$M498=0),"Collected status has no amount",IF($AJ498&gt;='Assumptions'!$B$10,"High-cost review","OK"))))))),"")</f>
        <v/>
      </c>
    </row>
    <row r="499">
      <c r="A499" s="38" t="n"/>
      <c r="B499" s="39" t="n"/>
      <c r="C499" s="39" t="n"/>
      <c r="D499" s="38" t="n"/>
      <c r="E499" s="38" t="n"/>
      <c r="F499" s="40" t="n"/>
      <c r="G499" s="40" t="n"/>
      <c r="H499" s="41" t="n"/>
      <c r="I499" s="41" t="n"/>
      <c r="J499" s="42" t="n"/>
      <c r="K499" s="42" t="n"/>
      <c r="L499" s="42" t="n"/>
      <c r="M499" s="41" t="n"/>
      <c r="N499" s="41" t="n"/>
      <c r="O499" s="41" t="n"/>
      <c r="P499" s="41" t="n"/>
      <c r="Q499" s="40" t="n"/>
      <c r="R499" s="38" t="n"/>
      <c r="S499" s="38" t="n"/>
      <c r="T499" s="39" t="n"/>
      <c r="U499" s="43" t="n"/>
      <c r="V499" s="44">
        <f>IFERROR(IF($A499="","",MAX($F499-$G499,0)),"")</f>
        <v/>
      </c>
      <c r="W499" s="45">
        <f>IFERROR(IF($A499="","",$H499+$I499),"")</f>
        <v/>
      </c>
      <c r="X499" s="45">
        <f>IFERROR(IF($A499="","",$H499*IF($J499="",'Assumptions'!$B$4,$J499)),"")</f>
        <v/>
      </c>
      <c r="Y499" s="45">
        <f>IFERROR(IF($A499="","",$X499*IF($K499="",'Assumptions'!$B$12,$K499)),"")</f>
        <v/>
      </c>
      <c r="Z499" s="45">
        <f>IFERROR(IF($A499="","",($X499+$Y499)*IF($L499="",'Assumptions'!$B$13,$L499)),"")</f>
        <v/>
      </c>
      <c r="AA499" s="45">
        <f>IFERROR(IF($A499="","",$X499+$Y499+$Z499),"")</f>
        <v/>
      </c>
      <c r="AB499" s="45">
        <f>IFERROR(IF($A499="","",$V499*'Assumptions'!$B$5),"")</f>
        <v/>
      </c>
      <c r="AC499" s="45">
        <f>IFERROR(IF($A499="","",$I499*'Assumptions'!$B$6),"")</f>
        <v/>
      </c>
      <c r="AD499" s="45">
        <f>IFERROR(IF($A499="","",$AB499+$AC499),"")</f>
        <v/>
      </c>
      <c r="AE499" s="45">
        <f>IFERROR(IF($A499="","",($M499+$N499)*'Assumptions'!$B$7),"")</f>
        <v/>
      </c>
      <c r="AF499" s="45">
        <f>IFERROR(IF($A499="","",($Q499/60)*'Assumptions'!$B$8),"")</f>
        <v/>
      </c>
      <c r="AG499" s="45">
        <f>IFERROR(IF($A499="","",$P499+$AE499+$AF499),"")</f>
        <v/>
      </c>
      <c r="AH499" s="45">
        <f>IFERROR(IF($A499="","",$M499+$O499),"")</f>
        <v/>
      </c>
      <c r="AI499" s="46">
        <f>IFERROR(IF($A499="","",IFERROR($AH499/$W499,0)),"")</f>
        <v/>
      </c>
      <c r="AJ499" s="45">
        <f>IFERROR(IF($A499="","",$W499-$AH499-$AD499+$AG499),"")</f>
        <v/>
      </c>
      <c r="AK499" s="47">
        <f>IFERROR(IF($A499="","",IF(OR($S499="Collected",$S499="Waived",$S499="Uncollectible",$S499="No Charge Due"),"",IF($T499="",$B499+'Assumptions'!$B$9,$T499+'Assumptions'!$B$9))),"")</f>
        <v/>
      </c>
      <c r="AL499" s="48">
        <f>IFERROR(IF($A499="","",IF(OR($S499="Collected",$S499="Waived",$S499="Uncollectible",$S499="No Charge Due"),"Closed",IF($AK499&lt;TODAY(),"Overdue",IF($AK499=TODAY(),"Due","Open")))),"")</f>
        <v/>
      </c>
      <c r="AM499" s="49">
        <f>IFERROR(IF($A499="","",IF(COUNTIF($A$5:$A$504,$A499)&gt;1,"Duplicate reservation ID",IF($C499&lt;=$B499,"Check stay dates",IF($G499&gt;$F499,"Resold nights exceed booked nights",IF($M499+$N499&gt;$AA499+0.01,"Collection exceeds expected amount",IF(AND($S499="Collected",$M499=0),"Collected status has no amount",IF($AJ499&gt;='Assumptions'!$B$10,"High-cost review","OK"))))))),"")</f>
        <v/>
      </c>
    </row>
    <row r="500">
      <c r="A500" s="38" t="n"/>
      <c r="B500" s="39" t="n"/>
      <c r="C500" s="39" t="n"/>
      <c r="D500" s="38" t="n"/>
      <c r="E500" s="38" t="n"/>
      <c r="F500" s="40" t="n"/>
      <c r="G500" s="40" t="n"/>
      <c r="H500" s="41" t="n"/>
      <c r="I500" s="41" t="n"/>
      <c r="J500" s="42" t="n"/>
      <c r="K500" s="42" t="n"/>
      <c r="L500" s="42" t="n"/>
      <c r="M500" s="41" t="n"/>
      <c r="N500" s="41" t="n"/>
      <c r="O500" s="41" t="n"/>
      <c r="P500" s="41" t="n"/>
      <c r="Q500" s="40" t="n"/>
      <c r="R500" s="38" t="n"/>
      <c r="S500" s="38" t="n"/>
      <c r="T500" s="39" t="n"/>
      <c r="U500" s="43" t="n"/>
      <c r="V500" s="44">
        <f>IFERROR(IF($A500="","",MAX($F500-$G500,0)),"")</f>
        <v/>
      </c>
      <c r="W500" s="45">
        <f>IFERROR(IF($A500="","",$H500+$I500),"")</f>
        <v/>
      </c>
      <c r="X500" s="45">
        <f>IFERROR(IF($A500="","",$H500*IF($J500="",'Assumptions'!$B$4,$J500)),"")</f>
        <v/>
      </c>
      <c r="Y500" s="45">
        <f>IFERROR(IF($A500="","",$X500*IF($K500="",'Assumptions'!$B$12,$K500)),"")</f>
        <v/>
      </c>
      <c r="Z500" s="45">
        <f>IFERROR(IF($A500="","",($X500+$Y500)*IF($L500="",'Assumptions'!$B$13,$L500)),"")</f>
        <v/>
      </c>
      <c r="AA500" s="45">
        <f>IFERROR(IF($A500="","",$X500+$Y500+$Z500),"")</f>
        <v/>
      </c>
      <c r="AB500" s="45">
        <f>IFERROR(IF($A500="","",$V500*'Assumptions'!$B$5),"")</f>
        <v/>
      </c>
      <c r="AC500" s="45">
        <f>IFERROR(IF($A500="","",$I500*'Assumptions'!$B$6),"")</f>
        <v/>
      </c>
      <c r="AD500" s="45">
        <f>IFERROR(IF($A500="","",$AB500+$AC500),"")</f>
        <v/>
      </c>
      <c r="AE500" s="45">
        <f>IFERROR(IF($A500="","",($M500+$N500)*'Assumptions'!$B$7),"")</f>
        <v/>
      </c>
      <c r="AF500" s="45">
        <f>IFERROR(IF($A500="","",($Q500/60)*'Assumptions'!$B$8),"")</f>
        <v/>
      </c>
      <c r="AG500" s="45">
        <f>IFERROR(IF($A500="","",$P500+$AE500+$AF500),"")</f>
        <v/>
      </c>
      <c r="AH500" s="45">
        <f>IFERROR(IF($A500="","",$M500+$O500),"")</f>
        <v/>
      </c>
      <c r="AI500" s="46">
        <f>IFERROR(IF($A500="","",IFERROR($AH500/$W500,0)),"")</f>
        <v/>
      </c>
      <c r="AJ500" s="45">
        <f>IFERROR(IF($A500="","",$W500-$AH500-$AD500+$AG500),"")</f>
        <v/>
      </c>
      <c r="AK500" s="47">
        <f>IFERROR(IF($A500="","",IF(OR($S500="Collected",$S500="Waived",$S500="Uncollectible",$S500="No Charge Due"),"",IF($T500="",$B500+'Assumptions'!$B$9,$T500+'Assumptions'!$B$9))),"")</f>
        <v/>
      </c>
      <c r="AL500" s="48">
        <f>IFERROR(IF($A500="","",IF(OR($S500="Collected",$S500="Waived",$S500="Uncollectible",$S500="No Charge Due"),"Closed",IF($AK500&lt;TODAY(),"Overdue",IF($AK500=TODAY(),"Due","Open")))),"")</f>
        <v/>
      </c>
      <c r="AM500" s="49">
        <f>IFERROR(IF($A500="","",IF(COUNTIF($A$5:$A$504,$A500)&gt;1,"Duplicate reservation ID",IF($C500&lt;=$B500,"Check stay dates",IF($G500&gt;$F500,"Resold nights exceed booked nights",IF($M500+$N500&gt;$AA500+0.01,"Collection exceeds expected amount",IF(AND($S500="Collected",$M500=0),"Collected status has no amount",IF($AJ500&gt;='Assumptions'!$B$10,"High-cost review","OK"))))))),"")</f>
        <v/>
      </c>
    </row>
    <row r="501">
      <c r="A501" s="38" t="n"/>
      <c r="B501" s="39" t="n"/>
      <c r="C501" s="39" t="n"/>
      <c r="D501" s="38" t="n"/>
      <c r="E501" s="38" t="n"/>
      <c r="F501" s="40" t="n"/>
      <c r="G501" s="40" t="n"/>
      <c r="H501" s="41" t="n"/>
      <c r="I501" s="41" t="n"/>
      <c r="J501" s="42" t="n"/>
      <c r="K501" s="42" t="n"/>
      <c r="L501" s="42" t="n"/>
      <c r="M501" s="41" t="n"/>
      <c r="N501" s="41" t="n"/>
      <c r="O501" s="41" t="n"/>
      <c r="P501" s="41" t="n"/>
      <c r="Q501" s="40" t="n"/>
      <c r="R501" s="38" t="n"/>
      <c r="S501" s="38" t="n"/>
      <c r="T501" s="39" t="n"/>
      <c r="U501" s="43" t="n"/>
      <c r="V501" s="44">
        <f>IFERROR(IF($A501="","",MAX($F501-$G501,0)),"")</f>
        <v/>
      </c>
      <c r="W501" s="45">
        <f>IFERROR(IF($A501="","",$H501+$I501),"")</f>
        <v/>
      </c>
      <c r="X501" s="45">
        <f>IFERROR(IF($A501="","",$H501*IF($J501="",'Assumptions'!$B$4,$J501)),"")</f>
        <v/>
      </c>
      <c r="Y501" s="45">
        <f>IFERROR(IF($A501="","",$X501*IF($K501="",'Assumptions'!$B$12,$K501)),"")</f>
        <v/>
      </c>
      <c r="Z501" s="45">
        <f>IFERROR(IF($A501="","",($X501+$Y501)*IF($L501="",'Assumptions'!$B$13,$L501)),"")</f>
        <v/>
      </c>
      <c r="AA501" s="45">
        <f>IFERROR(IF($A501="","",$X501+$Y501+$Z501),"")</f>
        <v/>
      </c>
      <c r="AB501" s="45">
        <f>IFERROR(IF($A501="","",$V501*'Assumptions'!$B$5),"")</f>
        <v/>
      </c>
      <c r="AC501" s="45">
        <f>IFERROR(IF($A501="","",$I501*'Assumptions'!$B$6),"")</f>
        <v/>
      </c>
      <c r="AD501" s="45">
        <f>IFERROR(IF($A501="","",$AB501+$AC501),"")</f>
        <v/>
      </c>
      <c r="AE501" s="45">
        <f>IFERROR(IF($A501="","",($M501+$N501)*'Assumptions'!$B$7),"")</f>
        <v/>
      </c>
      <c r="AF501" s="45">
        <f>IFERROR(IF($A501="","",($Q501/60)*'Assumptions'!$B$8),"")</f>
        <v/>
      </c>
      <c r="AG501" s="45">
        <f>IFERROR(IF($A501="","",$P501+$AE501+$AF501),"")</f>
        <v/>
      </c>
      <c r="AH501" s="45">
        <f>IFERROR(IF($A501="","",$M501+$O501),"")</f>
        <v/>
      </c>
      <c r="AI501" s="46">
        <f>IFERROR(IF($A501="","",IFERROR($AH501/$W501,0)),"")</f>
        <v/>
      </c>
      <c r="AJ501" s="45">
        <f>IFERROR(IF($A501="","",$W501-$AH501-$AD501+$AG501),"")</f>
        <v/>
      </c>
      <c r="AK501" s="47">
        <f>IFERROR(IF($A501="","",IF(OR($S501="Collected",$S501="Waived",$S501="Uncollectible",$S501="No Charge Due"),"",IF($T501="",$B501+'Assumptions'!$B$9,$T501+'Assumptions'!$B$9))),"")</f>
        <v/>
      </c>
      <c r="AL501" s="48">
        <f>IFERROR(IF($A501="","",IF(OR($S501="Collected",$S501="Waived",$S501="Uncollectible",$S501="No Charge Due"),"Closed",IF($AK501&lt;TODAY(),"Overdue",IF($AK501=TODAY(),"Due","Open")))),"")</f>
        <v/>
      </c>
      <c r="AM501" s="49">
        <f>IFERROR(IF($A501="","",IF(COUNTIF($A$5:$A$504,$A501)&gt;1,"Duplicate reservation ID",IF($C501&lt;=$B501,"Check stay dates",IF($G501&gt;$F501,"Resold nights exceed booked nights",IF($M501+$N501&gt;$AA501+0.01,"Collection exceeds expected amount",IF(AND($S501="Collected",$M501=0),"Collected status has no amount",IF($AJ501&gt;='Assumptions'!$B$10,"High-cost review","OK"))))))),"")</f>
        <v/>
      </c>
    </row>
    <row r="502">
      <c r="A502" s="38" t="n"/>
      <c r="B502" s="39" t="n"/>
      <c r="C502" s="39" t="n"/>
      <c r="D502" s="38" t="n"/>
      <c r="E502" s="38" t="n"/>
      <c r="F502" s="40" t="n"/>
      <c r="G502" s="40" t="n"/>
      <c r="H502" s="41" t="n"/>
      <c r="I502" s="41" t="n"/>
      <c r="J502" s="42" t="n"/>
      <c r="K502" s="42" t="n"/>
      <c r="L502" s="42" t="n"/>
      <c r="M502" s="41" t="n"/>
      <c r="N502" s="41" t="n"/>
      <c r="O502" s="41" t="n"/>
      <c r="P502" s="41" t="n"/>
      <c r="Q502" s="40" t="n"/>
      <c r="R502" s="38" t="n"/>
      <c r="S502" s="38" t="n"/>
      <c r="T502" s="39" t="n"/>
      <c r="U502" s="43" t="n"/>
      <c r="V502" s="44">
        <f>IFERROR(IF($A502="","",MAX($F502-$G502,0)),"")</f>
        <v/>
      </c>
      <c r="W502" s="45">
        <f>IFERROR(IF($A502="","",$H502+$I502),"")</f>
        <v/>
      </c>
      <c r="X502" s="45">
        <f>IFERROR(IF($A502="","",$H502*IF($J502="",'Assumptions'!$B$4,$J502)),"")</f>
        <v/>
      </c>
      <c r="Y502" s="45">
        <f>IFERROR(IF($A502="","",$X502*IF($K502="",'Assumptions'!$B$12,$K502)),"")</f>
        <v/>
      </c>
      <c r="Z502" s="45">
        <f>IFERROR(IF($A502="","",($X502+$Y502)*IF($L502="",'Assumptions'!$B$13,$L502)),"")</f>
        <v/>
      </c>
      <c r="AA502" s="45">
        <f>IFERROR(IF($A502="","",$X502+$Y502+$Z502),"")</f>
        <v/>
      </c>
      <c r="AB502" s="45">
        <f>IFERROR(IF($A502="","",$V502*'Assumptions'!$B$5),"")</f>
        <v/>
      </c>
      <c r="AC502" s="45">
        <f>IFERROR(IF($A502="","",$I502*'Assumptions'!$B$6),"")</f>
        <v/>
      </c>
      <c r="AD502" s="45">
        <f>IFERROR(IF($A502="","",$AB502+$AC502),"")</f>
        <v/>
      </c>
      <c r="AE502" s="45">
        <f>IFERROR(IF($A502="","",($M502+$N502)*'Assumptions'!$B$7),"")</f>
        <v/>
      </c>
      <c r="AF502" s="45">
        <f>IFERROR(IF($A502="","",($Q502/60)*'Assumptions'!$B$8),"")</f>
        <v/>
      </c>
      <c r="AG502" s="45">
        <f>IFERROR(IF($A502="","",$P502+$AE502+$AF502),"")</f>
        <v/>
      </c>
      <c r="AH502" s="45">
        <f>IFERROR(IF($A502="","",$M502+$O502),"")</f>
        <v/>
      </c>
      <c r="AI502" s="46">
        <f>IFERROR(IF($A502="","",IFERROR($AH502/$W502,0)),"")</f>
        <v/>
      </c>
      <c r="AJ502" s="45">
        <f>IFERROR(IF($A502="","",$W502-$AH502-$AD502+$AG502),"")</f>
        <v/>
      </c>
      <c r="AK502" s="47">
        <f>IFERROR(IF($A502="","",IF(OR($S502="Collected",$S502="Waived",$S502="Uncollectible",$S502="No Charge Due"),"",IF($T502="",$B502+'Assumptions'!$B$9,$T502+'Assumptions'!$B$9))),"")</f>
        <v/>
      </c>
      <c r="AL502" s="48">
        <f>IFERROR(IF($A502="","",IF(OR($S502="Collected",$S502="Waived",$S502="Uncollectible",$S502="No Charge Due"),"Closed",IF($AK502&lt;TODAY(),"Overdue",IF($AK502=TODAY(),"Due","Open")))),"")</f>
        <v/>
      </c>
      <c r="AM502" s="49">
        <f>IFERROR(IF($A502="","",IF(COUNTIF($A$5:$A$504,$A502)&gt;1,"Duplicate reservation ID",IF($C502&lt;=$B502,"Check stay dates",IF($G502&gt;$F502,"Resold nights exceed booked nights",IF($M502+$N502&gt;$AA502+0.01,"Collection exceeds expected amount",IF(AND($S502="Collected",$M502=0),"Collected status has no amount",IF($AJ502&gt;='Assumptions'!$B$10,"High-cost review","OK"))))))),"")</f>
        <v/>
      </c>
    </row>
    <row r="503">
      <c r="A503" s="38" t="n"/>
      <c r="B503" s="39" t="n"/>
      <c r="C503" s="39" t="n"/>
      <c r="D503" s="38" t="n"/>
      <c r="E503" s="38" t="n"/>
      <c r="F503" s="40" t="n"/>
      <c r="G503" s="40" t="n"/>
      <c r="H503" s="41" t="n"/>
      <c r="I503" s="41" t="n"/>
      <c r="J503" s="42" t="n"/>
      <c r="K503" s="42" t="n"/>
      <c r="L503" s="42" t="n"/>
      <c r="M503" s="41" t="n"/>
      <c r="N503" s="41" t="n"/>
      <c r="O503" s="41" t="n"/>
      <c r="P503" s="41" t="n"/>
      <c r="Q503" s="40" t="n"/>
      <c r="R503" s="38" t="n"/>
      <c r="S503" s="38" t="n"/>
      <c r="T503" s="39" t="n"/>
      <c r="U503" s="43" t="n"/>
      <c r="V503" s="44">
        <f>IFERROR(IF($A503="","",MAX($F503-$G503,0)),"")</f>
        <v/>
      </c>
      <c r="W503" s="45">
        <f>IFERROR(IF($A503="","",$H503+$I503),"")</f>
        <v/>
      </c>
      <c r="X503" s="45">
        <f>IFERROR(IF($A503="","",$H503*IF($J503="",'Assumptions'!$B$4,$J503)),"")</f>
        <v/>
      </c>
      <c r="Y503" s="45">
        <f>IFERROR(IF($A503="","",$X503*IF($K503="",'Assumptions'!$B$12,$K503)),"")</f>
        <v/>
      </c>
      <c r="Z503" s="45">
        <f>IFERROR(IF($A503="","",($X503+$Y503)*IF($L503="",'Assumptions'!$B$13,$L503)),"")</f>
        <v/>
      </c>
      <c r="AA503" s="45">
        <f>IFERROR(IF($A503="","",$X503+$Y503+$Z503),"")</f>
        <v/>
      </c>
      <c r="AB503" s="45">
        <f>IFERROR(IF($A503="","",$V503*'Assumptions'!$B$5),"")</f>
        <v/>
      </c>
      <c r="AC503" s="45">
        <f>IFERROR(IF($A503="","",$I503*'Assumptions'!$B$6),"")</f>
        <v/>
      </c>
      <c r="AD503" s="45">
        <f>IFERROR(IF($A503="","",$AB503+$AC503),"")</f>
        <v/>
      </c>
      <c r="AE503" s="45">
        <f>IFERROR(IF($A503="","",($M503+$N503)*'Assumptions'!$B$7),"")</f>
        <v/>
      </c>
      <c r="AF503" s="45">
        <f>IFERROR(IF($A503="","",($Q503/60)*'Assumptions'!$B$8),"")</f>
        <v/>
      </c>
      <c r="AG503" s="45">
        <f>IFERROR(IF($A503="","",$P503+$AE503+$AF503),"")</f>
        <v/>
      </c>
      <c r="AH503" s="45">
        <f>IFERROR(IF($A503="","",$M503+$O503),"")</f>
        <v/>
      </c>
      <c r="AI503" s="46">
        <f>IFERROR(IF($A503="","",IFERROR($AH503/$W503,0)),"")</f>
        <v/>
      </c>
      <c r="AJ503" s="45">
        <f>IFERROR(IF($A503="","",$W503-$AH503-$AD503+$AG503),"")</f>
        <v/>
      </c>
      <c r="AK503" s="47">
        <f>IFERROR(IF($A503="","",IF(OR($S503="Collected",$S503="Waived",$S503="Uncollectible",$S503="No Charge Due"),"",IF($T503="",$B503+'Assumptions'!$B$9,$T503+'Assumptions'!$B$9))),"")</f>
        <v/>
      </c>
      <c r="AL503" s="48">
        <f>IFERROR(IF($A503="","",IF(OR($S503="Collected",$S503="Waived",$S503="Uncollectible",$S503="No Charge Due"),"Closed",IF($AK503&lt;TODAY(),"Overdue",IF($AK503=TODAY(),"Due","Open")))),"")</f>
        <v/>
      </c>
      <c r="AM503" s="49">
        <f>IFERROR(IF($A503="","",IF(COUNTIF($A$5:$A$504,$A503)&gt;1,"Duplicate reservation ID",IF($C503&lt;=$B503,"Check stay dates",IF($G503&gt;$F503,"Resold nights exceed booked nights",IF($M503+$N503&gt;$AA503+0.01,"Collection exceeds expected amount",IF(AND($S503="Collected",$M503=0),"Collected status has no amount",IF($AJ503&gt;='Assumptions'!$B$10,"High-cost review","OK"))))))),"")</f>
        <v/>
      </c>
    </row>
    <row r="504">
      <c r="A504" s="38" t="n"/>
      <c r="B504" s="39" t="n"/>
      <c r="C504" s="39" t="n"/>
      <c r="D504" s="38" t="n"/>
      <c r="E504" s="38" t="n"/>
      <c r="F504" s="40" t="n"/>
      <c r="G504" s="40" t="n"/>
      <c r="H504" s="41" t="n"/>
      <c r="I504" s="41" t="n"/>
      <c r="J504" s="42" t="n"/>
      <c r="K504" s="42" t="n"/>
      <c r="L504" s="42" t="n"/>
      <c r="M504" s="41" t="n"/>
      <c r="N504" s="41" t="n"/>
      <c r="O504" s="41" t="n"/>
      <c r="P504" s="41" t="n"/>
      <c r="Q504" s="40" t="n"/>
      <c r="R504" s="38" t="n"/>
      <c r="S504" s="38" t="n"/>
      <c r="T504" s="39" t="n"/>
      <c r="U504" s="43" t="n"/>
      <c r="V504" s="44">
        <f>IFERROR(IF($A504="","",MAX($F504-$G504,0)),"")</f>
        <v/>
      </c>
      <c r="W504" s="45">
        <f>IFERROR(IF($A504="","",$H504+$I504),"")</f>
        <v/>
      </c>
      <c r="X504" s="45">
        <f>IFERROR(IF($A504="","",$H504*IF($J504="",'Assumptions'!$B$4,$J504)),"")</f>
        <v/>
      </c>
      <c r="Y504" s="45">
        <f>IFERROR(IF($A504="","",$X504*IF($K504="",'Assumptions'!$B$12,$K504)),"")</f>
        <v/>
      </c>
      <c r="Z504" s="45">
        <f>IFERROR(IF($A504="","",($X504+$Y504)*IF($L504="",'Assumptions'!$B$13,$L504)),"")</f>
        <v/>
      </c>
      <c r="AA504" s="45">
        <f>IFERROR(IF($A504="","",$X504+$Y504+$Z504),"")</f>
        <v/>
      </c>
      <c r="AB504" s="45">
        <f>IFERROR(IF($A504="","",$V504*'Assumptions'!$B$5),"")</f>
        <v/>
      </c>
      <c r="AC504" s="45">
        <f>IFERROR(IF($A504="","",$I504*'Assumptions'!$B$6),"")</f>
        <v/>
      </c>
      <c r="AD504" s="45">
        <f>IFERROR(IF($A504="","",$AB504+$AC504),"")</f>
        <v/>
      </c>
      <c r="AE504" s="45">
        <f>IFERROR(IF($A504="","",($M504+$N504)*'Assumptions'!$B$7),"")</f>
        <v/>
      </c>
      <c r="AF504" s="45">
        <f>IFERROR(IF($A504="","",($Q504/60)*'Assumptions'!$B$8),"")</f>
        <v/>
      </c>
      <c r="AG504" s="45">
        <f>IFERROR(IF($A504="","",$P504+$AE504+$AF504),"")</f>
        <v/>
      </c>
      <c r="AH504" s="45">
        <f>IFERROR(IF($A504="","",$M504+$O504),"")</f>
        <v/>
      </c>
      <c r="AI504" s="46">
        <f>IFERROR(IF($A504="","",IFERROR($AH504/$W504,0)),"")</f>
        <v/>
      </c>
      <c r="AJ504" s="45">
        <f>IFERROR(IF($A504="","",$W504-$AH504-$AD504+$AG504),"")</f>
        <v/>
      </c>
      <c r="AK504" s="47">
        <f>IFERROR(IF($A504="","",IF(OR($S504="Collected",$S504="Waived",$S504="Uncollectible",$S504="No Charge Due"),"",IF($T504="",$B504+'Assumptions'!$B$9,$T504+'Assumptions'!$B$9))),"")</f>
        <v/>
      </c>
      <c r="AL504" s="48">
        <f>IFERROR(IF($A504="","",IF(OR($S504="Collected",$S504="Waived",$S504="Uncollectible",$S504="No Charge Due"),"Closed",IF($AK504&lt;TODAY(),"Overdue",IF($AK504=TODAY(),"Due","Open")))),"")</f>
        <v/>
      </c>
      <c r="AM504" s="49">
        <f>IFERROR(IF($A504="","",IF(COUNTIF($A$5:$A$504,$A504)&gt;1,"Duplicate reservation ID",IF($C504&lt;=$B504,"Check stay dates",IF($G504&gt;$F504,"Resold nights exceed booked nights",IF($M504+$N504&gt;$AA504+0.01,"Collection exceeds expected amount",IF(AND($S504="Collected",$M504=0),"Collected status has no amount",IF($AJ504&gt;='Assumptions'!$B$10,"High-cost review","OK"))))))),"")</f>
        <v/>
      </c>
    </row>
  </sheetData>
  <autoFilter ref="A4:AM504"/>
  <mergeCells count="1">
    <mergeCell ref="A1:AM1"/>
  </mergeCells>
  <conditionalFormatting sqref="AM5:AM504">
    <cfRule type="expression" priority="1" dxfId="1">
      <formula>$AM5="OK"</formula>
    </cfRule>
    <cfRule type="expression" priority="2" dxfId="0">
      <formula>AND($AM5&lt;&gt;"",$AM5&lt;&gt;"OK")</formula>
    </cfRule>
  </conditionalFormatting>
  <conditionalFormatting sqref="AL5:AL504">
    <cfRule type="expression" priority="3" dxfId="0">
      <formula>$AL5="Overdue"</formula>
    </cfRule>
    <cfRule type="expression" priority="4" dxfId="2">
      <formula>$AL5="Due"</formula>
    </cfRule>
    <cfRule type="expression" priority="5" dxfId="1">
      <formula>$AL5="Closed"</formula>
    </cfRule>
  </conditionalFormatting>
  <conditionalFormatting sqref="AJ5:AJ504">
    <cfRule type="expression" priority="6" dxfId="3">
      <formula>AND($A5&lt;&gt;"",$AJ5&gt;='Assumptions'!$B$10)</formula>
    </cfRule>
    <cfRule type="dataBar" priority="9">
      <dataBar showValue="1">
        <cfvo type="num" val="0"/>
        <cfvo type="max"/>
        <color rgb="00C73939"/>
      </dataBar>
    </cfRule>
  </conditionalFormatting>
  <conditionalFormatting sqref="AI5:AI504">
    <cfRule type="expression" priority="7" dxfId="2">
      <formula>AND($A5&lt;&gt;"",$AI5&lt;'Assumptions'!$B$11)</formula>
    </cfRule>
  </conditionalFormatting>
  <conditionalFormatting sqref="A5:A504">
    <cfRule type="expression" priority="8" dxfId="0">
      <formula>AND($A5&lt;&gt;"",COUNTIF($A$5:$A$504,$A5)&gt;1)</formula>
    </cfRule>
  </conditionalFormatting>
  <dataValidations count="11">
    <dataValidation sqref="D5:D504" showDropDown="0" showInputMessage="0" showErrorMessage="1" allowBlank="0" error="Select a listed booking source." type="list" errorStyle="stop">
      <formula1>"Direct Website,Phone,Walk-In,Online Travel Agency,Group Block,Corporate,Travel Agent,Other"</formula1>
    </dataValidation>
    <dataValidation sqref="E5:E504" showDropDown="0" showInputMessage="0" showErrorMessage="1" allowBlank="0" error="Select a listed room type." type="list" errorStyle="stop">
      <formula1>"King,Two Queens,Suite,Accessible King,Accessible Two Queens,Extended Stay,Cabin,Other"</formula1>
    </dataValidation>
    <dataValidation sqref="R5:R504" showDropDown="0" showInputMessage="0" showErrorMessage="1" allowBlank="0" error="Select a listed follow-up owner." type="list" errorStyle="stop">
      <formula1>"Front Office,Reservations,Revenue Management,Accounting,General Manager,No Follow-Up"</formula1>
    </dataValidation>
    <dataValidation sqref="S5:S504" showDropDown="0" showInputMessage="0" showErrorMessage="1" allowBlank="0" error="Select a listed collection status." type="list" errorStyle="stop">
      <formula1>"Not Started,Pending,Partially Collected,Collected,Waived,Disputed,Uncollectible,No Charge Due"</formula1>
    </dataValidation>
    <dataValidation sqref="B5:C504 T5:T504" showDropDown="0" showInputMessage="0" showErrorMessage="1" allowBlank="0" error="Enter a date from 1/1/2020 through 12/31/2035." type="date" errorStyle="stop" operator="between">
      <formula1>DATE(2020,1,1)</formula1>
      <formula2>DATE(2035,12,31)</formula2>
    </dataValidation>
    <dataValidation sqref="F5:F504" showDropDown="0" showInputMessage="0" showErrorMessage="0" allowBlank="0" type="whole" operator="between">
      <formula1>1</formula1>
      <formula2>30</formula2>
    </dataValidation>
    <dataValidation sqref="G5:G504" showDropDown="0" showInputMessage="0" showErrorMessage="0" allowBlank="0" type="whole" operator="between">
      <formula1>0</formula1>
      <formula2>30</formula2>
    </dataValidation>
    <dataValidation sqref="H5:I504 M5:P504" showDropDown="0" showInputMessage="0" showErrorMessage="1" allowBlank="0" error="Enter a nonnegative amount." type="decimal" errorStyle="stop" operator="greaterThanOrEqual">
      <formula1>0</formula1>
    </dataValidation>
    <dataValidation sqref="J5:J504" showDropDown="0" showInputMessage="0" showErrorMessage="0" allowBlank="0" type="decimal" operator="between">
      <formula1>0</formula1>
      <formula2>1</formula2>
    </dataValidation>
    <dataValidation sqref="K5:L504" showDropDown="0" showInputMessage="0" showErrorMessage="0" allowBlank="0" type="decimal" operator="between">
      <formula1>0</formula1>
      <formula2>0.25</formula2>
    </dataValidation>
    <dataValidation sqref="Q5:Q504" showDropDown="0" showInputMessage="0" showErrorMessage="0" allowBlank="0" type="whole" operator="between">
      <formula1>0</formula1>
      <formula2>240</formula2>
    </dataValidation>
  </dataValidations>
  <pageMargins left="0.75" right="0.75" top="1" bottom="1" header="0.5" footer="0.5"/>
  <pageSetup orientation="landscape" fitToHeight="0" fitToWidth="1"/>
  <headerFooter>
    <oddHeader/>
    <oddFooter>&amp;CHotel No-Show Cost Calculator&amp;RPage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68" customWidth="1" min="3" max="3"/>
    <col width="25" customWidth="1" min="5" max="5"/>
    <col width="25" customWidth="1" min="6" max="6"/>
    <col width="25" customWidth="1" min="7" max="7"/>
    <col width="25" customWidth="1" min="8" max="8"/>
  </cols>
  <sheetData>
    <row r="1" ht="28" customHeight="1">
      <c r="A1" s="1" t="inlineStr">
        <is>
          <t>Property Assumptions and Validation Lists</t>
        </is>
      </c>
    </row>
    <row r="2" ht="30" customHeight="1">
      <c r="A2" s="50" t="inlineStr">
        <is>
          <t>These are sample operating assumptions only. Replace them with property-approved amounts and rates. Confirm charge, service-charge, and tax treatment with appropriate property advisors.</t>
        </is>
      </c>
    </row>
    <row r="3">
      <c r="A3" s="37" t="inlineStr">
        <is>
          <t>Assumption</t>
        </is>
      </c>
      <c r="B3" s="37" t="inlineStr">
        <is>
          <t>Editable Value</t>
        </is>
      </c>
      <c r="C3" s="37" t="inlineStr">
        <is>
          <t>Explanation</t>
        </is>
      </c>
      <c r="E3" s="8" t="inlineStr">
        <is>
          <t>Booking Sources</t>
        </is>
      </c>
      <c r="F3" s="8" t="inlineStr">
        <is>
          <t>Room Types</t>
        </is>
      </c>
      <c r="G3" s="8" t="inlineStr">
        <is>
          <t>Follow-Up Owners</t>
        </is>
      </c>
      <c r="H3" s="8" t="inlineStr">
        <is>
          <t>Collection Statuses</t>
        </is>
      </c>
    </row>
    <row r="4">
      <c r="A4" s="51" t="inlineStr">
        <is>
          <t>Default Policy Charge Rate</t>
        </is>
      </c>
      <c r="B4" s="52" t="n">
        <v>1</v>
      </c>
      <c r="C4" s="51" t="inlineStr">
        <is>
          <t>Sample portion of booked room revenue pursued under property policy</t>
        </is>
      </c>
      <c r="E4" s="53" t="inlineStr">
        <is>
          <t>Direct Website</t>
        </is>
      </c>
      <c r="F4" s="53" t="inlineStr">
        <is>
          <t>King</t>
        </is>
      </c>
      <c r="G4" s="53" t="inlineStr">
        <is>
          <t>Front Office</t>
        </is>
      </c>
      <c r="H4" s="53" t="inlineStr">
        <is>
          <t>Not Started</t>
        </is>
      </c>
    </row>
    <row r="5">
      <c r="A5" s="51" t="inlineStr">
        <is>
          <t>Variable Room Cost per Unoccupied Night</t>
        </is>
      </c>
      <c r="B5" s="54" t="n">
        <v>28</v>
      </c>
      <c r="C5" s="51" t="inlineStr">
        <is>
          <t>Estimated housekeeping supplies, laundry, amenities, and other variable room costs avoided</t>
        </is>
      </c>
      <c r="E5" s="53" t="inlineStr">
        <is>
          <t>Phone</t>
        </is>
      </c>
      <c r="F5" s="53" t="inlineStr">
        <is>
          <t>Two Queens</t>
        </is>
      </c>
      <c r="G5" s="53" t="inlineStr">
        <is>
          <t>Reservations</t>
        </is>
      </c>
      <c r="H5" s="53" t="inlineStr">
        <is>
          <t>Pending</t>
        </is>
      </c>
    </row>
    <row r="6">
      <c r="A6" s="51" t="inlineStr">
        <is>
          <t>Avoided Ancillary Cost Rate</t>
        </is>
      </c>
      <c r="B6" s="52" t="n">
        <v>0.35</v>
      </c>
      <c r="C6" s="51" t="inlineStr">
        <is>
          <t>Estimated variable cost portion of ancillary revenue not incurred</t>
        </is>
      </c>
      <c r="E6" s="53" t="inlineStr">
        <is>
          <t>Walk-In</t>
        </is>
      </c>
      <c r="F6" s="53" t="inlineStr">
        <is>
          <t>Suite</t>
        </is>
      </c>
      <c r="G6" s="53" t="inlineStr">
        <is>
          <t>Revenue Management</t>
        </is>
      </c>
      <c r="H6" s="53" t="inlineStr">
        <is>
          <t>Partially Collected</t>
        </is>
      </c>
    </row>
    <row r="7">
      <c r="A7" s="51" t="inlineStr">
        <is>
          <t>Payment Processing Rate</t>
        </is>
      </c>
      <c r="B7" s="52" t="n">
        <v>0.029</v>
      </c>
      <c r="C7" s="51" t="inlineStr">
        <is>
          <t>Sample card or transaction processing rate</t>
        </is>
      </c>
      <c r="E7" s="53" t="inlineStr">
        <is>
          <t>Online Travel Agency</t>
        </is>
      </c>
      <c r="F7" s="53" t="inlineStr">
        <is>
          <t>Accessible King</t>
        </is>
      </c>
      <c r="G7" s="53" t="inlineStr">
        <is>
          <t>Accounting</t>
        </is>
      </c>
      <c r="H7" s="53" t="inlineStr">
        <is>
          <t>Collected</t>
        </is>
      </c>
    </row>
    <row r="8">
      <c r="A8" s="51" t="inlineStr">
        <is>
          <t>Loaded Hourly Labor Cost</t>
        </is>
      </c>
      <c r="B8" s="54" t="n">
        <v>27.5</v>
      </c>
      <c r="C8" s="51" t="inlineStr">
        <is>
          <t>Estimated wage plus payroll burden for follow-up work</t>
        </is>
      </c>
      <c r="E8" s="53" t="inlineStr">
        <is>
          <t>Group Block</t>
        </is>
      </c>
      <c r="F8" s="53" t="inlineStr">
        <is>
          <t>Accessible Two Queens</t>
        </is>
      </c>
      <c r="G8" s="53" t="inlineStr">
        <is>
          <t>General Manager</t>
        </is>
      </c>
      <c r="H8" s="53" t="inlineStr">
        <is>
          <t>Waived</t>
        </is>
      </c>
    </row>
    <row r="9">
      <c r="A9" s="51" t="inlineStr">
        <is>
          <t>Follow-Up Interval in Days</t>
        </is>
      </c>
      <c r="B9" s="55" t="n">
        <v>3</v>
      </c>
      <c r="C9" s="51" t="inlineStr">
        <is>
          <t>Days between collection follow-up actions</t>
        </is>
      </c>
      <c r="E9" s="53" t="inlineStr">
        <is>
          <t>Corporate</t>
        </is>
      </c>
      <c r="F9" s="53" t="inlineStr">
        <is>
          <t>Extended Stay</t>
        </is>
      </c>
      <c r="G9" s="53" t="inlineStr">
        <is>
          <t>No Follow-Up</t>
        </is>
      </c>
      <c r="H9" s="53" t="inlineStr">
        <is>
          <t>Disputed</t>
        </is>
      </c>
    </row>
    <row r="10">
      <c r="A10" s="51" t="inlineStr">
        <is>
          <t>High-Cost Review Threshold</t>
        </is>
      </c>
      <c r="B10" s="54" t="n">
        <v>500</v>
      </c>
      <c r="C10" s="51" t="inlineStr">
        <is>
          <t>Net no-show cost requiring management review</t>
        </is>
      </c>
      <c r="E10" s="53" t="inlineStr">
        <is>
          <t>Travel Agent</t>
        </is>
      </c>
      <c r="F10" s="53" t="inlineStr">
        <is>
          <t>Cabin</t>
        </is>
      </c>
      <c r="H10" s="53" t="inlineStr">
        <is>
          <t>Uncollectible</t>
        </is>
      </c>
    </row>
    <row r="11">
      <c r="A11" s="51" t="inlineStr">
        <is>
          <t>Target Recovery Rate</t>
        </is>
      </c>
      <c r="B11" s="52" t="n">
        <v>0.5</v>
      </c>
      <c r="C11" s="51" t="inlineStr">
        <is>
          <t>Internal management target, not a legal or industry requirement</t>
        </is>
      </c>
      <c r="E11" s="53" t="inlineStr">
        <is>
          <t>Other</t>
        </is>
      </c>
      <c r="F11" s="53" t="inlineStr">
        <is>
          <t>Other</t>
        </is>
      </c>
      <c r="H11" s="53" t="inlineStr">
        <is>
          <t>No Charge Due</t>
        </is>
      </c>
    </row>
    <row r="12">
      <c r="A12" s="51" t="inlineStr">
        <is>
          <t>Default Service Charge Rate</t>
        </is>
      </c>
      <c r="B12" s="52" t="n">
        <v>0</v>
      </c>
      <c r="C12" s="51" t="inlineStr">
        <is>
          <t>Property-entered rate, if applicable</t>
        </is>
      </c>
    </row>
    <row r="13">
      <c r="A13" s="51" t="inlineStr">
        <is>
          <t>Default Tax Rate</t>
        </is>
      </c>
      <c r="B13" s="52" t="n">
        <v>0</v>
      </c>
      <c r="C13" s="51" t="inlineStr">
        <is>
          <t>Property-entered rate based on property treatment and local requirements</t>
        </is>
      </c>
    </row>
  </sheetData>
  <mergeCells count="1">
    <mergeCell ref="A1:H1"/>
  </mergeCells>
  <dataValidations count="4">
    <dataValidation sqref="B4 B6:B7 B11" showDropDown="0" showInputMessage="0" showErrorMessage="0" allowBlank="0" type="decimal" operator="between">
      <formula1>0</formula1>
      <formula2>1</formula2>
    </dataValidation>
    <dataValidation sqref="B12:B13" showDropDown="0" showInputMessage="0" showErrorMessage="0" allowBlank="0" type="decimal" operator="between">
      <formula1>0</formula1>
      <formula2>0.25</formula2>
    </dataValidation>
    <dataValidation sqref="B5 B8 B10" showDropDown="0" showInputMessage="0" showErrorMessage="0" allowBlank="0" type="decimal" operator="greaterThanOrEqual">
      <formula1>0</formula1>
    </dataValidation>
    <dataValidation sqref="B9" showDropDown="0" showInputMessage="0" showErrorMessage="0" allowBlank="0" type="whole" operator="between">
      <formula1>1</formula1>
      <formula2>30</formula2>
    </dataValidation>
  </dataValidations>
  <pageMargins left="0.75" right="0.75" top="1" bottom="1" header="0.5" footer="0.5"/>
  <pageSetup orientation="landscape" fitToWidth="1"/>
  <headerFooter>
    <oddHeader/>
    <oddFooter>&amp;CHotel No-Show Cost Calculator&amp;RPage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Hotel No-Show Cost Calculator Instructions</t>
        </is>
      </c>
    </row>
    <row r="3">
      <c r="A3" s="56" t="inlineStr">
        <is>
          <t>Getting Started</t>
        </is>
      </c>
    </row>
    <row r="4" ht="28" customHeight="1">
      <c r="A4" s="57" t="inlineStr">
        <is>
          <t>1. Review the editable values on the Assumptions worksheet.</t>
        </is>
      </c>
    </row>
    <row r="5" ht="28" customHeight="1">
      <c r="A5" s="58" t="inlineStr">
        <is>
          <t>2. Enter one row per no-show reservation on the No-Show Log worksheet.</t>
        </is>
      </c>
    </row>
    <row r="6" ht="28" customHeight="1">
      <c r="A6" s="57" t="inlineStr">
        <is>
          <t>3. Enter expected revenue before tax.</t>
        </is>
      </c>
    </row>
    <row r="7" ht="28" customHeight="1">
      <c r="A7" s="58" t="inlineStr">
        <is>
          <t>4. Record actual no-show collections, tax collected, and resale revenue separately.</t>
        </is>
      </c>
    </row>
    <row r="8" ht="28" customHeight="1">
      <c r="A8" s="57" t="inlineStr">
        <is>
          <t>5. Update collection status, follow-up owner, and last follow-up date after each action.</t>
        </is>
      </c>
    </row>
    <row r="9" ht="28" customHeight="1">
      <c r="A9" s="58" t="inlineStr">
        <is>
          <t>6. Use the Dashboard to review costs and follow-up for the selected date range.</t>
        </is>
      </c>
    </row>
    <row r="11">
      <c r="A11" s="56" t="inlineStr">
        <is>
          <t>What the Net Cost Includes</t>
        </is>
      </c>
    </row>
    <row r="12" ht="28" customHeight="1">
      <c r="A12" s="57" t="inlineStr">
        <is>
          <t>Net No-Show Cost = Gross Expected Revenue − Revenue Recovered − Avoided Variable Costs + Collection and Handling Costs</t>
        </is>
      </c>
    </row>
    <row r="13" ht="28" customHeight="1">
      <c r="A13" s="58" t="inlineStr">
        <is>
          <t>Gross expected revenue includes booked room revenue and estimated ancillary revenue.</t>
        </is>
      </c>
    </row>
    <row r="14" ht="28" customHeight="1">
      <c r="A14" s="57" t="inlineStr">
        <is>
          <t>Revenue recovered includes amounts collected before tax and room resale revenue.</t>
        </is>
      </c>
    </row>
    <row r="15" ht="28" customHeight="1">
      <c r="A15" s="58" t="inlineStr">
        <is>
          <t>Tax collected is tracked but is not treated as property revenue.</t>
        </is>
      </c>
    </row>
    <row r="16" ht="28" customHeight="1">
      <c r="A16" s="57" t="inlineStr">
        <is>
          <t>Avoided costs estimate expenses not incurred because the guest did not occupy the room.</t>
        </is>
      </c>
    </row>
    <row r="17" ht="28" customHeight="1">
      <c r="A17" s="58" t="inlineStr">
        <is>
          <t>Collection and handling costs include direct costs, payment processing, and staff time.</t>
        </is>
      </c>
    </row>
    <row r="18" ht="28" customHeight="1">
      <c r="A18" s="57" t="inlineStr">
        <is>
          <t>A negative net cost means recoveries and avoided costs exceeded the original expected revenue exposure.</t>
        </is>
      </c>
    </row>
    <row r="20">
      <c r="A20" s="56" t="inlineStr">
        <is>
          <t>Operational Review Guidance</t>
        </is>
      </c>
    </row>
    <row r="21" ht="28" customHeight="1">
      <c r="A21" s="58" t="inlineStr">
        <is>
          <t>Review duplicate reservation IDs and correct repeated references.</t>
        </is>
      </c>
    </row>
    <row r="22" ht="28" customHeight="1">
      <c r="A22" s="57" t="inlineStr">
        <is>
          <t>Review departure dates that do not follow arrival dates.</t>
        </is>
      </c>
    </row>
    <row r="23" ht="28" customHeight="1">
      <c r="A23" s="58" t="inlineStr">
        <is>
          <t>Review resold nights that exceed booked nights.</t>
        </is>
      </c>
    </row>
    <row r="24" ht="28" customHeight="1">
      <c r="A24" s="57" t="inlineStr">
        <is>
          <t>Review collected statuses with no recorded collection.</t>
        </is>
      </c>
    </row>
    <row r="25" ht="28" customHeight="1">
      <c r="A25" s="58" t="inlineStr">
        <is>
          <t>Review collections that exceed the expected amount.</t>
        </is>
      </c>
    </row>
    <row r="26" ht="28" customHeight="1">
      <c r="A26" s="57" t="inlineStr">
        <is>
          <t>Review overdue follow-up, high-cost records, and low recovery rates.</t>
        </is>
      </c>
    </row>
    <row r="28">
      <c r="A28" s="56" t="inlineStr">
        <is>
          <t>Data Handling Note</t>
        </is>
      </c>
    </row>
    <row r="29" ht="28" customHeight="1">
      <c r="A29" s="58" t="inlineStr">
        <is>
          <t>Use reservation references rather than guest names whenever possible. Do not enter payment card numbers, bank details, identification numbers, or other sensitive guest information in this workbook.</t>
        </is>
      </c>
    </row>
    <row r="31">
      <c r="A31" s="56" t="inlineStr">
        <is>
          <t>Policy Note</t>
        </is>
      </c>
    </row>
    <row r="32" ht="28" customHeight="1">
      <c r="A32" s="57" t="inlineStr">
        <is>
          <t>This workbook is an operational calculator, not legal, tax, or accounting advice. No-show fees, service charges, refunds, and taxes vary by property policy, booking agreement, payment method, and jurisdiction.</t>
        </is>
      </c>
    </row>
  </sheetData>
  <mergeCells count="1">
    <mergeCell ref="A1:H1"/>
  </mergeCells>
  <pageMargins left="0.75" right="0.75" top="1" bottom="1" header="0.5" footer="0.5"/>
  <pageSetup orientation="portrait" fitToWidth="1"/>
  <headerFooter>
    <oddHeader/>
    <oddFooter>&amp;CHotel No-Show Cost Calculator&amp;RPage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2026-09-06T16:06:17Z</dcterms:created>
  <dcterms:modified xmlns:dcterms="http://purl.org/dc/terms/" xmlns:xsi="http://www.w3.org/2001/XMLSchema-instance" xsi:type="dcterms:W3CDTF">2026-09-06T16:06:20+00:00Z</dcterms:modified>
</cp:coreProperties>
</file>