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Key Activity Log" sheetId="2" state="visible" r:id="rId2"/>
    <sheet xmlns:r="http://schemas.openxmlformats.org/officeDocument/2006/relationships" name="Key Inventory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'Dashboard'!$A$1:$R$43</definedName>
    <definedName name="_xlnm._FilterDatabase" localSheetId="1" hidden="1">'Key Activity Log'!$A$4:$AA$254</definedName>
    <definedName name="_xlnm.Print_Area" localSheetId="1">'Key Activity Log'!$A$1:$Z$254</definedName>
    <definedName name="_xlnm._FilterDatabase" localSheetId="2" hidden="1">'Key Inventory'!$A$4:$S$104</definedName>
    <definedName name="_xlnm.Print_Area" localSheetId="2">'Key Inventory'!$A$1:$S$104</definedName>
    <definedName name="_xlnm.Print_Area" localSheetId="3">'Instructions'!$A$1:$H$43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/d/yyyy"/>
    <numFmt numFmtId="165" formatCode="$#,##0.00"/>
    <numFmt numFmtId="166" formatCode="0.0%"/>
    <numFmt numFmtId="167" formatCode="0.0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44546A"/>
      <sz val="11"/>
    </font>
    <font>
      <name val="Calibri"/>
      <color rgb="0044546A"/>
      <sz val="9"/>
    </font>
    <font>
      <name val="Calibri"/>
      <b val="1"/>
      <color rgb="00FFFFFF"/>
      <sz val="10"/>
    </font>
    <font>
      <name val="Calibri"/>
      <color rgb="001F1F1F"/>
      <sz val="10"/>
    </font>
    <font>
      <name val="Calibri"/>
      <b val="1"/>
      <color rgb="0017324D"/>
      <sz val="18"/>
    </font>
    <font>
      <name val="Calibri"/>
      <b val="1"/>
      <color rgb="00FFFFFF"/>
      <sz val="11"/>
    </font>
    <font>
      <name val="Calibri"/>
      <b val="1"/>
      <color rgb="008B1A1A"/>
      <sz val="10"/>
    </font>
  </fonts>
  <fills count="8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FF1CE"/>
      </patternFill>
    </fill>
    <fill>
      <patternFill patternType="solid">
        <fgColor rgb="00FFFFFF"/>
      </patternFill>
    </fill>
    <fill>
      <patternFill patternType="solid">
        <fgColor rgb="00E7E6E6"/>
      </patternFill>
    </fill>
    <fill>
      <patternFill patternType="solid">
        <fgColor rgb="00F2F7F8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0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3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" fontId="5" fillId="4" borderId="1" applyProtection="1" pivotButton="0" quotePrefix="0" xfId="0">
      <protection locked="0" hidden="0"/>
    </xf>
    <xf numFmtId="1" fontId="6" fillId="5" borderId="1" applyAlignment="1" pivotButton="0" quotePrefix="0" xfId="0">
      <alignment horizontal="center" vertical="center"/>
    </xf>
    <xf numFmtId="0" fontId="7" fillId="2" borderId="0" pivotButton="0" quotePrefix="0" xfId="0"/>
    <xf numFmtId="0" fontId="0" fillId="0" borderId="1" pivotButton="0" quotePrefix="0" xfId="0"/>
    <xf numFmtId="165" fontId="5" fillId="4" borderId="1" applyProtection="1" pivotButton="0" quotePrefix="0" xfId="0">
      <protection locked="0" hidden="0"/>
    </xf>
    <xf numFmtId="165" fontId="6" fillId="5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 wrapText="1"/>
    </xf>
    <xf numFmtId="0" fontId="5" fillId="6" borderId="1" pivotButton="0" quotePrefix="0" xfId="0"/>
    <xf numFmtId="164" fontId="5" fillId="6" borderId="1" pivotButton="0" quotePrefix="0" xfId="0"/>
    <xf numFmtId="18" fontId="5" fillId="6" borderId="1" pivotButton="0" quotePrefix="0" xfId="0"/>
    <xf numFmtId="167" fontId="5" fillId="6" borderId="1" pivotButton="0" quotePrefix="0" xfId="0"/>
    <xf numFmtId="0" fontId="0" fillId="7" borderId="1" pivotButton="0" quotePrefix="0" xfId="0"/>
    <xf numFmtId="0" fontId="0" fillId="5" borderId="1" pivotButton="0" quotePrefix="0" xfId="0"/>
    <xf numFmtId="0" fontId="1" fillId="2" borderId="0" pivotButton="0" quotePrefix="0" xfId="0"/>
    <xf numFmtId="0" fontId="3" fillId="0" borderId="0" pivotButton="0" quotePrefix="0" xfId="0"/>
    <xf numFmtId="0" fontId="5" fillId="4" borderId="1" applyAlignment="1" applyProtection="1" pivotButton="0" quotePrefix="0" xfId="0">
      <alignment horizontal="left" vertical="center" wrapText="1"/>
      <protection locked="0" hidden="0"/>
    </xf>
    <xf numFmtId="0" fontId="5" fillId="6" borderId="1" applyAlignment="1" pivotButton="0" quotePrefix="0" xfId="0">
      <alignment horizontal="left" vertical="center" wrapText="1"/>
    </xf>
    <xf numFmtId="164" fontId="5" fillId="4" borderId="1" applyAlignment="1" applyProtection="1" pivotButton="0" quotePrefix="0" xfId="0">
      <alignment horizontal="left" vertical="center" wrapText="1"/>
      <protection locked="0" hidden="0"/>
    </xf>
    <xf numFmtId="18" fontId="5" fillId="4" borderId="1" applyAlignment="1" applyProtection="1" pivotButton="0" quotePrefix="0" xfId="0">
      <alignment horizontal="left" vertical="center" wrapText="1"/>
      <protection locked="0" hidden="0"/>
    </xf>
    <xf numFmtId="167" fontId="5" fillId="6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left" vertical="center" wrapText="1"/>
    </xf>
    <xf numFmtId="165" fontId="5" fillId="4" borderId="1" applyAlignment="1" applyProtection="1" pivotButton="0" quotePrefix="0" xfId="0">
      <alignment horizontal="left" vertical="center" wrapText="1"/>
      <protection locked="0" hidden="0"/>
    </xf>
    <xf numFmtId="164" fontId="5" fillId="6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7" fillId="2" borderId="1" pivotButton="0" quotePrefix="0" xfId="0"/>
    <xf numFmtId="0" fontId="0" fillId="5" borderId="1" applyAlignment="1" pivotButton="0" quotePrefix="0" xfId="0">
      <alignment horizontal="left" vertical="center" wrapText="1"/>
    </xf>
    <xf numFmtId="0" fontId="0" fillId="7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Calibri"/>
        <b val="1"/>
        <color rgb="008B1A1A"/>
        <sz val="10"/>
      </font>
      <fill>
        <patternFill patternType="solid">
          <fgColor rgb="00F4CCCC"/>
        </patternFill>
      </fill>
    </dxf>
    <dxf>
      <font>
        <name val="Calibri"/>
        <b val="1"/>
        <color rgb="00147D64"/>
        <sz val="10"/>
      </font>
      <fill>
        <patternFill patternType="solid">
          <fgColor rgb="00E2F0D9"/>
        </patternFill>
      </fill>
    </dxf>
    <dxf>
      <font>
        <name val="Calibri"/>
        <b val="1"/>
        <color rgb="008B1A1A"/>
        <sz val="10"/>
      </font>
      <fill>
        <patternFill patternType="solid">
          <fgColor rgb="00FCE4D6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Current Key Availability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'Dashboard'!K7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'Dashboard'!$J$8:$J$11</f>
            </numRef>
          </cat>
          <val>
            <numRef>
              <f>'Dashboard'!$K$8:$K$11</f>
            </numRef>
          </val>
        </ser>
        <dLbls>
          <showLegendKey val="0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Keys by Department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'Dashboard'!C31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'Dashboard'!$A$32:$A$39</f>
            </numRef>
          </cat>
          <val>
            <numRef>
              <f>'Dashboard'!$C$32:$C$39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Open Assignments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Department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12</row>
      <rowOff>0</rowOff>
    </from>
    <ext cx="4860000" cy="244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28</row>
      <rowOff>0</rowOff>
    </from>
    <ext cx="486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KeyActivity" displayName="tblKeyActivity" ref="A4:AA254" headerRowCount="1">
  <autoFilter ref="A4:AA254"/>
  <tableColumns count="27">
    <tableColumn id="1" name="Transaction ID"/>
    <tableColumn id="2" name="Key ID"/>
    <tableColumn id="3" name="Key Description"/>
    <tableColumn id="4" name="Key Type"/>
    <tableColumn id="5" name="Access Area"/>
    <tableColumn id="6" name="Issued To"/>
    <tableColumn id="7" name="Employee / Vendor ID"/>
    <tableColumn id="8" name="Department"/>
    <tableColumn id="9" name="Company"/>
    <tableColumn id="10" name="Purpose"/>
    <tableColumn id="11" name="Authorization Reference"/>
    <tableColumn id="12" name="Issued Date"/>
    <tableColumn id="13" name="Issued Time"/>
    <tableColumn id="14" name="Due Date"/>
    <tableColumn id="15" name="Due Time"/>
    <tableColumn id="16" name="Returned Date"/>
    <tableColumn id="17" name="Returned Time"/>
    <tableColumn id="18" name="Issued By"/>
    <tableColumn id="19" name="Received By"/>
    <tableColumn id="20" name="Condition Out"/>
    <tableColumn id="21" name="Condition In"/>
    <tableColumn id="22" name="Status"/>
    <tableColumn id="23" name="Hours Outstanding"/>
    <tableColumn id="24" name="Replacement Cost"/>
    <tableColumn id="25" name="High-Cost Open Flag"/>
    <tableColumn id="26" name="Notes"/>
    <tableColumn id="27" name="Open Lookup Ke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KeyInventory" displayName="tblKeyInventory" ref="A4:S104" headerRowCount="1">
  <autoFilter ref="A4:S104"/>
  <tableColumns count="19">
    <tableColumn id="1" name="Key ID"/>
    <tableColumn id="2" name="Key Description"/>
    <tableColumn id="3" name="Key Type"/>
    <tableColumn id="4" name="Access Area"/>
    <tableColumn id="5" name="Department Owner"/>
    <tableColumn id="6" name="Default Storage Location"/>
    <tableColumn id="7" name="Assigned Custodian"/>
    <tableColumn id="8" name="Lifecycle Status"/>
    <tableColumn id="9" name="Replacement Cost"/>
    <tableColumn id="10" name="Date Added"/>
    <tableColumn id="11" name="Last Audit Date"/>
    <tableColumn id="12" name="Next Audit Due"/>
    <tableColumn id="13" name="Current Availability"/>
    <tableColumn id="14" name="Current Holder"/>
    <tableColumn id="15" name="Open Status"/>
    <tableColumn id="16" name="Audit Status"/>
    <tableColumn id="17" name="High-Cost Flag"/>
    <tableColumn id="18" name="Last Verified By"/>
    <tableColumn id="19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U309"/>
  <sheetViews>
    <sheetView showGridLines="0" zoomScale="70" zoomScaleNormal="7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21" customWidth="1" min="3" max="3"/>
    <col width="23" customWidth="1" min="4" max="4"/>
    <col width="18" customWidth="1" min="5" max="5"/>
    <col width="23" customWidth="1" min="6" max="6"/>
    <col width="15" customWidth="1" min="7" max="7"/>
    <col width="23" customWidth="1" min="8" max="8"/>
    <col width="15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hidden="1" width="13" customWidth="1" min="19" max="19"/>
    <col hidden="1" width="13" customWidth="1" min="20" max="20"/>
    <col hidden="1" width="13" customWidth="1" min="21" max="21"/>
  </cols>
  <sheetData>
    <row r="1" ht="28" customHeight="1">
      <c r="A1" s="1" t="inlineStr">
        <is>
          <t>Hotel Key Control Dashboard</t>
        </is>
      </c>
    </row>
    <row r="2">
      <c r="A2" s="2" t="inlineStr">
        <is>
          <t>Monitor issued keys, overdue returns, inventory status, and key audits</t>
        </is>
      </c>
    </row>
    <row r="3">
      <c r="A3" t="inlineStr">
        <is>
          <t>As of:</t>
        </is>
      </c>
      <c r="B3" s="3">
        <f>IFERROR(TODAY(),0)</f>
        <v/>
      </c>
      <c r="D3" s="4" t="inlineStr">
        <is>
          <t>Dashboard results are based on entries in the Key Activity Log and Key Inventory worksheets.</t>
        </is>
      </c>
    </row>
    <row r="4"/>
    <row r="5"/>
    <row r="6">
      <c r="A6" s="5" t="inlineStr">
        <is>
          <t>Editable Control Settings</t>
        </is>
      </c>
      <c r="B6" s="5" t="n"/>
      <c r="D6" s="6" t="inlineStr">
        <is>
          <t>Total Active Keys</t>
        </is>
      </c>
      <c r="F6" s="6" t="inlineStr">
        <is>
          <t>Keys Currently Checked Out</t>
        </is>
      </c>
      <c r="H6" s="6" t="inlineStr">
        <is>
          <t>Overdue Returns</t>
        </is>
      </c>
      <c r="J6" s="5" t="inlineStr">
        <is>
          <t>Current Key Availability</t>
        </is>
      </c>
    </row>
    <row r="7">
      <c r="A7" s="7" t="inlineStr">
        <is>
          <t>Overdue Grace Period (Hours)</t>
        </is>
      </c>
      <c r="B7" s="8" t="n">
        <v>2</v>
      </c>
      <c r="C7" s="4" t="inlineStr">
        <is>
          <t>Adjust these internal operating thresholds to match the property's key-control procedures. They are not legal requirements.</t>
        </is>
      </c>
      <c r="D7" s="9">
        <f>IFERROR(COUNTIF('Key Inventory'!$H$5:$H$104,"Active"),0)</f>
        <v/>
      </c>
      <c r="F7" s="9">
        <f>IFERROR(COUNTIF('Key Activity Log'!$V$5:$V$254,"Checked Out")+COUNTIF('Key Activity Log'!$V$5:$V$254,"Overdue"),0)</f>
        <v/>
      </c>
      <c r="H7" s="9">
        <f>IFERROR(COUNTIF('Key Activity Log'!$V$5:$V$254,"Overdue"),0)</f>
        <v/>
      </c>
      <c r="J7" s="10" t="inlineStr">
        <is>
          <t>Availability</t>
        </is>
      </c>
      <c r="K7" s="10" t="inlineStr">
        <is>
          <t>Count</t>
        </is>
      </c>
    </row>
    <row r="8">
      <c r="A8" s="7" t="inlineStr">
        <is>
          <t>Inventory Audit Interval (Days)</t>
        </is>
      </c>
      <c r="B8" s="8" t="n">
        <v>90</v>
      </c>
      <c r="J8" s="11" t="inlineStr">
        <is>
          <t>Available</t>
        </is>
      </c>
      <c r="K8" s="11">
        <f>IFERROR(COUNTIF('Key Inventory'!$M$5:$M$104,"Available"),0)</f>
        <v/>
      </c>
    </row>
    <row r="9">
      <c r="A9" s="7" t="inlineStr">
        <is>
          <t>High Replacement Cost Threshold</t>
        </is>
      </c>
      <c r="B9" s="12" t="n">
        <v>100</v>
      </c>
      <c r="D9" s="6" t="inlineStr">
        <is>
          <t>Keys Reported Lost</t>
        </is>
      </c>
      <c r="F9" s="6" t="inlineStr">
        <is>
          <t>Audits Due or Overdue</t>
        </is>
      </c>
      <c r="H9" s="6" t="inlineStr">
        <is>
          <t>Inventory Replacement Value</t>
        </is>
      </c>
      <c r="J9" s="11" t="inlineStr">
        <is>
          <t>Checked Out</t>
        </is>
      </c>
      <c r="K9" s="11">
        <f>IFERROR(COUNTIF('Key Inventory'!$M$5:$M$104,"Checked Out"),0)</f>
        <v/>
      </c>
    </row>
    <row r="10">
      <c r="A10" s="7" t="inlineStr">
        <is>
          <t>Upcoming Audit Window (Days)</t>
        </is>
      </c>
      <c r="B10" s="8" t="n">
        <v>30</v>
      </c>
      <c r="D10" s="9">
        <f>IFERROR(COUNTIF('Key Inventory'!$H$5:$H$104,"Lost"),0)</f>
        <v/>
      </c>
      <c r="F10" s="9">
        <f>IFERROR(COUNTIFS('Key Inventory'!$H$5:$H$104,"Active",'Key Inventory'!$L$5:$L$104,"&lt;="&amp;TODAY()+$B$10),0)</f>
        <v/>
      </c>
      <c r="H10" s="13">
        <f>IFERROR(SUM('Key Inventory'!$I$5:$I$104),0)</f>
        <v/>
      </c>
      <c r="J10" s="11" t="inlineStr">
        <is>
          <t>Lost</t>
        </is>
      </c>
      <c r="K10" s="11">
        <f>IFERROR(COUNTIF('Key Inventory'!$M$5:$M$104,"Lost"),0)</f>
        <v/>
      </c>
    </row>
    <row r="11">
      <c r="J11" s="11" t="inlineStr">
        <is>
          <t>Out of Service</t>
        </is>
      </c>
      <c r="K11" s="11">
        <f>IFERROR(COUNTIF('Key Inventory'!$M$5:$M$104,"Out of Service"),0)</f>
        <v/>
      </c>
    </row>
    <row r="12">
      <c r="D12" s="6" t="inlineStr">
        <is>
          <t>Completed Return Rate</t>
        </is>
      </c>
      <c r="F12" s="6" t="inlineStr">
        <is>
          <t>High-Cost Keys Checked Out</t>
        </is>
      </c>
      <c r="K12">
        <f>""</f>
        <v/>
      </c>
    </row>
    <row r="13">
      <c r="D13" s="14">
        <f>IFERROR(COUNTIF('Key Activity Log'!$V$5:$V$254,"Returned")/COUNTIF('Key Activity Log'!$A$5:$A$254,"&lt;&gt;"),0)</f>
        <v/>
      </c>
      <c r="F13" s="9">
        <f>IFERROR(COUNTIF('Key Activity Log'!$Y$5:$Y$254,"Review"),0)</f>
        <v/>
      </c>
      <c r="K13">
        <f>""</f>
        <v/>
      </c>
    </row>
    <row r="14">
      <c r="K14">
        <f>""</f>
        <v/>
      </c>
    </row>
    <row r="15">
      <c r="K15">
        <f>""</f>
        <v/>
      </c>
    </row>
    <row r="16">
      <c r="A16" s="5" t="inlineStr">
        <is>
          <t>Open Key Assignments</t>
        </is>
      </c>
      <c r="K16">
        <f>""</f>
        <v/>
      </c>
    </row>
    <row r="17">
      <c r="A17" s="15" t="inlineStr">
        <is>
          <t>Key ID</t>
        </is>
      </c>
      <c r="B17" s="15" t="inlineStr">
        <is>
          <t>Key Description</t>
        </is>
      </c>
      <c r="C17" s="15" t="inlineStr">
        <is>
          <t>Issued To</t>
        </is>
      </c>
      <c r="D17" s="15" t="inlineStr">
        <is>
          <t>Department</t>
        </is>
      </c>
      <c r="E17" s="15" t="inlineStr">
        <is>
          <t>Issued Date</t>
        </is>
      </c>
      <c r="F17" s="15" t="inlineStr">
        <is>
          <t>Due Date</t>
        </is>
      </c>
      <c r="G17" s="15" t="inlineStr">
        <is>
          <t>Due Time</t>
        </is>
      </c>
      <c r="H17" s="15" t="inlineStr">
        <is>
          <t>Hours Outstanding</t>
        </is>
      </c>
      <c r="I17" s="15" t="inlineStr">
        <is>
          <t>Status</t>
        </is>
      </c>
      <c r="K17">
        <f>""</f>
        <v/>
      </c>
    </row>
    <row r="18">
      <c r="A18" s="16">
        <f>IFERROR(INDEX('Key Activity Log'!$B$5:$B$254,MATCH(1,$U$60:$U$309,0)),"")</f>
        <v/>
      </c>
      <c r="B18" s="16">
        <f>IFERROR(INDEX('Key Activity Log'!$C$5:$C$254,MATCH(1,$U$60:$U$309,0)),"")</f>
        <v/>
      </c>
      <c r="C18" s="16">
        <f>IFERROR(INDEX('Key Activity Log'!$F$5:$F$254,MATCH(1,$U$60:$U$309,0)),"")</f>
        <v/>
      </c>
      <c r="D18" s="16">
        <f>IFERROR(INDEX('Key Activity Log'!$H$5:$H$254,MATCH(1,$U$60:$U$309,0)),"")</f>
        <v/>
      </c>
      <c r="E18" s="17">
        <f>IFERROR(INDEX('Key Activity Log'!$L$5:$L$254,MATCH(1,$U$60:$U$309,0)),"")</f>
        <v/>
      </c>
      <c r="F18" s="17">
        <f>IFERROR(INDEX('Key Activity Log'!$N$5:$N$254,MATCH(1,$U$60:$U$309,0)),"")</f>
        <v/>
      </c>
      <c r="G18" s="18">
        <f>IFERROR(INDEX('Key Activity Log'!$O$5:$O$254,MATCH(1,$U$60:$U$309,0)),"")</f>
        <v/>
      </c>
      <c r="H18" s="19">
        <f>IFERROR(INDEX('Key Activity Log'!$W$5:$W$254,MATCH(1,$U$60:$U$309,0)),"")</f>
        <v/>
      </c>
      <c r="I18" s="16">
        <f>IFERROR(INDEX('Key Activity Log'!$V$5:$V$254,MATCH(1,$U$60:$U$309,0)),"")</f>
        <v/>
      </c>
      <c r="K18">
        <f>""</f>
        <v/>
      </c>
    </row>
    <row r="19">
      <c r="A19" s="16">
        <f>IFERROR(INDEX('Key Activity Log'!$B$5:$B$254,MATCH(2,$U$60:$U$309,0)),"")</f>
        <v/>
      </c>
      <c r="B19" s="16">
        <f>IFERROR(INDEX('Key Activity Log'!$C$5:$C$254,MATCH(2,$U$60:$U$309,0)),"")</f>
        <v/>
      </c>
      <c r="C19" s="16">
        <f>IFERROR(INDEX('Key Activity Log'!$F$5:$F$254,MATCH(2,$U$60:$U$309,0)),"")</f>
        <v/>
      </c>
      <c r="D19" s="16">
        <f>IFERROR(INDEX('Key Activity Log'!$H$5:$H$254,MATCH(2,$U$60:$U$309,0)),"")</f>
        <v/>
      </c>
      <c r="E19" s="17">
        <f>IFERROR(INDEX('Key Activity Log'!$L$5:$L$254,MATCH(2,$U$60:$U$309,0)),"")</f>
        <v/>
      </c>
      <c r="F19" s="17">
        <f>IFERROR(INDEX('Key Activity Log'!$N$5:$N$254,MATCH(2,$U$60:$U$309,0)),"")</f>
        <v/>
      </c>
      <c r="G19" s="18">
        <f>IFERROR(INDEX('Key Activity Log'!$O$5:$O$254,MATCH(2,$U$60:$U$309,0)),"")</f>
        <v/>
      </c>
      <c r="H19" s="19">
        <f>IFERROR(INDEX('Key Activity Log'!$W$5:$W$254,MATCH(2,$U$60:$U$309,0)),"")</f>
        <v/>
      </c>
      <c r="I19" s="16">
        <f>IFERROR(INDEX('Key Activity Log'!$V$5:$V$254,MATCH(2,$U$60:$U$309,0)),"")</f>
        <v/>
      </c>
      <c r="K19">
        <f>""</f>
        <v/>
      </c>
    </row>
    <row r="20">
      <c r="A20" s="16">
        <f>IFERROR(INDEX('Key Activity Log'!$B$5:$B$254,MATCH(3,$U$60:$U$309,0)),"")</f>
        <v/>
      </c>
      <c r="B20" s="16">
        <f>IFERROR(INDEX('Key Activity Log'!$C$5:$C$254,MATCH(3,$U$60:$U$309,0)),"")</f>
        <v/>
      </c>
      <c r="C20" s="16">
        <f>IFERROR(INDEX('Key Activity Log'!$F$5:$F$254,MATCH(3,$U$60:$U$309,0)),"")</f>
        <v/>
      </c>
      <c r="D20" s="16">
        <f>IFERROR(INDEX('Key Activity Log'!$H$5:$H$254,MATCH(3,$U$60:$U$309,0)),"")</f>
        <v/>
      </c>
      <c r="E20" s="17">
        <f>IFERROR(INDEX('Key Activity Log'!$L$5:$L$254,MATCH(3,$U$60:$U$309,0)),"")</f>
        <v/>
      </c>
      <c r="F20" s="17">
        <f>IFERROR(INDEX('Key Activity Log'!$N$5:$N$254,MATCH(3,$U$60:$U$309,0)),"")</f>
        <v/>
      </c>
      <c r="G20" s="18">
        <f>IFERROR(INDEX('Key Activity Log'!$O$5:$O$254,MATCH(3,$U$60:$U$309,0)),"")</f>
        <v/>
      </c>
      <c r="H20" s="19">
        <f>IFERROR(INDEX('Key Activity Log'!$W$5:$W$254,MATCH(3,$U$60:$U$309,0)),"")</f>
        <v/>
      </c>
      <c r="I20" s="16">
        <f>IFERROR(INDEX('Key Activity Log'!$V$5:$V$254,MATCH(3,$U$60:$U$309,0)),"")</f>
        <v/>
      </c>
      <c r="K20">
        <f>""</f>
        <v/>
      </c>
    </row>
    <row r="21">
      <c r="A21" s="16">
        <f>IFERROR(INDEX('Key Activity Log'!$B$5:$B$254,MATCH(4,$U$60:$U$309,0)),"")</f>
        <v/>
      </c>
      <c r="B21" s="16">
        <f>IFERROR(INDEX('Key Activity Log'!$C$5:$C$254,MATCH(4,$U$60:$U$309,0)),"")</f>
        <v/>
      </c>
      <c r="C21" s="16">
        <f>IFERROR(INDEX('Key Activity Log'!$F$5:$F$254,MATCH(4,$U$60:$U$309,0)),"")</f>
        <v/>
      </c>
      <c r="D21" s="16">
        <f>IFERROR(INDEX('Key Activity Log'!$H$5:$H$254,MATCH(4,$U$60:$U$309,0)),"")</f>
        <v/>
      </c>
      <c r="E21" s="17">
        <f>IFERROR(INDEX('Key Activity Log'!$L$5:$L$254,MATCH(4,$U$60:$U$309,0)),"")</f>
        <v/>
      </c>
      <c r="F21" s="17">
        <f>IFERROR(INDEX('Key Activity Log'!$N$5:$N$254,MATCH(4,$U$60:$U$309,0)),"")</f>
        <v/>
      </c>
      <c r="G21" s="18">
        <f>IFERROR(INDEX('Key Activity Log'!$O$5:$O$254,MATCH(4,$U$60:$U$309,0)),"")</f>
        <v/>
      </c>
      <c r="H21" s="19">
        <f>IFERROR(INDEX('Key Activity Log'!$W$5:$W$254,MATCH(4,$U$60:$U$309,0)),"")</f>
        <v/>
      </c>
      <c r="I21" s="16">
        <f>IFERROR(INDEX('Key Activity Log'!$V$5:$V$254,MATCH(4,$U$60:$U$309,0)),"")</f>
        <v/>
      </c>
      <c r="K21">
        <f>""</f>
        <v/>
      </c>
    </row>
    <row r="22">
      <c r="A22" s="16">
        <f>IFERROR(INDEX('Key Activity Log'!$B$5:$B$254,MATCH(5,$U$60:$U$309,0)),"")</f>
        <v/>
      </c>
      <c r="B22" s="16">
        <f>IFERROR(INDEX('Key Activity Log'!$C$5:$C$254,MATCH(5,$U$60:$U$309,0)),"")</f>
        <v/>
      </c>
      <c r="C22" s="16">
        <f>IFERROR(INDEX('Key Activity Log'!$F$5:$F$254,MATCH(5,$U$60:$U$309,0)),"")</f>
        <v/>
      </c>
      <c r="D22" s="16">
        <f>IFERROR(INDEX('Key Activity Log'!$H$5:$H$254,MATCH(5,$U$60:$U$309,0)),"")</f>
        <v/>
      </c>
      <c r="E22" s="17">
        <f>IFERROR(INDEX('Key Activity Log'!$L$5:$L$254,MATCH(5,$U$60:$U$309,0)),"")</f>
        <v/>
      </c>
      <c r="F22" s="17">
        <f>IFERROR(INDEX('Key Activity Log'!$N$5:$N$254,MATCH(5,$U$60:$U$309,0)),"")</f>
        <v/>
      </c>
      <c r="G22" s="18">
        <f>IFERROR(INDEX('Key Activity Log'!$O$5:$O$254,MATCH(5,$U$60:$U$309,0)),"")</f>
        <v/>
      </c>
      <c r="H22" s="19">
        <f>IFERROR(INDEX('Key Activity Log'!$W$5:$W$254,MATCH(5,$U$60:$U$309,0)),"")</f>
        <v/>
      </c>
      <c r="I22" s="16">
        <f>IFERROR(INDEX('Key Activity Log'!$V$5:$V$254,MATCH(5,$U$60:$U$309,0)),"")</f>
        <v/>
      </c>
      <c r="K22">
        <f>""</f>
        <v/>
      </c>
    </row>
    <row r="23">
      <c r="A23" s="16">
        <f>IFERROR(INDEX('Key Activity Log'!$B$5:$B$254,MATCH(6,$U$60:$U$309,0)),"")</f>
        <v/>
      </c>
      <c r="B23" s="16">
        <f>IFERROR(INDEX('Key Activity Log'!$C$5:$C$254,MATCH(6,$U$60:$U$309,0)),"")</f>
        <v/>
      </c>
      <c r="C23" s="16">
        <f>IFERROR(INDEX('Key Activity Log'!$F$5:$F$254,MATCH(6,$U$60:$U$309,0)),"")</f>
        <v/>
      </c>
      <c r="D23" s="16">
        <f>IFERROR(INDEX('Key Activity Log'!$H$5:$H$254,MATCH(6,$U$60:$U$309,0)),"")</f>
        <v/>
      </c>
      <c r="E23" s="17">
        <f>IFERROR(INDEX('Key Activity Log'!$L$5:$L$254,MATCH(6,$U$60:$U$309,0)),"")</f>
        <v/>
      </c>
      <c r="F23" s="17">
        <f>IFERROR(INDEX('Key Activity Log'!$N$5:$N$254,MATCH(6,$U$60:$U$309,0)),"")</f>
        <v/>
      </c>
      <c r="G23" s="18">
        <f>IFERROR(INDEX('Key Activity Log'!$O$5:$O$254,MATCH(6,$U$60:$U$309,0)),"")</f>
        <v/>
      </c>
      <c r="H23" s="19">
        <f>IFERROR(INDEX('Key Activity Log'!$W$5:$W$254,MATCH(6,$U$60:$U$309,0)),"")</f>
        <v/>
      </c>
      <c r="I23" s="16">
        <f>IFERROR(INDEX('Key Activity Log'!$V$5:$V$254,MATCH(6,$U$60:$U$309,0)),"")</f>
        <v/>
      </c>
      <c r="K23">
        <f>""</f>
        <v/>
      </c>
    </row>
    <row r="24">
      <c r="A24" s="16">
        <f>IFERROR(INDEX('Key Activity Log'!$B$5:$B$254,MATCH(7,$U$60:$U$309,0)),"")</f>
        <v/>
      </c>
      <c r="B24" s="16">
        <f>IFERROR(INDEX('Key Activity Log'!$C$5:$C$254,MATCH(7,$U$60:$U$309,0)),"")</f>
        <v/>
      </c>
      <c r="C24" s="16">
        <f>IFERROR(INDEX('Key Activity Log'!$F$5:$F$254,MATCH(7,$U$60:$U$309,0)),"")</f>
        <v/>
      </c>
      <c r="D24" s="16">
        <f>IFERROR(INDEX('Key Activity Log'!$H$5:$H$254,MATCH(7,$U$60:$U$309,0)),"")</f>
        <v/>
      </c>
      <c r="E24" s="17">
        <f>IFERROR(INDEX('Key Activity Log'!$L$5:$L$254,MATCH(7,$U$60:$U$309,0)),"")</f>
        <v/>
      </c>
      <c r="F24" s="17">
        <f>IFERROR(INDEX('Key Activity Log'!$N$5:$N$254,MATCH(7,$U$60:$U$309,0)),"")</f>
        <v/>
      </c>
      <c r="G24" s="18">
        <f>IFERROR(INDEX('Key Activity Log'!$O$5:$O$254,MATCH(7,$U$60:$U$309,0)),"")</f>
        <v/>
      </c>
      <c r="H24" s="19">
        <f>IFERROR(INDEX('Key Activity Log'!$W$5:$W$254,MATCH(7,$U$60:$U$309,0)),"")</f>
        <v/>
      </c>
      <c r="I24" s="16">
        <f>IFERROR(INDEX('Key Activity Log'!$V$5:$V$254,MATCH(7,$U$60:$U$309,0)),"")</f>
        <v/>
      </c>
      <c r="K24">
        <f>""</f>
        <v/>
      </c>
    </row>
    <row r="25">
      <c r="A25" s="16">
        <f>IFERROR(INDEX('Key Activity Log'!$B$5:$B$254,MATCH(8,$U$60:$U$309,0)),"")</f>
        <v/>
      </c>
      <c r="B25" s="16">
        <f>IFERROR(INDEX('Key Activity Log'!$C$5:$C$254,MATCH(8,$U$60:$U$309,0)),"")</f>
        <v/>
      </c>
      <c r="C25" s="16">
        <f>IFERROR(INDEX('Key Activity Log'!$F$5:$F$254,MATCH(8,$U$60:$U$309,0)),"")</f>
        <v/>
      </c>
      <c r="D25" s="16">
        <f>IFERROR(INDEX('Key Activity Log'!$H$5:$H$254,MATCH(8,$U$60:$U$309,0)),"")</f>
        <v/>
      </c>
      <c r="E25" s="17">
        <f>IFERROR(INDEX('Key Activity Log'!$L$5:$L$254,MATCH(8,$U$60:$U$309,0)),"")</f>
        <v/>
      </c>
      <c r="F25" s="17">
        <f>IFERROR(INDEX('Key Activity Log'!$N$5:$N$254,MATCH(8,$U$60:$U$309,0)),"")</f>
        <v/>
      </c>
      <c r="G25" s="18">
        <f>IFERROR(INDEX('Key Activity Log'!$O$5:$O$254,MATCH(8,$U$60:$U$309,0)),"")</f>
        <v/>
      </c>
      <c r="H25" s="19">
        <f>IFERROR(INDEX('Key Activity Log'!$W$5:$W$254,MATCH(8,$U$60:$U$309,0)),"")</f>
        <v/>
      </c>
      <c r="I25" s="16">
        <f>IFERROR(INDEX('Key Activity Log'!$V$5:$V$254,MATCH(8,$U$60:$U$309,0)),"")</f>
        <v/>
      </c>
      <c r="K25">
        <f>""</f>
        <v/>
      </c>
    </row>
    <row r="26">
      <c r="A26" s="16">
        <f>IFERROR(INDEX('Key Activity Log'!$B$5:$B$254,MATCH(9,$U$60:$U$309,0)),"")</f>
        <v/>
      </c>
      <c r="B26" s="16">
        <f>IFERROR(INDEX('Key Activity Log'!$C$5:$C$254,MATCH(9,$U$60:$U$309,0)),"")</f>
        <v/>
      </c>
      <c r="C26" s="16">
        <f>IFERROR(INDEX('Key Activity Log'!$F$5:$F$254,MATCH(9,$U$60:$U$309,0)),"")</f>
        <v/>
      </c>
      <c r="D26" s="16">
        <f>IFERROR(INDEX('Key Activity Log'!$H$5:$H$254,MATCH(9,$U$60:$U$309,0)),"")</f>
        <v/>
      </c>
      <c r="E26" s="17">
        <f>IFERROR(INDEX('Key Activity Log'!$L$5:$L$254,MATCH(9,$U$60:$U$309,0)),"")</f>
        <v/>
      </c>
      <c r="F26" s="17">
        <f>IFERROR(INDEX('Key Activity Log'!$N$5:$N$254,MATCH(9,$U$60:$U$309,0)),"")</f>
        <v/>
      </c>
      <c r="G26" s="18">
        <f>IFERROR(INDEX('Key Activity Log'!$O$5:$O$254,MATCH(9,$U$60:$U$309,0)),"")</f>
        <v/>
      </c>
      <c r="H26" s="19">
        <f>IFERROR(INDEX('Key Activity Log'!$W$5:$W$254,MATCH(9,$U$60:$U$309,0)),"")</f>
        <v/>
      </c>
      <c r="I26" s="16">
        <f>IFERROR(INDEX('Key Activity Log'!$V$5:$V$254,MATCH(9,$U$60:$U$309,0)),"")</f>
        <v/>
      </c>
      <c r="K26">
        <f>""</f>
        <v/>
      </c>
    </row>
    <row r="27">
      <c r="A27" s="16">
        <f>IFERROR(INDEX('Key Activity Log'!$B$5:$B$254,MATCH(10,$U$60:$U$309,0)),"")</f>
        <v/>
      </c>
      <c r="B27" s="16">
        <f>IFERROR(INDEX('Key Activity Log'!$C$5:$C$254,MATCH(10,$U$60:$U$309,0)),"")</f>
        <v/>
      </c>
      <c r="C27" s="16">
        <f>IFERROR(INDEX('Key Activity Log'!$F$5:$F$254,MATCH(10,$U$60:$U$309,0)),"")</f>
        <v/>
      </c>
      <c r="D27" s="16">
        <f>IFERROR(INDEX('Key Activity Log'!$H$5:$H$254,MATCH(10,$U$60:$U$309,0)),"")</f>
        <v/>
      </c>
      <c r="E27" s="17">
        <f>IFERROR(INDEX('Key Activity Log'!$L$5:$L$254,MATCH(10,$U$60:$U$309,0)),"")</f>
        <v/>
      </c>
      <c r="F27" s="17">
        <f>IFERROR(INDEX('Key Activity Log'!$N$5:$N$254,MATCH(10,$U$60:$U$309,0)),"")</f>
        <v/>
      </c>
      <c r="G27" s="18">
        <f>IFERROR(INDEX('Key Activity Log'!$O$5:$O$254,MATCH(10,$U$60:$U$309,0)),"")</f>
        <v/>
      </c>
      <c r="H27" s="19">
        <f>IFERROR(INDEX('Key Activity Log'!$W$5:$W$254,MATCH(10,$U$60:$U$309,0)),"")</f>
        <v/>
      </c>
      <c r="I27" s="16">
        <f>IFERROR(INDEX('Key Activity Log'!$V$5:$V$254,MATCH(10,$U$60:$U$309,0)),"")</f>
        <v/>
      </c>
      <c r="K27">
        <f>""</f>
        <v/>
      </c>
    </row>
    <row r="28">
      <c r="A28">
        <f>""</f>
        <v/>
      </c>
      <c r="F28">
        <f>""</f>
        <v/>
      </c>
      <c r="G28">
        <f>""</f>
        <v/>
      </c>
      <c r="H28">
        <f>""</f>
        <v/>
      </c>
      <c r="I28">
        <f>""</f>
        <v/>
      </c>
      <c r="K28">
        <f>""</f>
        <v/>
      </c>
    </row>
    <row r="29">
      <c r="A29">
        <f>""</f>
        <v/>
      </c>
      <c r="F29">
        <f>""</f>
        <v/>
      </c>
      <c r="G29">
        <f>""</f>
        <v/>
      </c>
      <c r="H29">
        <f>""</f>
        <v/>
      </c>
      <c r="I29">
        <f>""</f>
        <v/>
      </c>
      <c r="K29">
        <f>""</f>
        <v/>
      </c>
    </row>
    <row r="30">
      <c r="A30" s="5" t="inlineStr">
        <is>
          <t>Department Summary</t>
        </is>
      </c>
      <c r="F30">
        <f>""</f>
        <v/>
      </c>
      <c r="G30">
        <f>""</f>
        <v/>
      </c>
      <c r="H30">
        <f>""</f>
        <v/>
      </c>
      <c r="I30">
        <f>""</f>
        <v/>
      </c>
      <c r="K30">
        <f>""</f>
        <v/>
      </c>
    </row>
    <row r="31">
      <c r="A31" s="15" t="inlineStr">
        <is>
          <t>Department</t>
        </is>
      </c>
      <c r="B31" s="15" t="inlineStr">
        <is>
          <t>Total Transactions</t>
        </is>
      </c>
      <c r="C31" s="15" t="inlineStr">
        <is>
          <t>Currently Checked Out</t>
        </is>
      </c>
      <c r="D31" s="15" t="inlineStr">
        <is>
          <t>Overdue</t>
        </is>
      </c>
      <c r="E31" s="15" t="inlineStr">
        <is>
          <t>Lost Keys Assigned to Department</t>
        </is>
      </c>
      <c r="F31">
        <f>""</f>
        <v/>
      </c>
      <c r="G31">
        <f>""</f>
        <v/>
      </c>
      <c r="H31">
        <f>""</f>
        <v/>
      </c>
      <c r="I31">
        <f>""</f>
        <v/>
      </c>
      <c r="K31">
        <f>""</f>
        <v/>
      </c>
    </row>
    <row r="32">
      <c r="A32" s="20" t="inlineStr">
        <is>
          <t>Front Office</t>
        </is>
      </c>
      <c r="B32" s="20">
        <f>IFERROR(COUNTIF('Key Activity Log'!$H$5:$H$254,$A32),0)</f>
        <v/>
      </c>
      <c r="C32" s="20">
        <f>IFERROR(COUNTIFS('Key Activity Log'!$H$5:$H$254,$A32,'Key Activity Log'!$V$5:$V$254,"Checked Out")+COUNTIFS('Key Activity Log'!$H$5:$H$254,$A32,'Key Activity Log'!$V$5:$V$254,"Overdue"),0)</f>
        <v/>
      </c>
      <c r="D32" s="20">
        <f>IFERROR(COUNTIFS('Key Activity Log'!$H$5:$H$254,$A32,'Key Activity Log'!$V$5:$V$254,"Overdue"),0)</f>
        <v/>
      </c>
      <c r="E32" s="20">
        <f>IFERROR(COUNTIFS('Key Inventory'!$E$5:$E$104,$A32,'Key Inventory'!$H$5:$H$104,"Lost"),0)</f>
        <v/>
      </c>
      <c r="F32">
        <f>""</f>
        <v/>
      </c>
      <c r="G32">
        <f>""</f>
        <v/>
      </c>
      <c r="H32">
        <f>""</f>
        <v/>
      </c>
      <c r="I32">
        <f>""</f>
        <v/>
      </c>
      <c r="K32">
        <f>""</f>
        <v/>
      </c>
    </row>
    <row r="33">
      <c r="A33" s="21" t="inlineStr">
        <is>
          <t>Housekeeping</t>
        </is>
      </c>
      <c r="B33" s="21">
        <f>IFERROR(COUNTIF('Key Activity Log'!$H$5:$H$254,$A33),0)</f>
        <v/>
      </c>
      <c r="C33" s="21">
        <f>IFERROR(COUNTIFS('Key Activity Log'!$H$5:$H$254,$A33,'Key Activity Log'!$V$5:$V$254,"Checked Out")+COUNTIFS('Key Activity Log'!$H$5:$H$254,$A33,'Key Activity Log'!$V$5:$V$254,"Overdue"),0)</f>
        <v/>
      </c>
      <c r="D33" s="21">
        <f>IFERROR(COUNTIFS('Key Activity Log'!$H$5:$H$254,$A33,'Key Activity Log'!$V$5:$V$254,"Overdue"),0)</f>
        <v/>
      </c>
      <c r="E33" s="21">
        <f>IFERROR(COUNTIFS('Key Inventory'!$E$5:$E$104,$A33,'Key Inventory'!$H$5:$H$104,"Lost"),0)</f>
        <v/>
      </c>
      <c r="F33">
        <f>""</f>
        <v/>
      </c>
      <c r="G33">
        <f>""</f>
        <v/>
      </c>
      <c r="H33">
        <f>""</f>
        <v/>
      </c>
      <c r="I33">
        <f>""</f>
        <v/>
      </c>
      <c r="K33">
        <f>""</f>
        <v/>
      </c>
    </row>
    <row r="34">
      <c r="A34" s="20" t="inlineStr">
        <is>
          <t>Engineering</t>
        </is>
      </c>
      <c r="B34" s="20">
        <f>IFERROR(COUNTIF('Key Activity Log'!$H$5:$H$254,$A34),0)</f>
        <v/>
      </c>
      <c r="C34" s="20">
        <f>IFERROR(COUNTIFS('Key Activity Log'!$H$5:$H$254,$A34,'Key Activity Log'!$V$5:$V$254,"Checked Out")+COUNTIFS('Key Activity Log'!$H$5:$H$254,$A34,'Key Activity Log'!$V$5:$V$254,"Overdue"),0)</f>
        <v/>
      </c>
      <c r="D34" s="20">
        <f>IFERROR(COUNTIFS('Key Activity Log'!$H$5:$H$254,$A34,'Key Activity Log'!$V$5:$V$254,"Overdue"),0)</f>
        <v/>
      </c>
      <c r="E34" s="20">
        <f>IFERROR(COUNTIFS('Key Inventory'!$E$5:$E$104,$A34,'Key Inventory'!$H$5:$H$104,"Lost"),0)</f>
        <v/>
      </c>
      <c r="F34">
        <f>""</f>
        <v/>
      </c>
      <c r="G34">
        <f>""</f>
        <v/>
      </c>
      <c r="H34">
        <f>""</f>
        <v/>
      </c>
      <c r="I34">
        <f>""</f>
        <v/>
      </c>
      <c r="K34">
        <f>""</f>
        <v/>
      </c>
    </row>
    <row r="35">
      <c r="A35" s="21" t="inlineStr">
        <is>
          <t>Security</t>
        </is>
      </c>
      <c r="B35" s="21">
        <f>IFERROR(COUNTIF('Key Activity Log'!$H$5:$H$254,$A35),0)</f>
        <v/>
      </c>
      <c r="C35" s="21">
        <f>IFERROR(COUNTIFS('Key Activity Log'!$H$5:$H$254,$A35,'Key Activity Log'!$V$5:$V$254,"Checked Out")+COUNTIFS('Key Activity Log'!$H$5:$H$254,$A35,'Key Activity Log'!$V$5:$V$254,"Overdue"),0)</f>
        <v/>
      </c>
      <c r="D35" s="21">
        <f>IFERROR(COUNTIFS('Key Activity Log'!$H$5:$H$254,$A35,'Key Activity Log'!$V$5:$V$254,"Overdue"),0)</f>
        <v/>
      </c>
      <c r="E35" s="21">
        <f>IFERROR(COUNTIFS('Key Inventory'!$E$5:$E$104,$A35,'Key Inventory'!$H$5:$H$104,"Lost"),0)</f>
        <v/>
      </c>
      <c r="F35">
        <f>""</f>
        <v/>
      </c>
      <c r="G35">
        <f>""</f>
        <v/>
      </c>
      <c r="H35">
        <f>""</f>
        <v/>
      </c>
      <c r="I35">
        <f>""</f>
        <v/>
      </c>
      <c r="K35">
        <f>""</f>
        <v/>
      </c>
    </row>
    <row r="36">
      <c r="A36" s="20" t="inlineStr">
        <is>
          <t>Food &amp; Beverage</t>
        </is>
      </c>
      <c r="B36" s="20">
        <f>IFERROR(COUNTIF('Key Activity Log'!$H$5:$H$254,$A36),0)</f>
        <v/>
      </c>
      <c r="C36" s="20">
        <f>IFERROR(COUNTIFS('Key Activity Log'!$H$5:$H$254,$A36,'Key Activity Log'!$V$5:$V$254,"Checked Out")+COUNTIFS('Key Activity Log'!$H$5:$H$254,$A36,'Key Activity Log'!$V$5:$V$254,"Overdue"),0)</f>
        <v/>
      </c>
      <c r="D36" s="20">
        <f>IFERROR(COUNTIFS('Key Activity Log'!$H$5:$H$254,$A36,'Key Activity Log'!$V$5:$V$254,"Overdue"),0)</f>
        <v/>
      </c>
      <c r="E36" s="20">
        <f>IFERROR(COUNTIFS('Key Inventory'!$E$5:$E$104,$A36,'Key Inventory'!$H$5:$H$104,"Lost"),0)</f>
        <v/>
      </c>
      <c r="F36">
        <f>""</f>
        <v/>
      </c>
      <c r="G36">
        <f>""</f>
        <v/>
      </c>
      <c r="H36">
        <f>""</f>
        <v/>
      </c>
      <c r="I36">
        <f>""</f>
        <v/>
      </c>
      <c r="K36">
        <f>""</f>
        <v/>
      </c>
    </row>
    <row r="37">
      <c r="A37" s="21" t="inlineStr">
        <is>
          <t>Sales &amp; Events</t>
        </is>
      </c>
      <c r="B37" s="21">
        <f>IFERROR(COUNTIF('Key Activity Log'!$H$5:$H$254,$A37),0)</f>
        <v/>
      </c>
      <c r="C37" s="21">
        <f>IFERROR(COUNTIFS('Key Activity Log'!$H$5:$H$254,$A37,'Key Activity Log'!$V$5:$V$254,"Checked Out")+COUNTIFS('Key Activity Log'!$H$5:$H$254,$A37,'Key Activity Log'!$V$5:$V$254,"Overdue"),0)</f>
        <v/>
      </c>
      <c r="D37" s="21">
        <f>IFERROR(COUNTIFS('Key Activity Log'!$H$5:$H$254,$A37,'Key Activity Log'!$V$5:$V$254,"Overdue"),0)</f>
        <v/>
      </c>
      <c r="E37" s="21">
        <f>IFERROR(COUNTIFS('Key Inventory'!$E$5:$E$104,$A37,'Key Inventory'!$H$5:$H$104,"Lost"),0)</f>
        <v/>
      </c>
      <c r="F37">
        <f>""</f>
        <v/>
      </c>
      <c r="G37">
        <f>""</f>
        <v/>
      </c>
      <c r="H37">
        <f>""</f>
        <v/>
      </c>
      <c r="I37">
        <f>""</f>
        <v/>
      </c>
      <c r="K37">
        <f>""</f>
        <v/>
      </c>
    </row>
    <row r="38">
      <c r="A38" s="20" t="inlineStr">
        <is>
          <t>Management</t>
        </is>
      </c>
      <c r="B38" s="20">
        <f>IFERROR(COUNTIF('Key Activity Log'!$H$5:$H$254,$A38),0)</f>
        <v/>
      </c>
      <c r="C38" s="20">
        <f>IFERROR(COUNTIFS('Key Activity Log'!$H$5:$H$254,$A38,'Key Activity Log'!$V$5:$V$254,"Checked Out")+COUNTIFS('Key Activity Log'!$H$5:$H$254,$A38,'Key Activity Log'!$V$5:$V$254,"Overdue"),0)</f>
        <v/>
      </c>
      <c r="D38" s="20">
        <f>IFERROR(COUNTIFS('Key Activity Log'!$H$5:$H$254,$A38,'Key Activity Log'!$V$5:$V$254,"Overdue"),0)</f>
        <v/>
      </c>
      <c r="E38" s="20">
        <f>IFERROR(COUNTIFS('Key Inventory'!$E$5:$E$104,$A38,'Key Inventory'!$H$5:$H$104,"Lost"),0)</f>
        <v/>
      </c>
      <c r="F38">
        <f>""</f>
        <v/>
      </c>
      <c r="G38">
        <f>""</f>
        <v/>
      </c>
      <c r="H38">
        <f>""</f>
        <v/>
      </c>
      <c r="I38">
        <f>""</f>
        <v/>
      </c>
      <c r="K38">
        <f>""</f>
        <v/>
      </c>
    </row>
    <row r="39">
      <c r="A39" s="21" t="inlineStr">
        <is>
          <t>Vendor / Contractor</t>
        </is>
      </c>
      <c r="B39" s="21">
        <f>IFERROR(COUNTIF('Key Activity Log'!$H$5:$H$254,$A39),0)</f>
        <v/>
      </c>
      <c r="C39" s="21">
        <f>IFERROR(COUNTIFS('Key Activity Log'!$H$5:$H$254,$A39,'Key Activity Log'!$V$5:$V$254,"Checked Out")+COUNTIFS('Key Activity Log'!$H$5:$H$254,$A39,'Key Activity Log'!$V$5:$V$254,"Overdue"),0)</f>
        <v/>
      </c>
      <c r="D39" s="21">
        <f>IFERROR(COUNTIFS('Key Activity Log'!$H$5:$H$254,$A39,'Key Activity Log'!$V$5:$V$254,"Overdue"),0)</f>
        <v/>
      </c>
      <c r="E39" s="21">
        <f>IFERROR(COUNTIFS('Key Inventory'!$E$5:$E$104,$A39,'Key Inventory'!$H$5:$H$104,"Lost"),0)</f>
        <v/>
      </c>
      <c r="F39">
        <f>""</f>
        <v/>
      </c>
      <c r="G39">
        <f>""</f>
        <v/>
      </c>
      <c r="H39">
        <f>""</f>
        <v/>
      </c>
      <c r="I39">
        <f>""</f>
        <v/>
      </c>
      <c r="K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I40">
        <f>""</f>
        <v/>
      </c>
      <c r="K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I41">
        <f>""</f>
        <v/>
      </c>
      <c r="K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I42">
        <f>""</f>
        <v/>
      </c>
      <c r="K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I43">
        <f>""</f>
        <v/>
      </c>
      <c r="K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  <c r="K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  <c r="K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  <c r="K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  <c r="K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  <c r="K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  <c r="K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  <c r="K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  <c r="K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  <c r="K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  <c r="K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  <c r="K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  <c r="K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  <c r="K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  <c r="K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  <c r="K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  <c r="K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  <c r="K60">
        <f>""</f>
        <v/>
      </c>
      <c r="S60">
        <f>'Key Activity Log'!A5</f>
        <v/>
      </c>
      <c r="T60">
        <f>IFERROR(IF(OR('Key Activity Log'!V5="Overdue",'Key Activity Log'!V5="Checked Out"),IF('Key Activity Log'!V5="Overdue",'Key Activity Log'!N5+'Key Activity Log'!O5,100000+'Key Activity Log'!N5+'Key Activity Log'!O5)+ROW()/1000000,""),"")</f>
        <v/>
      </c>
      <c r="U60">
        <f>IFERROR(IF(T60="","",COUNTIF($T$60:$T$309,"&lt;"&amp;T60)+COUNTIF($T$60:T60,T60)),"")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  <c r="K61">
        <f>""</f>
        <v/>
      </c>
      <c r="S61">
        <f>'Key Activity Log'!A6</f>
        <v/>
      </c>
      <c r="T61">
        <f>IFERROR(IF(OR('Key Activity Log'!V6="Overdue",'Key Activity Log'!V6="Checked Out"),IF('Key Activity Log'!V6="Overdue",'Key Activity Log'!N6+'Key Activity Log'!O6,100000+'Key Activity Log'!N6+'Key Activity Log'!O6)+ROW()/1000000,""),"")</f>
        <v/>
      </c>
      <c r="U61">
        <f>IFERROR(IF(T61="","",COUNTIF($T$60:$T$309,"&lt;"&amp;T61)+COUNTIF($T$60:T61,T61)),"")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  <c r="K62">
        <f>""</f>
        <v/>
      </c>
      <c r="S62">
        <f>'Key Activity Log'!A7</f>
        <v/>
      </c>
      <c r="T62">
        <f>IFERROR(IF(OR('Key Activity Log'!V7="Overdue",'Key Activity Log'!V7="Checked Out"),IF('Key Activity Log'!V7="Overdue",'Key Activity Log'!N7+'Key Activity Log'!O7,100000+'Key Activity Log'!N7+'Key Activity Log'!O7)+ROW()/1000000,""),"")</f>
        <v/>
      </c>
      <c r="U62">
        <f>IFERROR(IF(T62="","",COUNTIF($T$60:$T$309,"&lt;"&amp;T62)+COUNTIF($T$60:T62,T62)),"")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  <c r="K63">
        <f>""</f>
        <v/>
      </c>
      <c r="S63">
        <f>'Key Activity Log'!A8</f>
        <v/>
      </c>
      <c r="T63">
        <f>IFERROR(IF(OR('Key Activity Log'!V8="Overdue",'Key Activity Log'!V8="Checked Out"),IF('Key Activity Log'!V8="Overdue",'Key Activity Log'!N8+'Key Activity Log'!O8,100000+'Key Activity Log'!N8+'Key Activity Log'!O8)+ROW()/1000000,""),"")</f>
        <v/>
      </c>
      <c r="U63">
        <f>IFERROR(IF(T63="","",COUNTIF($T$60:$T$309,"&lt;"&amp;T63)+COUNTIF($T$60:T63,T63)),"")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  <c r="K64">
        <f>""</f>
        <v/>
      </c>
      <c r="S64">
        <f>'Key Activity Log'!A9</f>
        <v/>
      </c>
      <c r="T64">
        <f>IFERROR(IF(OR('Key Activity Log'!V9="Overdue",'Key Activity Log'!V9="Checked Out"),IF('Key Activity Log'!V9="Overdue",'Key Activity Log'!N9+'Key Activity Log'!O9,100000+'Key Activity Log'!N9+'Key Activity Log'!O9)+ROW()/1000000,""),"")</f>
        <v/>
      </c>
      <c r="U64">
        <f>IFERROR(IF(T64="","",COUNTIF($T$60:$T$309,"&lt;"&amp;T64)+COUNTIF($T$60:T64,T64)),"")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  <c r="K65">
        <f>""</f>
        <v/>
      </c>
      <c r="S65">
        <f>'Key Activity Log'!A10</f>
        <v/>
      </c>
      <c r="T65">
        <f>IFERROR(IF(OR('Key Activity Log'!V10="Overdue",'Key Activity Log'!V10="Checked Out"),IF('Key Activity Log'!V10="Overdue",'Key Activity Log'!N10+'Key Activity Log'!O10,100000+'Key Activity Log'!N10+'Key Activity Log'!O10)+ROW()/1000000,""),"")</f>
        <v/>
      </c>
      <c r="U65">
        <f>IFERROR(IF(T65="","",COUNTIF($T$60:$T$309,"&lt;"&amp;T65)+COUNTIF($T$60:T65,T65)),"")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  <c r="K66">
        <f>""</f>
        <v/>
      </c>
      <c r="S66">
        <f>'Key Activity Log'!A11</f>
        <v/>
      </c>
      <c r="T66">
        <f>IFERROR(IF(OR('Key Activity Log'!V11="Overdue",'Key Activity Log'!V11="Checked Out"),IF('Key Activity Log'!V11="Overdue",'Key Activity Log'!N11+'Key Activity Log'!O11,100000+'Key Activity Log'!N11+'Key Activity Log'!O11)+ROW()/1000000,""),"")</f>
        <v/>
      </c>
      <c r="U66">
        <f>IFERROR(IF(T66="","",COUNTIF($T$60:$T$309,"&lt;"&amp;T66)+COUNTIF($T$60:T66,T66)),"")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  <c r="K67">
        <f>""</f>
        <v/>
      </c>
      <c r="S67">
        <f>'Key Activity Log'!A12</f>
        <v/>
      </c>
      <c r="T67">
        <f>IFERROR(IF(OR('Key Activity Log'!V12="Overdue",'Key Activity Log'!V12="Checked Out"),IF('Key Activity Log'!V12="Overdue",'Key Activity Log'!N12+'Key Activity Log'!O12,100000+'Key Activity Log'!N12+'Key Activity Log'!O12)+ROW()/1000000,""),"")</f>
        <v/>
      </c>
      <c r="U67">
        <f>IFERROR(IF(T67="","",COUNTIF($T$60:$T$309,"&lt;"&amp;T67)+COUNTIF($T$60:T67,T67)),"")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  <c r="K68">
        <f>""</f>
        <v/>
      </c>
      <c r="S68">
        <f>'Key Activity Log'!A13</f>
        <v/>
      </c>
      <c r="T68">
        <f>IFERROR(IF(OR('Key Activity Log'!V13="Overdue",'Key Activity Log'!V13="Checked Out"),IF('Key Activity Log'!V13="Overdue",'Key Activity Log'!N13+'Key Activity Log'!O13,100000+'Key Activity Log'!N13+'Key Activity Log'!O13)+ROW()/1000000,""),"")</f>
        <v/>
      </c>
      <c r="U68">
        <f>IFERROR(IF(T68="","",COUNTIF($T$60:$T$309,"&lt;"&amp;T68)+COUNTIF($T$60:T68,T68)),"")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  <c r="K69">
        <f>""</f>
        <v/>
      </c>
      <c r="S69">
        <f>'Key Activity Log'!A14</f>
        <v/>
      </c>
      <c r="T69">
        <f>IFERROR(IF(OR('Key Activity Log'!V14="Overdue",'Key Activity Log'!V14="Checked Out"),IF('Key Activity Log'!V14="Overdue",'Key Activity Log'!N14+'Key Activity Log'!O14,100000+'Key Activity Log'!N14+'Key Activity Log'!O14)+ROW()/1000000,""),"")</f>
        <v/>
      </c>
      <c r="U69">
        <f>IFERROR(IF(T69="","",COUNTIF($T$60:$T$309,"&lt;"&amp;T69)+COUNTIF($T$60:T69,T69)),"")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  <c r="K70">
        <f>""</f>
        <v/>
      </c>
      <c r="S70">
        <f>'Key Activity Log'!A15</f>
        <v/>
      </c>
      <c r="T70">
        <f>IFERROR(IF(OR('Key Activity Log'!V15="Overdue",'Key Activity Log'!V15="Checked Out"),IF('Key Activity Log'!V15="Overdue",'Key Activity Log'!N15+'Key Activity Log'!O15,100000+'Key Activity Log'!N15+'Key Activity Log'!O15)+ROW()/1000000,""),"")</f>
        <v/>
      </c>
      <c r="U70">
        <f>IFERROR(IF(T70="","",COUNTIF($T$60:$T$309,"&lt;"&amp;T70)+COUNTIF($T$60:T70,T70)),"")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  <c r="K71">
        <f>""</f>
        <v/>
      </c>
      <c r="S71">
        <f>'Key Activity Log'!A16</f>
        <v/>
      </c>
      <c r="T71">
        <f>IFERROR(IF(OR('Key Activity Log'!V16="Overdue",'Key Activity Log'!V16="Checked Out"),IF('Key Activity Log'!V16="Overdue",'Key Activity Log'!N16+'Key Activity Log'!O16,100000+'Key Activity Log'!N16+'Key Activity Log'!O16)+ROW()/1000000,""),"")</f>
        <v/>
      </c>
      <c r="U71">
        <f>IFERROR(IF(T71="","",COUNTIF($T$60:$T$309,"&lt;"&amp;T71)+COUNTIF($T$60:T71,T71)),"")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  <c r="K72">
        <f>""</f>
        <v/>
      </c>
      <c r="S72">
        <f>'Key Activity Log'!A17</f>
        <v/>
      </c>
      <c r="T72">
        <f>IFERROR(IF(OR('Key Activity Log'!V17="Overdue",'Key Activity Log'!V17="Checked Out"),IF('Key Activity Log'!V17="Overdue",'Key Activity Log'!N17+'Key Activity Log'!O17,100000+'Key Activity Log'!N17+'Key Activity Log'!O17)+ROW()/1000000,""),"")</f>
        <v/>
      </c>
      <c r="U72">
        <f>IFERROR(IF(T72="","",COUNTIF($T$60:$T$309,"&lt;"&amp;T72)+COUNTIF($T$60:T72,T72)),"")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  <c r="K73">
        <f>""</f>
        <v/>
      </c>
      <c r="S73">
        <f>'Key Activity Log'!A18</f>
        <v/>
      </c>
      <c r="T73">
        <f>IFERROR(IF(OR('Key Activity Log'!V18="Overdue",'Key Activity Log'!V18="Checked Out"),IF('Key Activity Log'!V18="Overdue",'Key Activity Log'!N18+'Key Activity Log'!O18,100000+'Key Activity Log'!N18+'Key Activity Log'!O18)+ROW()/1000000,""),"")</f>
        <v/>
      </c>
      <c r="U73">
        <f>IFERROR(IF(T73="","",COUNTIF($T$60:$T$309,"&lt;"&amp;T73)+COUNTIF($T$60:T73,T73)),"")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  <c r="K74">
        <f>""</f>
        <v/>
      </c>
      <c r="S74">
        <f>'Key Activity Log'!A19</f>
        <v/>
      </c>
      <c r="T74">
        <f>IFERROR(IF(OR('Key Activity Log'!V19="Overdue",'Key Activity Log'!V19="Checked Out"),IF('Key Activity Log'!V19="Overdue",'Key Activity Log'!N19+'Key Activity Log'!O19,100000+'Key Activity Log'!N19+'Key Activity Log'!O19)+ROW()/1000000,""),"")</f>
        <v/>
      </c>
      <c r="U74">
        <f>IFERROR(IF(T74="","",COUNTIF($T$60:$T$309,"&lt;"&amp;T74)+COUNTIF($T$60:T74,T74)),"")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  <c r="K75">
        <f>""</f>
        <v/>
      </c>
      <c r="S75">
        <f>'Key Activity Log'!A20</f>
        <v/>
      </c>
      <c r="T75">
        <f>IFERROR(IF(OR('Key Activity Log'!V20="Overdue",'Key Activity Log'!V20="Checked Out"),IF('Key Activity Log'!V20="Overdue",'Key Activity Log'!N20+'Key Activity Log'!O20,100000+'Key Activity Log'!N20+'Key Activity Log'!O20)+ROW()/1000000,""),"")</f>
        <v/>
      </c>
      <c r="U75">
        <f>IFERROR(IF(T75="","",COUNTIF($T$60:$T$309,"&lt;"&amp;T75)+COUNTIF($T$60:T75,T75)),"")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  <c r="K76">
        <f>""</f>
        <v/>
      </c>
      <c r="S76">
        <f>'Key Activity Log'!A21</f>
        <v/>
      </c>
      <c r="T76">
        <f>IFERROR(IF(OR('Key Activity Log'!V21="Overdue",'Key Activity Log'!V21="Checked Out"),IF('Key Activity Log'!V21="Overdue",'Key Activity Log'!N21+'Key Activity Log'!O21,100000+'Key Activity Log'!N21+'Key Activity Log'!O21)+ROW()/1000000,""),"")</f>
        <v/>
      </c>
      <c r="U76">
        <f>IFERROR(IF(T76="","",COUNTIF($T$60:$T$309,"&lt;"&amp;T76)+COUNTIF($T$60:T76,T76)),"")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  <c r="K77">
        <f>""</f>
        <v/>
      </c>
      <c r="S77">
        <f>'Key Activity Log'!A22</f>
        <v/>
      </c>
      <c r="T77">
        <f>IFERROR(IF(OR('Key Activity Log'!V22="Overdue",'Key Activity Log'!V22="Checked Out"),IF('Key Activity Log'!V22="Overdue",'Key Activity Log'!N22+'Key Activity Log'!O22,100000+'Key Activity Log'!N22+'Key Activity Log'!O22)+ROW()/1000000,""),"")</f>
        <v/>
      </c>
      <c r="U77">
        <f>IFERROR(IF(T77="","",COUNTIF($T$60:$T$309,"&lt;"&amp;T77)+COUNTIF($T$60:T77,T77)),"")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  <c r="K78">
        <f>""</f>
        <v/>
      </c>
      <c r="S78">
        <f>'Key Activity Log'!A23</f>
        <v/>
      </c>
      <c r="T78">
        <f>IFERROR(IF(OR('Key Activity Log'!V23="Overdue",'Key Activity Log'!V23="Checked Out"),IF('Key Activity Log'!V23="Overdue",'Key Activity Log'!N23+'Key Activity Log'!O23,100000+'Key Activity Log'!N23+'Key Activity Log'!O23)+ROW()/1000000,""),"")</f>
        <v/>
      </c>
      <c r="U78">
        <f>IFERROR(IF(T78="","",COUNTIF($T$60:$T$309,"&lt;"&amp;T78)+COUNTIF($T$60:T78,T78)),"")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  <c r="K79">
        <f>""</f>
        <v/>
      </c>
      <c r="S79">
        <f>'Key Activity Log'!A24</f>
        <v/>
      </c>
      <c r="T79">
        <f>IFERROR(IF(OR('Key Activity Log'!V24="Overdue",'Key Activity Log'!V24="Checked Out"),IF('Key Activity Log'!V24="Overdue",'Key Activity Log'!N24+'Key Activity Log'!O24,100000+'Key Activity Log'!N24+'Key Activity Log'!O24)+ROW()/1000000,""),"")</f>
        <v/>
      </c>
      <c r="U79">
        <f>IFERROR(IF(T79="","",COUNTIF($T$60:$T$309,"&lt;"&amp;T79)+COUNTIF($T$60:T79,T79)),"")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  <c r="K80">
        <f>""</f>
        <v/>
      </c>
      <c r="S80">
        <f>'Key Activity Log'!A25</f>
        <v/>
      </c>
      <c r="T80">
        <f>IFERROR(IF(OR('Key Activity Log'!V25="Overdue",'Key Activity Log'!V25="Checked Out"),IF('Key Activity Log'!V25="Overdue",'Key Activity Log'!N25+'Key Activity Log'!O25,100000+'Key Activity Log'!N25+'Key Activity Log'!O25)+ROW()/1000000,""),"")</f>
        <v/>
      </c>
      <c r="U80">
        <f>IFERROR(IF(T80="","",COUNTIF($T$60:$T$309,"&lt;"&amp;T80)+COUNTIF($T$60:T80,T80)),"")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  <c r="K81">
        <f>""</f>
        <v/>
      </c>
      <c r="S81">
        <f>'Key Activity Log'!A26</f>
        <v/>
      </c>
      <c r="T81">
        <f>IFERROR(IF(OR('Key Activity Log'!V26="Overdue",'Key Activity Log'!V26="Checked Out"),IF('Key Activity Log'!V26="Overdue",'Key Activity Log'!N26+'Key Activity Log'!O26,100000+'Key Activity Log'!N26+'Key Activity Log'!O26)+ROW()/1000000,""),"")</f>
        <v/>
      </c>
      <c r="U81">
        <f>IFERROR(IF(T81="","",COUNTIF($T$60:$T$309,"&lt;"&amp;T81)+COUNTIF($T$60:T81,T81)),"")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  <c r="K82">
        <f>""</f>
        <v/>
      </c>
      <c r="S82">
        <f>'Key Activity Log'!A27</f>
        <v/>
      </c>
      <c r="T82">
        <f>IFERROR(IF(OR('Key Activity Log'!V27="Overdue",'Key Activity Log'!V27="Checked Out"),IF('Key Activity Log'!V27="Overdue",'Key Activity Log'!N27+'Key Activity Log'!O27,100000+'Key Activity Log'!N27+'Key Activity Log'!O27)+ROW()/1000000,""),"")</f>
        <v/>
      </c>
      <c r="U82">
        <f>IFERROR(IF(T82="","",COUNTIF($T$60:$T$309,"&lt;"&amp;T82)+COUNTIF($T$60:T82,T82)),"")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  <c r="K83">
        <f>""</f>
        <v/>
      </c>
      <c r="S83">
        <f>'Key Activity Log'!A28</f>
        <v/>
      </c>
      <c r="T83">
        <f>IFERROR(IF(OR('Key Activity Log'!V28="Overdue",'Key Activity Log'!V28="Checked Out"),IF('Key Activity Log'!V28="Overdue",'Key Activity Log'!N28+'Key Activity Log'!O28,100000+'Key Activity Log'!N28+'Key Activity Log'!O28)+ROW()/1000000,""),"")</f>
        <v/>
      </c>
      <c r="U83">
        <f>IFERROR(IF(T83="","",COUNTIF($T$60:$T$309,"&lt;"&amp;T83)+COUNTIF($T$60:T83,T83)),"")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  <c r="K84">
        <f>""</f>
        <v/>
      </c>
      <c r="S84">
        <f>'Key Activity Log'!A29</f>
        <v/>
      </c>
      <c r="T84">
        <f>IFERROR(IF(OR('Key Activity Log'!V29="Overdue",'Key Activity Log'!V29="Checked Out"),IF('Key Activity Log'!V29="Overdue",'Key Activity Log'!N29+'Key Activity Log'!O29,100000+'Key Activity Log'!N29+'Key Activity Log'!O29)+ROW()/1000000,""),"")</f>
        <v/>
      </c>
      <c r="U84">
        <f>IFERROR(IF(T84="","",COUNTIF($T$60:$T$309,"&lt;"&amp;T84)+COUNTIF($T$60:T84,T84)),"")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  <c r="K85">
        <f>""</f>
        <v/>
      </c>
      <c r="S85">
        <f>'Key Activity Log'!A30</f>
        <v/>
      </c>
      <c r="T85">
        <f>IFERROR(IF(OR('Key Activity Log'!V30="Overdue",'Key Activity Log'!V30="Checked Out"),IF('Key Activity Log'!V30="Overdue",'Key Activity Log'!N30+'Key Activity Log'!O30,100000+'Key Activity Log'!N30+'Key Activity Log'!O30)+ROW()/1000000,""),"")</f>
        <v/>
      </c>
      <c r="U85">
        <f>IFERROR(IF(T85="","",COUNTIF($T$60:$T$309,"&lt;"&amp;T85)+COUNTIF($T$60:T85,T85)),"")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  <c r="K86">
        <f>""</f>
        <v/>
      </c>
      <c r="S86">
        <f>'Key Activity Log'!A31</f>
        <v/>
      </c>
      <c r="T86">
        <f>IFERROR(IF(OR('Key Activity Log'!V31="Overdue",'Key Activity Log'!V31="Checked Out"),IF('Key Activity Log'!V31="Overdue",'Key Activity Log'!N31+'Key Activity Log'!O31,100000+'Key Activity Log'!N31+'Key Activity Log'!O31)+ROW()/1000000,""),"")</f>
        <v/>
      </c>
      <c r="U86">
        <f>IFERROR(IF(T86="","",COUNTIF($T$60:$T$309,"&lt;"&amp;T86)+COUNTIF($T$60:T86,T86)),"")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  <c r="K87">
        <f>""</f>
        <v/>
      </c>
      <c r="S87">
        <f>'Key Activity Log'!A32</f>
        <v/>
      </c>
      <c r="T87">
        <f>IFERROR(IF(OR('Key Activity Log'!V32="Overdue",'Key Activity Log'!V32="Checked Out"),IF('Key Activity Log'!V32="Overdue",'Key Activity Log'!N32+'Key Activity Log'!O32,100000+'Key Activity Log'!N32+'Key Activity Log'!O32)+ROW()/1000000,""),"")</f>
        <v/>
      </c>
      <c r="U87">
        <f>IFERROR(IF(T87="","",COUNTIF($T$60:$T$309,"&lt;"&amp;T87)+COUNTIF($T$60:T87,T87)),"")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  <c r="K88">
        <f>""</f>
        <v/>
      </c>
      <c r="S88">
        <f>'Key Activity Log'!A33</f>
        <v/>
      </c>
      <c r="T88">
        <f>IFERROR(IF(OR('Key Activity Log'!V33="Overdue",'Key Activity Log'!V33="Checked Out"),IF('Key Activity Log'!V33="Overdue",'Key Activity Log'!N33+'Key Activity Log'!O33,100000+'Key Activity Log'!N33+'Key Activity Log'!O33)+ROW()/1000000,""),"")</f>
        <v/>
      </c>
      <c r="U88">
        <f>IFERROR(IF(T88="","",COUNTIF($T$60:$T$309,"&lt;"&amp;T88)+COUNTIF($T$60:T88,T88)),"")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  <c r="K89">
        <f>""</f>
        <v/>
      </c>
      <c r="S89">
        <f>'Key Activity Log'!A34</f>
        <v/>
      </c>
      <c r="T89">
        <f>IFERROR(IF(OR('Key Activity Log'!V34="Overdue",'Key Activity Log'!V34="Checked Out"),IF('Key Activity Log'!V34="Overdue",'Key Activity Log'!N34+'Key Activity Log'!O34,100000+'Key Activity Log'!N34+'Key Activity Log'!O34)+ROW()/1000000,""),"")</f>
        <v/>
      </c>
      <c r="U89">
        <f>IFERROR(IF(T89="","",COUNTIF($T$60:$T$309,"&lt;"&amp;T89)+COUNTIF($T$60:T89,T89)),"")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  <c r="K90">
        <f>""</f>
        <v/>
      </c>
      <c r="S90">
        <f>'Key Activity Log'!A35</f>
        <v/>
      </c>
      <c r="T90">
        <f>IFERROR(IF(OR('Key Activity Log'!V35="Overdue",'Key Activity Log'!V35="Checked Out"),IF('Key Activity Log'!V35="Overdue",'Key Activity Log'!N35+'Key Activity Log'!O35,100000+'Key Activity Log'!N35+'Key Activity Log'!O35)+ROW()/1000000,""),"")</f>
        <v/>
      </c>
      <c r="U90">
        <f>IFERROR(IF(T90="","",COUNTIF($T$60:$T$309,"&lt;"&amp;T90)+COUNTIF($T$60:T90,T90)),"")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  <c r="K91">
        <f>""</f>
        <v/>
      </c>
      <c r="S91">
        <f>'Key Activity Log'!A36</f>
        <v/>
      </c>
      <c r="T91">
        <f>IFERROR(IF(OR('Key Activity Log'!V36="Overdue",'Key Activity Log'!V36="Checked Out"),IF('Key Activity Log'!V36="Overdue",'Key Activity Log'!N36+'Key Activity Log'!O36,100000+'Key Activity Log'!N36+'Key Activity Log'!O36)+ROW()/1000000,""),"")</f>
        <v/>
      </c>
      <c r="U91">
        <f>IFERROR(IF(T91="","",COUNTIF($T$60:$T$309,"&lt;"&amp;T91)+COUNTIF($T$60:T91,T91)),"")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  <c r="K92">
        <f>""</f>
        <v/>
      </c>
      <c r="S92">
        <f>'Key Activity Log'!A37</f>
        <v/>
      </c>
      <c r="T92">
        <f>IFERROR(IF(OR('Key Activity Log'!V37="Overdue",'Key Activity Log'!V37="Checked Out"),IF('Key Activity Log'!V37="Overdue",'Key Activity Log'!N37+'Key Activity Log'!O37,100000+'Key Activity Log'!N37+'Key Activity Log'!O37)+ROW()/1000000,""),"")</f>
        <v/>
      </c>
      <c r="U92">
        <f>IFERROR(IF(T92="","",COUNTIF($T$60:$T$309,"&lt;"&amp;T92)+COUNTIF($T$60:T92,T92)),"")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  <c r="K93">
        <f>""</f>
        <v/>
      </c>
      <c r="S93">
        <f>'Key Activity Log'!A38</f>
        <v/>
      </c>
      <c r="T93">
        <f>IFERROR(IF(OR('Key Activity Log'!V38="Overdue",'Key Activity Log'!V38="Checked Out"),IF('Key Activity Log'!V38="Overdue",'Key Activity Log'!N38+'Key Activity Log'!O38,100000+'Key Activity Log'!N38+'Key Activity Log'!O38)+ROW()/1000000,""),"")</f>
        <v/>
      </c>
      <c r="U93">
        <f>IFERROR(IF(T93="","",COUNTIF($T$60:$T$309,"&lt;"&amp;T93)+COUNTIF($T$60:T93,T93)),"")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  <c r="K94">
        <f>""</f>
        <v/>
      </c>
      <c r="S94">
        <f>'Key Activity Log'!A39</f>
        <v/>
      </c>
      <c r="T94">
        <f>IFERROR(IF(OR('Key Activity Log'!V39="Overdue",'Key Activity Log'!V39="Checked Out"),IF('Key Activity Log'!V39="Overdue",'Key Activity Log'!N39+'Key Activity Log'!O39,100000+'Key Activity Log'!N39+'Key Activity Log'!O39)+ROW()/1000000,""),"")</f>
        <v/>
      </c>
      <c r="U94">
        <f>IFERROR(IF(T94="","",COUNTIF($T$60:$T$309,"&lt;"&amp;T94)+COUNTIF($T$60:T94,T94)),"")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  <c r="K95">
        <f>""</f>
        <v/>
      </c>
      <c r="S95">
        <f>'Key Activity Log'!A40</f>
        <v/>
      </c>
      <c r="T95">
        <f>IFERROR(IF(OR('Key Activity Log'!V40="Overdue",'Key Activity Log'!V40="Checked Out"),IF('Key Activity Log'!V40="Overdue",'Key Activity Log'!N40+'Key Activity Log'!O40,100000+'Key Activity Log'!N40+'Key Activity Log'!O40)+ROW()/1000000,""),"")</f>
        <v/>
      </c>
      <c r="U95">
        <f>IFERROR(IF(T95="","",COUNTIF($T$60:$T$309,"&lt;"&amp;T95)+COUNTIF($T$60:T95,T95)),"")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  <c r="K96">
        <f>""</f>
        <v/>
      </c>
      <c r="S96">
        <f>'Key Activity Log'!A41</f>
        <v/>
      </c>
      <c r="T96">
        <f>IFERROR(IF(OR('Key Activity Log'!V41="Overdue",'Key Activity Log'!V41="Checked Out"),IF('Key Activity Log'!V41="Overdue",'Key Activity Log'!N41+'Key Activity Log'!O41,100000+'Key Activity Log'!N41+'Key Activity Log'!O41)+ROW()/1000000,""),"")</f>
        <v/>
      </c>
      <c r="U96">
        <f>IFERROR(IF(T96="","",COUNTIF($T$60:$T$309,"&lt;"&amp;T96)+COUNTIF($T$60:T96,T96)),"")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  <c r="K97">
        <f>""</f>
        <v/>
      </c>
      <c r="S97">
        <f>'Key Activity Log'!A42</f>
        <v/>
      </c>
      <c r="T97">
        <f>IFERROR(IF(OR('Key Activity Log'!V42="Overdue",'Key Activity Log'!V42="Checked Out"),IF('Key Activity Log'!V42="Overdue",'Key Activity Log'!N42+'Key Activity Log'!O42,100000+'Key Activity Log'!N42+'Key Activity Log'!O42)+ROW()/1000000,""),"")</f>
        <v/>
      </c>
      <c r="U97">
        <f>IFERROR(IF(T97="","",COUNTIF($T$60:$T$309,"&lt;"&amp;T97)+COUNTIF($T$60:T97,T97)),"")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  <c r="K98">
        <f>""</f>
        <v/>
      </c>
      <c r="S98">
        <f>'Key Activity Log'!A43</f>
        <v/>
      </c>
      <c r="T98">
        <f>IFERROR(IF(OR('Key Activity Log'!V43="Overdue",'Key Activity Log'!V43="Checked Out"),IF('Key Activity Log'!V43="Overdue",'Key Activity Log'!N43+'Key Activity Log'!O43,100000+'Key Activity Log'!N43+'Key Activity Log'!O43)+ROW()/1000000,""),"")</f>
        <v/>
      </c>
      <c r="U98">
        <f>IFERROR(IF(T98="","",COUNTIF($T$60:$T$309,"&lt;"&amp;T98)+COUNTIF($T$60:T98,T98)),"")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  <c r="K99">
        <f>""</f>
        <v/>
      </c>
      <c r="S99">
        <f>'Key Activity Log'!A44</f>
        <v/>
      </c>
      <c r="T99">
        <f>IFERROR(IF(OR('Key Activity Log'!V44="Overdue",'Key Activity Log'!V44="Checked Out"),IF('Key Activity Log'!V44="Overdue",'Key Activity Log'!N44+'Key Activity Log'!O44,100000+'Key Activity Log'!N44+'Key Activity Log'!O44)+ROW()/1000000,""),"")</f>
        <v/>
      </c>
      <c r="U99">
        <f>IFERROR(IF(T99="","",COUNTIF($T$60:$T$309,"&lt;"&amp;T99)+COUNTIF($T$60:T99,T99)),"")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  <c r="K100">
        <f>""</f>
        <v/>
      </c>
      <c r="S100">
        <f>'Key Activity Log'!A45</f>
        <v/>
      </c>
      <c r="T100">
        <f>IFERROR(IF(OR('Key Activity Log'!V45="Overdue",'Key Activity Log'!V45="Checked Out"),IF('Key Activity Log'!V45="Overdue",'Key Activity Log'!N45+'Key Activity Log'!O45,100000+'Key Activity Log'!N45+'Key Activity Log'!O45)+ROW()/1000000,""),"")</f>
        <v/>
      </c>
      <c r="U100">
        <f>IFERROR(IF(T100="","",COUNTIF($T$60:$T$309,"&lt;"&amp;T100)+COUNTIF($T$60:T100,T100)),"")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  <c r="K101">
        <f>""</f>
        <v/>
      </c>
      <c r="S101">
        <f>'Key Activity Log'!A46</f>
        <v/>
      </c>
      <c r="T101">
        <f>IFERROR(IF(OR('Key Activity Log'!V46="Overdue",'Key Activity Log'!V46="Checked Out"),IF('Key Activity Log'!V46="Overdue",'Key Activity Log'!N46+'Key Activity Log'!O46,100000+'Key Activity Log'!N46+'Key Activity Log'!O46)+ROW()/1000000,""),"")</f>
        <v/>
      </c>
      <c r="U101">
        <f>IFERROR(IF(T101="","",COUNTIF($T$60:$T$309,"&lt;"&amp;T101)+COUNTIF($T$60:T101,T101)),"")</f>
        <v/>
      </c>
    </row>
    <row r="102">
      <c r="S102">
        <f>'Key Activity Log'!A47</f>
        <v/>
      </c>
      <c r="T102">
        <f>IFERROR(IF(OR('Key Activity Log'!V47="Overdue",'Key Activity Log'!V47="Checked Out"),IF('Key Activity Log'!V47="Overdue",'Key Activity Log'!N47+'Key Activity Log'!O47,100000+'Key Activity Log'!N47+'Key Activity Log'!O47)+ROW()/1000000,""),"")</f>
        <v/>
      </c>
      <c r="U102">
        <f>IFERROR(IF(T102="","",COUNTIF($T$60:$T$309,"&lt;"&amp;T102)+COUNTIF($T$60:T102,T102)),"")</f>
        <v/>
      </c>
    </row>
    <row r="103">
      <c r="S103">
        <f>'Key Activity Log'!A48</f>
        <v/>
      </c>
      <c r="T103">
        <f>IFERROR(IF(OR('Key Activity Log'!V48="Overdue",'Key Activity Log'!V48="Checked Out"),IF('Key Activity Log'!V48="Overdue",'Key Activity Log'!N48+'Key Activity Log'!O48,100000+'Key Activity Log'!N48+'Key Activity Log'!O48)+ROW()/1000000,""),"")</f>
        <v/>
      </c>
      <c r="U103">
        <f>IFERROR(IF(T103="","",COUNTIF($T$60:$T$309,"&lt;"&amp;T103)+COUNTIF($T$60:T103,T103)),"")</f>
        <v/>
      </c>
    </row>
    <row r="104">
      <c r="S104">
        <f>'Key Activity Log'!A49</f>
        <v/>
      </c>
      <c r="T104">
        <f>IFERROR(IF(OR('Key Activity Log'!V49="Overdue",'Key Activity Log'!V49="Checked Out"),IF('Key Activity Log'!V49="Overdue",'Key Activity Log'!N49+'Key Activity Log'!O49,100000+'Key Activity Log'!N49+'Key Activity Log'!O49)+ROW()/1000000,""),"")</f>
        <v/>
      </c>
      <c r="U104">
        <f>IFERROR(IF(T104="","",COUNTIF($T$60:$T$309,"&lt;"&amp;T104)+COUNTIF($T$60:T104,T104)),"")</f>
        <v/>
      </c>
    </row>
    <row r="105">
      <c r="S105">
        <f>'Key Activity Log'!A50</f>
        <v/>
      </c>
      <c r="T105">
        <f>IFERROR(IF(OR('Key Activity Log'!V50="Overdue",'Key Activity Log'!V50="Checked Out"),IF('Key Activity Log'!V50="Overdue",'Key Activity Log'!N50+'Key Activity Log'!O50,100000+'Key Activity Log'!N50+'Key Activity Log'!O50)+ROW()/1000000,""),"")</f>
        <v/>
      </c>
      <c r="U105">
        <f>IFERROR(IF(T105="","",COUNTIF($T$60:$T$309,"&lt;"&amp;T105)+COUNTIF($T$60:T105,T105)),"")</f>
        <v/>
      </c>
    </row>
    <row r="106">
      <c r="S106">
        <f>'Key Activity Log'!A51</f>
        <v/>
      </c>
      <c r="T106">
        <f>IFERROR(IF(OR('Key Activity Log'!V51="Overdue",'Key Activity Log'!V51="Checked Out"),IF('Key Activity Log'!V51="Overdue",'Key Activity Log'!N51+'Key Activity Log'!O51,100000+'Key Activity Log'!N51+'Key Activity Log'!O51)+ROW()/1000000,""),"")</f>
        <v/>
      </c>
      <c r="U106">
        <f>IFERROR(IF(T106="","",COUNTIF($T$60:$T$309,"&lt;"&amp;T106)+COUNTIF($T$60:T106,T106)),"")</f>
        <v/>
      </c>
    </row>
    <row r="107">
      <c r="S107">
        <f>'Key Activity Log'!A52</f>
        <v/>
      </c>
      <c r="T107">
        <f>IFERROR(IF(OR('Key Activity Log'!V52="Overdue",'Key Activity Log'!V52="Checked Out"),IF('Key Activity Log'!V52="Overdue",'Key Activity Log'!N52+'Key Activity Log'!O52,100000+'Key Activity Log'!N52+'Key Activity Log'!O52)+ROW()/1000000,""),"")</f>
        <v/>
      </c>
      <c r="U107">
        <f>IFERROR(IF(T107="","",COUNTIF($T$60:$T$309,"&lt;"&amp;T107)+COUNTIF($T$60:T107,T107)),"")</f>
        <v/>
      </c>
    </row>
    <row r="108">
      <c r="S108">
        <f>'Key Activity Log'!A53</f>
        <v/>
      </c>
      <c r="T108">
        <f>IFERROR(IF(OR('Key Activity Log'!V53="Overdue",'Key Activity Log'!V53="Checked Out"),IF('Key Activity Log'!V53="Overdue",'Key Activity Log'!N53+'Key Activity Log'!O53,100000+'Key Activity Log'!N53+'Key Activity Log'!O53)+ROW()/1000000,""),"")</f>
        <v/>
      </c>
      <c r="U108">
        <f>IFERROR(IF(T108="","",COUNTIF($T$60:$T$309,"&lt;"&amp;T108)+COUNTIF($T$60:T108,T108)),"")</f>
        <v/>
      </c>
    </row>
    <row r="109">
      <c r="S109">
        <f>'Key Activity Log'!A54</f>
        <v/>
      </c>
      <c r="T109">
        <f>IFERROR(IF(OR('Key Activity Log'!V54="Overdue",'Key Activity Log'!V54="Checked Out"),IF('Key Activity Log'!V54="Overdue",'Key Activity Log'!N54+'Key Activity Log'!O54,100000+'Key Activity Log'!N54+'Key Activity Log'!O54)+ROW()/1000000,""),"")</f>
        <v/>
      </c>
      <c r="U109">
        <f>IFERROR(IF(T109="","",COUNTIF($T$60:$T$309,"&lt;"&amp;T109)+COUNTIF($T$60:T109,T109)),"")</f>
        <v/>
      </c>
    </row>
    <row r="110">
      <c r="S110">
        <f>'Key Activity Log'!A55</f>
        <v/>
      </c>
      <c r="T110">
        <f>IFERROR(IF(OR('Key Activity Log'!V55="Overdue",'Key Activity Log'!V55="Checked Out"),IF('Key Activity Log'!V55="Overdue",'Key Activity Log'!N55+'Key Activity Log'!O55,100000+'Key Activity Log'!N55+'Key Activity Log'!O55)+ROW()/1000000,""),"")</f>
        <v/>
      </c>
      <c r="U110">
        <f>IFERROR(IF(T110="","",COUNTIF($T$60:$T$309,"&lt;"&amp;T110)+COUNTIF($T$60:T110,T110)),"")</f>
        <v/>
      </c>
    </row>
    <row r="111">
      <c r="S111">
        <f>'Key Activity Log'!A56</f>
        <v/>
      </c>
      <c r="T111">
        <f>IFERROR(IF(OR('Key Activity Log'!V56="Overdue",'Key Activity Log'!V56="Checked Out"),IF('Key Activity Log'!V56="Overdue",'Key Activity Log'!N56+'Key Activity Log'!O56,100000+'Key Activity Log'!N56+'Key Activity Log'!O56)+ROW()/1000000,""),"")</f>
        <v/>
      </c>
      <c r="U111">
        <f>IFERROR(IF(T111="","",COUNTIF($T$60:$T$309,"&lt;"&amp;T111)+COUNTIF($T$60:T111,T111)),"")</f>
        <v/>
      </c>
    </row>
    <row r="112">
      <c r="S112">
        <f>'Key Activity Log'!A57</f>
        <v/>
      </c>
      <c r="T112">
        <f>IFERROR(IF(OR('Key Activity Log'!V57="Overdue",'Key Activity Log'!V57="Checked Out"),IF('Key Activity Log'!V57="Overdue",'Key Activity Log'!N57+'Key Activity Log'!O57,100000+'Key Activity Log'!N57+'Key Activity Log'!O57)+ROW()/1000000,""),"")</f>
        <v/>
      </c>
      <c r="U112">
        <f>IFERROR(IF(T112="","",COUNTIF($T$60:$T$309,"&lt;"&amp;T112)+COUNTIF($T$60:T112,T112)),"")</f>
        <v/>
      </c>
    </row>
    <row r="113">
      <c r="S113">
        <f>'Key Activity Log'!A58</f>
        <v/>
      </c>
      <c r="T113">
        <f>IFERROR(IF(OR('Key Activity Log'!V58="Overdue",'Key Activity Log'!V58="Checked Out"),IF('Key Activity Log'!V58="Overdue",'Key Activity Log'!N58+'Key Activity Log'!O58,100000+'Key Activity Log'!N58+'Key Activity Log'!O58)+ROW()/1000000,""),"")</f>
        <v/>
      </c>
      <c r="U113">
        <f>IFERROR(IF(T113="","",COUNTIF($T$60:$T$309,"&lt;"&amp;T113)+COUNTIF($T$60:T113,T113)),"")</f>
        <v/>
      </c>
    </row>
    <row r="114">
      <c r="S114">
        <f>'Key Activity Log'!A59</f>
        <v/>
      </c>
      <c r="T114">
        <f>IFERROR(IF(OR('Key Activity Log'!V59="Overdue",'Key Activity Log'!V59="Checked Out"),IF('Key Activity Log'!V59="Overdue",'Key Activity Log'!N59+'Key Activity Log'!O59,100000+'Key Activity Log'!N59+'Key Activity Log'!O59)+ROW()/1000000,""),"")</f>
        <v/>
      </c>
      <c r="U114">
        <f>IFERROR(IF(T114="","",COUNTIF($T$60:$T$309,"&lt;"&amp;T114)+COUNTIF($T$60:T114,T114)),"")</f>
        <v/>
      </c>
    </row>
    <row r="115">
      <c r="S115">
        <f>'Key Activity Log'!A60</f>
        <v/>
      </c>
      <c r="T115">
        <f>IFERROR(IF(OR('Key Activity Log'!V60="Overdue",'Key Activity Log'!V60="Checked Out"),IF('Key Activity Log'!V60="Overdue",'Key Activity Log'!N60+'Key Activity Log'!O60,100000+'Key Activity Log'!N60+'Key Activity Log'!O60)+ROW()/1000000,""),"")</f>
        <v/>
      </c>
      <c r="U115">
        <f>IFERROR(IF(T115="","",COUNTIF($T$60:$T$309,"&lt;"&amp;T115)+COUNTIF($T$60:T115,T115)),"")</f>
        <v/>
      </c>
    </row>
    <row r="116">
      <c r="S116">
        <f>'Key Activity Log'!A61</f>
        <v/>
      </c>
      <c r="T116">
        <f>IFERROR(IF(OR('Key Activity Log'!V61="Overdue",'Key Activity Log'!V61="Checked Out"),IF('Key Activity Log'!V61="Overdue",'Key Activity Log'!N61+'Key Activity Log'!O61,100000+'Key Activity Log'!N61+'Key Activity Log'!O61)+ROW()/1000000,""),"")</f>
        <v/>
      </c>
      <c r="U116">
        <f>IFERROR(IF(T116="","",COUNTIF($T$60:$T$309,"&lt;"&amp;T116)+COUNTIF($T$60:T116,T116)),"")</f>
        <v/>
      </c>
    </row>
    <row r="117">
      <c r="S117">
        <f>'Key Activity Log'!A62</f>
        <v/>
      </c>
      <c r="T117">
        <f>IFERROR(IF(OR('Key Activity Log'!V62="Overdue",'Key Activity Log'!V62="Checked Out"),IF('Key Activity Log'!V62="Overdue",'Key Activity Log'!N62+'Key Activity Log'!O62,100000+'Key Activity Log'!N62+'Key Activity Log'!O62)+ROW()/1000000,""),"")</f>
        <v/>
      </c>
      <c r="U117">
        <f>IFERROR(IF(T117="","",COUNTIF($T$60:$T$309,"&lt;"&amp;T117)+COUNTIF($T$60:T117,T117)),"")</f>
        <v/>
      </c>
    </row>
    <row r="118">
      <c r="S118">
        <f>'Key Activity Log'!A63</f>
        <v/>
      </c>
      <c r="T118">
        <f>IFERROR(IF(OR('Key Activity Log'!V63="Overdue",'Key Activity Log'!V63="Checked Out"),IF('Key Activity Log'!V63="Overdue",'Key Activity Log'!N63+'Key Activity Log'!O63,100000+'Key Activity Log'!N63+'Key Activity Log'!O63)+ROW()/1000000,""),"")</f>
        <v/>
      </c>
      <c r="U118">
        <f>IFERROR(IF(T118="","",COUNTIF($T$60:$T$309,"&lt;"&amp;T118)+COUNTIF($T$60:T118,T118)),"")</f>
        <v/>
      </c>
    </row>
    <row r="119">
      <c r="S119">
        <f>'Key Activity Log'!A64</f>
        <v/>
      </c>
      <c r="T119">
        <f>IFERROR(IF(OR('Key Activity Log'!V64="Overdue",'Key Activity Log'!V64="Checked Out"),IF('Key Activity Log'!V64="Overdue",'Key Activity Log'!N64+'Key Activity Log'!O64,100000+'Key Activity Log'!N64+'Key Activity Log'!O64)+ROW()/1000000,""),"")</f>
        <v/>
      </c>
      <c r="U119">
        <f>IFERROR(IF(T119="","",COUNTIF($T$60:$T$309,"&lt;"&amp;T119)+COUNTIF($T$60:T119,T119)),"")</f>
        <v/>
      </c>
    </row>
    <row r="120">
      <c r="S120">
        <f>'Key Activity Log'!A65</f>
        <v/>
      </c>
      <c r="T120">
        <f>IFERROR(IF(OR('Key Activity Log'!V65="Overdue",'Key Activity Log'!V65="Checked Out"),IF('Key Activity Log'!V65="Overdue",'Key Activity Log'!N65+'Key Activity Log'!O65,100000+'Key Activity Log'!N65+'Key Activity Log'!O65)+ROW()/1000000,""),"")</f>
        <v/>
      </c>
      <c r="U120">
        <f>IFERROR(IF(T120="","",COUNTIF($T$60:$T$309,"&lt;"&amp;T120)+COUNTIF($T$60:T120,T120)),"")</f>
        <v/>
      </c>
    </row>
    <row r="121">
      <c r="S121">
        <f>'Key Activity Log'!A66</f>
        <v/>
      </c>
      <c r="T121">
        <f>IFERROR(IF(OR('Key Activity Log'!V66="Overdue",'Key Activity Log'!V66="Checked Out"),IF('Key Activity Log'!V66="Overdue",'Key Activity Log'!N66+'Key Activity Log'!O66,100000+'Key Activity Log'!N66+'Key Activity Log'!O66)+ROW()/1000000,""),"")</f>
        <v/>
      </c>
      <c r="U121">
        <f>IFERROR(IF(T121="","",COUNTIF($T$60:$T$309,"&lt;"&amp;T121)+COUNTIF($T$60:T121,T121)),"")</f>
        <v/>
      </c>
    </row>
    <row r="122">
      <c r="S122">
        <f>'Key Activity Log'!A67</f>
        <v/>
      </c>
      <c r="T122">
        <f>IFERROR(IF(OR('Key Activity Log'!V67="Overdue",'Key Activity Log'!V67="Checked Out"),IF('Key Activity Log'!V67="Overdue",'Key Activity Log'!N67+'Key Activity Log'!O67,100000+'Key Activity Log'!N67+'Key Activity Log'!O67)+ROW()/1000000,""),"")</f>
        <v/>
      </c>
      <c r="U122">
        <f>IFERROR(IF(T122="","",COUNTIF($T$60:$T$309,"&lt;"&amp;T122)+COUNTIF($T$60:T122,T122)),"")</f>
        <v/>
      </c>
    </row>
    <row r="123">
      <c r="S123">
        <f>'Key Activity Log'!A68</f>
        <v/>
      </c>
      <c r="T123">
        <f>IFERROR(IF(OR('Key Activity Log'!V68="Overdue",'Key Activity Log'!V68="Checked Out"),IF('Key Activity Log'!V68="Overdue",'Key Activity Log'!N68+'Key Activity Log'!O68,100000+'Key Activity Log'!N68+'Key Activity Log'!O68)+ROW()/1000000,""),"")</f>
        <v/>
      </c>
      <c r="U123">
        <f>IFERROR(IF(T123="","",COUNTIF($T$60:$T$309,"&lt;"&amp;T123)+COUNTIF($T$60:T123,T123)),"")</f>
        <v/>
      </c>
    </row>
    <row r="124">
      <c r="S124">
        <f>'Key Activity Log'!A69</f>
        <v/>
      </c>
      <c r="T124">
        <f>IFERROR(IF(OR('Key Activity Log'!V69="Overdue",'Key Activity Log'!V69="Checked Out"),IF('Key Activity Log'!V69="Overdue",'Key Activity Log'!N69+'Key Activity Log'!O69,100000+'Key Activity Log'!N69+'Key Activity Log'!O69)+ROW()/1000000,""),"")</f>
        <v/>
      </c>
      <c r="U124">
        <f>IFERROR(IF(T124="","",COUNTIF($T$60:$T$309,"&lt;"&amp;T124)+COUNTIF($T$60:T124,T124)),"")</f>
        <v/>
      </c>
    </row>
    <row r="125">
      <c r="S125">
        <f>'Key Activity Log'!A70</f>
        <v/>
      </c>
      <c r="T125">
        <f>IFERROR(IF(OR('Key Activity Log'!V70="Overdue",'Key Activity Log'!V70="Checked Out"),IF('Key Activity Log'!V70="Overdue",'Key Activity Log'!N70+'Key Activity Log'!O70,100000+'Key Activity Log'!N70+'Key Activity Log'!O70)+ROW()/1000000,""),"")</f>
        <v/>
      </c>
      <c r="U125">
        <f>IFERROR(IF(T125="","",COUNTIF($T$60:$T$309,"&lt;"&amp;T125)+COUNTIF($T$60:T125,T125)),"")</f>
        <v/>
      </c>
    </row>
    <row r="126">
      <c r="S126">
        <f>'Key Activity Log'!A71</f>
        <v/>
      </c>
      <c r="T126">
        <f>IFERROR(IF(OR('Key Activity Log'!V71="Overdue",'Key Activity Log'!V71="Checked Out"),IF('Key Activity Log'!V71="Overdue",'Key Activity Log'!N71+'Key Activity Log'!O71,100000+'Key Activity Log'!N71+'Key Activity Log'!O71)+ROW()/1000000,""),"")</f>
        <v/>
      </c>
      <c r="U126">
        <f>IFERROR(IF(T126="","",COUNTIF($T$60:$T$309,"&lt;"&amp;T126)+COUNTIF($T$60:T126,T126)),"")</f>
        <v/>
      </c>
    </row>
    <row r="127">
      <c r="S127">
        <f>'Key Activity Log'!A72</f>
        <v/>
      </c>
      <c r="T127">
        <f>IFERROR(IF(OR('Key Activity Log'!V72="Overdue",'Key Activity Log'!V72="Checked Out"),IF('Key Activity Log'!V72="Overdue",'Key Activity Log'!N72+'Key Activity Log'!O72,100000+'Key Activity Log'!N72+'Key Activity Log'!O72)+ROW()/1000000,""),"")</f>
        <v/>
      </c>
      <c r="U127">
        <f>IFERROR(IF(T127="","",COUNTIF($T$60:$T$309,"&lt;"&amp;T127)+COUNTIF($T$60:T127,T127)),"")</f>
        <v/>
      </c>
    </row>
    <row r="128">
      <c r="S128">
        <f>'Key Activity Log'!A73</f>
        <v/>
      </c>
      <c r="T128">
        <f>IFERROR(IF(OR('Key Activity Log'!V73="Overdue",'Key Activity Log'!V73="Checked Out"),IF('Key Activity Log'!V73="Overdue",'Key Activity Log'!N73+'Key Activity Log'!O73,100000+'Key Activity Log'!N73+'Key Activity Log'!O73)+ROW()/1000000,""),"")</f>
        <v/>
      </c>
      <c r="U128">
        <f>IFERROR(IF(T128="","",COUNTIF($T$60:$T$309,"&lt;"&amp;T128)+COUNTIF($T$60:T128,T128)),"")</f>
        <v/>
      </c>
    </row>
    <row r="129">
      <c r="S129">
        <f>'Key Activity Log'!A74</f>
        <v/>
      </c>
      <c r="T129">
        <f>IFERROR(IF(OR('Key Activity Log'!V74="Overdue",'Key Activity Log'!V74="Checked Out"),IF('Key Activity Log'!V74="Overdue",'Key Activity Log'!N74+'Key Activity Log'!O74,100000+'Key Activity Log'!N74+'Key Activity Log'!O74)+ROW()/1000000,""),"")</f>
        <v/>
      </c>
      <c r="U129">
        <f>IFERROR(IF(T129="","",COUNTIF($T$60:$T$309,"&lt;"&amp;T129)+COUNTIF($T$60:T129,T129)),"")</f>
        <v/>
      </c>
    </row>
    <row r="130">
      <c r="S130">
        <f>'Key Activity Log'!A75</f>
        <v/>
      </c>
      <c r="T130">
        <f>IFERROR(IF(OR('Key Activity Log'!V75="Overdue",'Key Activity Log'!V75="Checked Out"),IF('Key Activity Log'!V75="Overdue",'Key Activity Log'!N75+'Key Activity Log'!O75,100000+'Key Activity Log'!N75+'Key Activity Log'!O75)+ROW()/1000000,""),"")</f>
        <v/>
      </c>
      <c r="U130">
        <f>IFERROR(IF(T130="","",COUNTIF($T$60:$T$309,"&lt;"&amp;T130)+COUNTIF($T$60:T130,T130)),"")</f>
        <v/>
      </c>
    </row>
    <row r="131">
      <c r="S131">
        <f>'Key Activity Log'!A76</f>
        <v/>
      </c>
      <c r="T131">
        <f>IFERROR(IF(OR('Key Activity Log'!V76="Overdue",'Key Activity Log'!V76="Checked Out"),IF('Key Activity Log'!V76="Overdue",'Key Activity Log'!N76+'Key Activity Log'!O76,100000+'Key Activity Log'!N76+'Key Activity Log'!O76)+ROW()/1000000,""),"")</f>
        <v/>
      </c>
      <c r="U131">
        <f>IFERROR(IF(T131="","",COUNTIF($T$60:$T$309,"&lt;"&amp;T131)+COUNTIF($T$60:T131,T131)),"")</f>
        <v/>
      </c>
    </row>
    <row r="132">
      <c r="S132">
        <f>'Key Activity Log'!A77</f>
        <v/>
      </c>
      <c r="T132">
        <f>IFERROR(IF(OR('Key Activity Log'!V77="Overdue",'Key Activity Log'!V77="Checked Out"),IF('Key Activity Log'!V77="Overdue",'Key Activity Log'!N77+'Key Activity Log'!O77,100000+'Key Activity Log'!N77+'Key Activity Log'!O77)+ROW()/1000000,""),"")</f>
        <v/>
      </c>
      <c r="U132">
        <f>IFERROR(IF(T132="","",COUNTIF($T$60:$T$309,"&lt;"&amp;T132)+COUNTIF($T$60:T132,T132)),"")</f>
        <v/>
      </c>
    </row>
    <row r="133">
      <c r="S133">
        <f>'Key Activity Log'!A78</f>
        <v/>
      </c>
      <c r="T133">
        <f>IFERROR(IF(OR('Key Activity Log'!V78="Overdue",'Key Activity Log'!V78="Checked Out"),IF('Key Activity Log'!V78="Overdue",'Key Activity Log'!N78+'Key Activity Log'!O78,100000+'Key Activity Log'!N78+'Key Activity Log'!O78)+ROW()/1000000,""),"")</f>
        <v/>
      </c>
      <c r="U133">
        <f>IFERROR(IF(T133="","",COUNTIF($T$60:$T$309,"&lt;"&amp;T133)+COUNTIF($T$60:T133,T133)),"")</f>
        <v/>
      </c>
    </row>
    <row r="134">
      <c r="S134">
        <f>'Key Activity Log'!A79</f>
        <v/>
      </c>
      <c r="T134">
        <f>IFERROR(IF(OR('Key Activity Log'!V79="Overdue",'Key Activity Log'!V79="Checked Out"),IF('Key Activity Log'!V79="Overdue",'Key Activity Log'!N79+'Key Activity Log'!O79,100000+'Key Activity Log'!N79+'Key Activity Log'!O79)+ROW()/1000000,""),"")</f>
        <v/>
      </c>
      <c r="U134">
        <f>IFERROR(IF(T134="","",COUNTIF($T$60:$T$309,"&lt;"&amp;T134)+COUNTIF($T$60:T134,T134)),"")</f>
        <v/>
      </c>
    </row>
    <row r="135">
      <c r="S135">
        <f>'Key Activity Log'!A80</f>
        <v/>
      </c>
      <c r="T135">
        <f>IFERROR(IF(OR('Key Activity Log'!V80="Overdue",'Key Activity Log'!V80="Checked Out"),IF('Key Activity Log'!V80="Overdue",'Key Activity Log'!N80+'Key Activity Log'!O80,100000+'Key Activity Log'!N80+'Key Activity Log'!O80)+ROW()/1000000,""),"")</f>
        <v/>
      </c>
      <c r="U135">
        <f>IFERROR(IF(T135="","",COUNTIF($T$60:$T$309,"&lt;"&amp;T135)+COUNTIF($T$60:T135,T135)),"")</f>
        <v/>
      </c>
    </row>
    <row r="136">
      <c r="S136">
        <f>'Key Activity Log'!A81</f>
        <v/>
      </c>
      <c r="T136">
        <f>IFERROR(IF(OR('Key Activity Log'!V81="Overdue",'Key Activity Log'!V81="Checked Out"),IF('Key Activity Log'!V81="Overdue",'Key Activity Log'!N81+'Key Activity Log'!O81,100000+'Key Activity Log'!N81+'Key Activity Log'!O81)+ROW()/1000000,""),"")</f>
        <v/>
      </c>
      <c r="U136">
        <f>IFERROR(IF(T136="","",COUNTIF($T$60:$T$309,"&lt;"&amp;T136)+COUNTIF($T$60:T136,T136)),"")</f>
        <v/>
      </c>
    </row>
    <row r="137">
      <c r="S137">
        <f>'Key Activity Log'!A82</f>
        <v/>
      </c>
      <c r="T137">
        <f>IFERROR(IF(OR('Key Activity Log'!V82="Overdue",'Key Activity Log'!V82="Checked Out"),IF('Key Activity Log'!V82="Overdue",'Key Activity Log'!N82+'Key Activity Log'!O82,100000+'Key Activity Log'!N82+'Key Activity Log'!O82)+ROW()/1000000,""),"")</f>
        <v/>
      </c>
      <c r="U137">
        <f>IFERROR(IF(T137="","",COUNTIF($T$60:$T$309,"&lt;"&amp;T137)+COUNTIF($T$60:T137,T137)),"")</f>
        <v/>
      </c>
    </row>
    <row r="138">
      <c r="S138">
        <f>'Key Activity Log'!A83</f>
        <v/>
      </c>
      <c r="T138">
        <f>IFERROR(IF(OR('Key Activity Log'!V83="Overdue",'Key Activity Log'!V83="Checked Out"),IF('Key Activity Log'!V83="Overdue",'Key Activity Log'!N83+'Key Activity Log'!O83,100000+'Key Activity Log'!N83+'Key Activity Log'!O83)+ROW()/1000000,""),"")</f>
        <v/>
      </c>
      <c r="U138">
        <f>IFERROR(IF(T138="","",COUNTIF($T$60:$T$309,"&lt;"&amp;T138)+COUNTIF($T$60:T138,T138)),"")</f>
        <v/>
      </c>
    </row>
    <row r="139">
      <c r="S139">
        <f>'Key Activity Log'!A84</f>
        <v/>
      </c>
      <c r="T139">
        <f>IFERROR(IF(OR('Key Activity Log'!V84="Overdue",'Key Activity Log'!V84="Checked Out"),IF('Key Activity Log'!V84="Overdue",'Key Activity Log'!N84+'Key Activity Log'!O84,100000+'Key Activity Log'!N84+'Key Activity Log'!O84)+ROW()/1000000,""),"")</f>
        <v/>
      </c>
      <c r="U139">
        <f>IFERROR(IF(T139="","",COUNTIF($T$60:$T$309,"&lt;"&amp;T139)+COUNTIF($T$60:T139,T139)),"")</f>
        <v/>
      </c>
    </row>
    <row r="140">
      <c r="S140">
        <f>'Key Activity Log'!A85</f>
        <v/>
      </c>
      <c r="T140">
        <f>IFERROR(IF(OR('Key Activity Log'!V85="Overdue",'Key Activity Log'!V85="Checked Out"),IF('Key Activity Log'!V85="Overdue",'Key Activity Log'!N85+'Key Activity Log'!O85,100000+'Key Activity Log'!N85+'Key Activity Log'!O85)+ROW()/1000000,""),"")</f>
        <v/>
      </c>
      <c r="U140">
        <f>IFERROR(IF(T140="","",COUNTIF($T$60:$T$309,"&lt;"&amp;T140)+COUNTIF($T$60:T140,T140)),"")</f>
        <v/>
      </c>
    </row>
    <row r="141">
      <c r="S141">
        <f>'Key Activity Log'!A86</f>
        <v/>
      </c>
      <c r="T141">
        <f>IFERROR(IF(OR('Key Activity Log'!V86="Overdue",'Key Activity Log'!V86="Checked Out"),IF('Key Activity Log'!V86="Overdue",'Key Activity Log'!N86+'Key Activity Log'!O86,100000+'Key Activity Log'!N86+'Key Activity Log'!O86)+ROW()/1000000,""),"")</f>
        <v/>
      </c>
      <c r="U141">
        <f>IFERROR(IF(T141="","",COUNTIF($T$60:$T$309,"&lt;"&amp;T141)+COUNTIF($T$60:T141,T141)),"")</f>
        <v/>
      </c>
    </row>
    <row r="142">
      <c r="S142">
        <f>'Key Activity Log'!A87</f>
        <v/>
      </c>
      <c r="T142">
        <f>IFERROR(IF(OR('Key Activity Log'!V87="Overdue",'Key Activity Log'!V87="Checked Out"),IF('Key Activity Log'!V87="Overdue",'Key Activity Log'!N87+'Key Activity Log'!O87,100000+'Key Activity Log'!N87+'Key Activity Log'!O87)+ROW()/1000000,""),"")</f>
        <v/>
      </c>
      <c r="U142">
        <f>IFERROR(IF(T142="","",COUNTIF($T$60:$T$309,"&lt;"&amp;T142)+COUNTIF($T$60:T142,T142)),"")</f>
        <v/>
      </c>
    </row>
    <row r="143">
      <c r="S143">
        <f>'Key Activity Log'!A88</f>
        <v/>
      </c>
      <c r="T143">
        <f>IFERROR(IF(OR('Key Activity Log'!V88="Overdue",'Key Activity Log'!V88="Checked Out"),IF('Key Activity Log'!V88="Overdue",'Key Activity Log'!N88+'Key Activity Log'!O88,100000+'Key Activity Log'!N88+'Key Activity Log'!O88)+ROW()/1000000,""),"")</f>
        <v/>
      </c>
      <c r="U143">
        <f>IFERROR(IF(T143="","",COUNTIF($T$60:$T$309,"&lt;"&amp;T143)+COUNTIF($T$60:T143,T143)),"")</f>
        <v/>
      </c>
    </row>
    <row r="144">
      <c r="S144">
        <f>'Key Activity Log'!A89</f>
        <v/>
      </c>
      <c r="T144">
        <f>IFERROR(IF(OR('Key Activity Log'!V89="Overdue",'Key Activity Log'!V89="Checked Out"),IF('Key Activity Log'!V89="Overdue",'Key Activity Log'!N89+'Key Activity Log'!O89,100000+'Key Activity Log'!N89+'Key Activity Log'!O89)+ROW()/1000000,""),"")</f>
        <v/>
      </c>
      <c r="U144">
        <f>IFERROR(IF(T144="","",COUNTIF($T$60:$T$309,"&lt;"&amp;T144)+COUNTIF($T$60:T144,T144)),"")</f>
        <v/>
      </c>
    </row>
    <row r="145">
      <c r="S145">
        <f>'Key Activity Log'!A90</f>
        <v/>
      </c>
      <c r="T145">
        <f>IFERROR(IF(OR('Key Activity Log'!V90="Overdue",'Key Activity Log'!V90="Checked Out"),IF('Key Activity Log'!V90="Overdue",'Key Activity Log'!N90+'Key Activity Log'!O90,100000+'Key Activity Log'!N90+'Key Activity Log'!O90)+ROW()/1000000,""),"")</f>
        <v/>
      </c>
      <c r="U145">
        <f>IFERROR(IF(T145="","",COUNTIF($T$60:$T$309,"&lt;"&amp;T145)+COUNTIF($T$60:T145,T145)),"")</f>
        <v/>
      </c>
    </row>
    <row r="146">
      <c r="S146">
        <f>'Key Activity Log'!A91</f>
        <v/>
      </c>
      <c r="T146">
        <f>IFERROR(IF(OR('Key Activity Log'!V91="Overdue",'Key Activity Log'!V91="Checked Out"),IF('Key Activity Log'!V91="Overdue",'Key Activity Log'!N91+'Key Activity Log'!O91,100000+'Key Activity Log'!N91+'Key Activity Log'!O91)+ROW()/1000000,""),"")</f>
        <v/>
      </c>
      <c r="U146">
        <f>IFERROR(IF(T146="","",COUNTIF($T$60:$T$309,"&lt;"&amp;T146)+COUNTIF($T$60:T146,T146)),"")</f>
        <v/>
      </c>
    </row>
    <row r="147">
      <c r="S147">
        <f>'Key Activity Log'!A92</f>
        <v/>
      </c>
      <c r="T147">
        <f>IFERROR(IF(OR('Key Activity Log'!V92="Overdue",'Key Activity Log'!V92="Checked Out"),IF('Key Activity Log'!V92="Overdue",'Key Activity Log'!N92+'Key Activity Log'!O92,100000+'Key Activity Log'!N92+'Key Activity Log'!O92)+ROW()/1000000,""),"")</f>
        <v/>
      </c>
      <c r="U147">
        <f>IFERROR(IF(T147="","",COUNTIF($T$60:$T$309,"&lt;"&amp;T147)+COUNTIF($T$60:T147,T147)),"")</f>
        <v/>
      </c>
    </row>
    <row r="148">
      <c r="S148">
        <f>'Key Activity Log'!A93</f>
        <v/>
      </c>
      <c r="T148">
        <f>IFERROR(IF(OR('Key Activity Log'!V93="Overdue",'Key Activity Log'!V93="Checked Out"),IF('Key Activity Log'!V93="Overdue",'Key Activity Log'!N93+'Key Activity Log'!O93,100000+'Key Activity Log'!N93+'Key Activity Log'!O93)+ROW()/1000000,""),"")</f>
        <v/>
      </c>
      <c r="U148">
        <f>IFERROR(IF(T148="","",COUNTIF($T$60:$T$309,"&lt;"&amp;T148)+COUNTIF($T$60:T148,T148)),"")</f>
        <v/>
      </c>
    </row>
    <row r="149">
      <c r="S149">
        <f>'Key Activity Log'!A94</f>
        <v/>
      </c>
      <c r="T149">
        <f>IFERROR(IF(OR('Key Activity Log'!V94="Overdue",'Key Activity Log'!V94="Checked Out"),IF('Key Activity Log'!V94="Overdue",'Key Activity Log'!N94+'Key Activity Log'!O94,100000+'Key Activity Log'!N94+'Key Activity Log'!O94)+ROW()/1000000,""),"")</f>
        <v/>
      </c>
      <c r="U149">
        <f>IFERROR(IF(T149="","",COUNTIF($T$60:$T$309,"&lt;"&amp;T149)+COUNTIF($T$60:T149,T149)),"")</f>
        <v/>
      </c>
    </row>
    <row r="150">
      <c r="S150">
        <f>'Key Activity Log'!A95</f>
        <v/>
      </c>
      <c r="T150">
        <f>IFERROR(IF(OR('Key Activity Log'!V95="Overdue",'Key Activity Log'!V95="Checked Out"),IF('Key Activity Log'!V95="Overdue",'Key Activity Log'!N95+'Key Activity Log'!O95,100000+'Key Activity Log'!N95+'Key Activity Log'!O95)+ROW()/1000000,""),"")</f>
        <v/>
      </c>
      <c r="U150">
        <f>IFERROR(IF(T150="","",COUNTIF($T$60:$T$309,"&lt;"&amp;T150)+COUNTIF($T$60:T150,T150)),"")</f>
        <v/>
      </c>
    </row>
    <row r="151">
      <c r="S151">
        <f>'Key Activity Log'!A96</f>
        <v/>
      </c>
      <c r="T151">
        <f>IFERROR(IF(OR('Key Activity Log'!V96="Overdue",'Key Activity Log'!V96="Checked Out"),IF('Key Activity Log'!V96="Overdue",'Key Activity Log'!N96+'Key Activity Log'!O96,100000+'Key Activity Log'!N96+'Key Activity Log'!O96)+ROW()/1000000,""),"")</f>
        <v/>
      </c>
      <c r="U151">
        <f>IFERROR(IF(T151="","",COUNTIF($T$60:$T$309,"&lt;"&amp;T151)+COUNTIF($T$60:T151,T151)),"")</f>
        <v/>
      </c>
    </row>
    <row r="152">
      <c r="S152">
        <f>'Key Activity Log'!A97</f>
        <v/>
      </c>
      <c r="T152">
        <f>IFERROR(IF(OR('Key Activity Log'!V97="Overdue",'Key Activity Log'!V97="Checked Out"),IF('Key Activity Log'!V97="Overdue",'Key Activity Log'!N97+'Key Activity Log'!O97,100000+'Key Activity Log'!N97+'Key Activity Log'!O97)+ROW()/1000000,""),"")</f>
        <v/>
      </c>
      <c r="U152">
        <f>IFERROR(IF(T152="","",COUNTIF($T$60:$T$309,"&lt;"&amp;T152)+COUNTIF($T$60:T152,T152)),"")</f>
        <v/>
      </c>
    </row>
    <row r="153">
      <c r="S153">
        <f>'Key Activity Log'!A98</f>
        <v/>
      </c>
      <c r="T153">
        <f>IFERROR(IF(OR('Key Activity Log'!V98="Overdue",'Key Activity Log'!V98="Checked Out"),IF('Key Activity Log'!V98="Overdue",'Key Activity Log'!N98+'Key Activity Log'!O98,100000+'Key Activity Log'!N98+'Key Activity Log'!O98)+ROW()/1000000,""),"")</f>
        <v/>
      </c>
      <c r="U153">
        <f>IFERROR(IF(T153="","",COUNTIF($T$60:$T$309,"&lt;"&amp;T153)+COUNTIF($T$60:T153,T153)),"")</f>
        <v/>
      </c>
    </row>
    <row r="154">
      <c r="S154">
        <f>'Key Activity Log'!A99</f>
        <v/>
      </c>
      <c r="T154">
        <f>IFERROR(IF(OR('Key Activity Log'!V99="Overdue",'Key Activity Log'!V99="Checked Out"),IF('Key Activity Log'!V99="Overdue",'Key Activity Log'!N99+'Key Activity Log'!O99,100000+'Key Activity Log'!N99+'Key Activity Log'!O99)+ROW()/1000000,""),"")</f>
        <v/>
      </c>
      <c r="U154">
        <f>IFERROR(IF(T154="","",COUNTIF($T$60:$T$309,"&lt;"&amp;T154)+COUNTIF($T$60:T154,T154)),"")</f>
        <v/>
      </c>
    </row>
    <row r="155">
      <c r="S155">
        <f>'Key Activity Log'!A100</f>
        <v/>
      </c>
      <c r="T155">
        <f>IFERROR(IF(OR('Key Activity Log'!V100="Overdue",'Key Activity Log'!V100="Checked Out"),IF('Key Activity Log'!V100="Overdue",'Key Activity Log'!N100+'Key Activity Log'!O100,100000+'Key Activity Log'!N100+'Key Activity Log'!O100)+ROW()/1000000,""),"")</f>
        <v/>
      </c>
      <c r="U155">
        <f>IFERROR(IF(T155="","",COUNTIF($T$60:$T$309,"&lt;"&amp;T155)+COUNTIF($T$60:T155,T155)),"")</f>
        <v/>
      </c>
    </row>
    <row r="156">
      <c r="S156">
        <f>'Key Activity Log'!A101</f>
        <v/>
      </c>
      <c r="T156">
        <f>IFERROR(IF(OR('Key Activity Log'!V101="Overdue",'Key Activity Log'!V101="Checked Out"),IF('Key Activity Log'!V101="Overdue",'Key Activity Log'!N101+'Key Activity Log'!O101,100000+'Key Activity Log'!N101+'Key Activity Log'!O101)+ROW()/1000000,""),"")</f>
        <v/>
      </c>
      <c r="U156">
        <f>IFERROR(IF(T156="","",COUNTIF($T$60:$T$309,"&lt;"&amp;T156)+COUNTIF($T$60:T156,T156)),"")</f>
        <v/>
      </c>
    </row>
    <row r="157">
      <c r="S157">
        <f>'Key Activity Log'!A102</f>
        <v/>
      </c>
      <c r="T157">
        <f>IFERROR(IF(OR('Key Activity Log'!V102="Overdue",'Key Activity Log'!V102="Checked Out"),IF('Key Activity Log'!V102="Overdue",'Key Activity Log'!N102+'Key Activity Log'!O102,100000+'Key Activity Log'!N102+'Key Activity Log'!O102)+ROW()/1000000,""),"")</f>
        <v/>
      </c>
      <c r="U157">
        <f>IFERROR(IF(T157="","",COUNTIF($T$60:$T$309,"&lt;"&amp;T157)+COUNTIF($T$60:T157,T157)),"")</f>
        <v/>
      </c>
    </row>
    <row r="158">
      <c r="S158">
        <f>'Key Activity Log'!A103</f>
        <v/>
      </c>
      <c r="T158">
        <f>IFERROR(IF(OR('Key Activity Log'!V103="Overdue",'Key Activity Log'!V103="Checked Out"),IF('Key Activity Log'!V103="Overdue",'Key Activity Log'!N103+'Key Activity Log'!O103,100000+'Key Activity Log'!N103+'Key Activity Log'!O103)+ROW()/1000000,""),"")</f>
        <v/>
      </c>
      <c r="U158">
        <f>IFERROR(IF(T158="","",COUNTIF($T$60:$T$309,"&lt;"&amp;T158)+COUNTIF($T$60:T158,T158)),"")</f>
        <v/>
      </c>
    </row>
    <row r="159">
      <c r="S159">
        <f>'Key Activity Log'!A104</f>
        <v/>
      </c>
      <c r="T159">
        <f>IFERROR(IF(OR('Key Activity Log'!V104="Overdue",'Key Activity Log'!V104="Checked Out"),IF('Key Activity Log'!V104="Overdue",'Key Activity Log'!N104+'Key Activity Log'!O104,100000+'Key Activity Log'!N104+'Key Activity Log'!O104)+ROW()/1000000,""),"")</f>
        <v/>
      </c>
      <c r="U159">
        <f>IFERROR(IF(T159="","",COUNTIF($T$60:$T$309,"&lt;"&amp;T159)+COUNTIF($T$60:T159,T159)),"")</f>
        <v/>
      </c>
    </row>
    <row r="160">
      <c r="S160">
        <f>'Key Activity Log'!A105</f>
        <v/>
      </c>
      <c r="T160">
        <f>IFERROR(IF(OR('Key Activity Log'!V105="Overdue",'Key Activity Log'!V105="Checked Out"),IF('Key Activity Log'!V105="Overdue",'Key Activity Log'!N105+'Key Activity Log'!O105,100000+'Key Activity Log'!N105+'Key Activity Log'!O105)+ROW()/1000000,""),"")</f>
        <v/>
      </c>
      <c r="U160">
        <f>IFERROR(IF(T160="","",COUNTIF($T$60:$T$309,"&lt;"&amp;T160)+COUNTIF($T$60:T160,T160)),"")</f>
        <v/>
      </c>
    </row>
    <row r="161">
      <c r="S161">
        <f>'Key Activity Log'!A106</f>
        <v/>
      </c>
      <c r="T161">
        <f>IFERROR(IF(OR('Key Activity Log'!V106="Overdue",'Key Activity Log'!V106="Checked Out"),IF('Key Activity Log'!V106="Overdue",'Key Activity Log'!N106+'Key Activity Log'!O106,100000+'Key Activity Log'!N106+'Key Activity Log'!O106)+ROW()/1000000,""),"")</f>
        <v/>
      </c>
      <c r="U161">
        <f>IFERROR(IF(T161="","",COUNTIF($T$60:$T$309,"&lt;"&amp;T161)+COUNTIF($T$60:T161,T161)),"")</f>
        <v/>
      </c>
    </row>
    <row r="162">
      <c r="S162">
        <f>'Key Activity Log'!A107</f>
        <v/>
      </c>
      <c r="T162">
        <f>IFERROR(IF(OR('Key Activity Log'!V107="Overdue",'Key Activity Log'!V107="Checked Out"),IF('Key Activity Log'!V107="Overdue",'Key Activity Log'!N107+'Key Activity Log'!O107,100000+'Key Activity Log'!N107+'Key Activity Log'!O107)+ROW()/1000000,""),"")</f>
        <v/>
      </c>
      <c r="U162">
        <f>IFERROR(IF(T162="","",COUNTIF($T$60:$T$309,"&lt;"&amp;T162)+COUNTIF($T$60:T162,T162)),"")</f>
        <v/>
      </c>
    </row>
    <row r="163">
      <c r="S163">
        <f>'Key Activity Log'!A108</f>
        <v/>
      </c>
      <c r="T163">
        <f>IFERROR(IF(OR('Key Activity Log'!V108="Overdue",'Key Activity Log'!V108="Checked Out"),IF('Key Activity Log'!V108="Overdue",'Key Activity Log'!N108+'Key Activity Log'!O108,100000+'Key Activity Log'!N108+'Key Activity Log'!O108)+ROW()/1000000,""),"")</f>
        <v/>
      </c>
      <c r="U163">
        <f>IFERROR(IF(T163="","",COUNTIF($T$60:$T$309,"&lt;"&amp;T163)+COUNTIF($T$60:T163,T163)),"")</f>
        <v/>
      </c>
    </row>
    <row r="164">
      <c r="S164">
        <f>'Key Activity Log'!A109</f>
        <v/>
      </c>
      <c r="T164">
        <f>IFERROR(IF(OR('Key Activity Log'!V109="Overdue",'Key Activity Log'!V109="Checked Out"),IF('Key Activity Log'!V109="Overdue",'Key Activity Log'!N109+'Key Activity Log'!O109,100000+'Key Activity Log'!N109+'Key Activity Log'!O109)+ROW()/1000000,""),"")</f>
        <v/>
      </c>
      <c r="U164">
        <f>IFERROR(IF(T164="","",COUNTIF($T$60:$T$309,"&lt;"&amp;T164)+COUNTIF($T$60:T164,T164)),"")</f>
        <v/>
      </c>
    </row>
    <row r="165">
      <c r="S165">
        <f>'Key Activity Log'!A110</f>
        <v/>
      </c>
      <c r="T165">
        <f>IFERROR(IF(OR('Key Activity Log'!V110="Overdue",'Key Activity Log'!V110="Checked Out"),IF('Key Activity Log'!V110="Overdue",'Key Activity Log'!N110+'Key Activity Log'!O110,100000+'Key Activity Log'!N110+'Key Activity Log'!O110)+ROW()/1000000,""),"")</f>
        <v/>
      </c>
      <c r="U165">
        <f>IFERROR(IF(T165="","",COUNTIF($T$60:$T$309,"&lt;"&amp;T165)+COUNTIF($T$60:T165,T165)),"")</f>
        <v/>
      </c>
    </row>
    <row r="166">
      <c r="S166">
        <f>'Key Activity Log'!A111</f>
        <v/>
      </c>
      <c r="T166">
        <f>IFERROR(IF(OR('Key Activity Log'!V111="Overdue",'Key Activity Log'!V111="Checked Out"),IF('Key Activity Log'!V111="Overdue",'Key Activity Log'!N111+'Key Activity Log'!O111,100000+'Key Activity Log'!N111+'Key Activity Log'!O111)+ROW()/1000000,""),"")</f>
        <v/>
      </c>
      <c r="U166">
        <f>IFERROR(IF(T166="","",COUNTIF($T$60:$T$309,"&lt;"&amp;T166)+COUNTIF($T$60:T166,T166)),"")</f>
        <v/>
      </c>
    </row>
    <row r="167">
      <c r="S167">
        <f>'Key Activity Log'!A112</f>
        <v/>
      </c>
      <c r="T167">
        <f>IFERROR(IF(OR('Key Activity Log'!V112="Overdue",'Key Activity Log'!V112="Checked Out"),IF('Key Activity Log'!V112="Overdue",'Key Activity Log'!N112+'Key Activity Log'!O112,100000+'Key Activity Log'!N112+'Key Activity Log'!O112)+ROW()/1000000,""),"")</f>
        <v/>
      </c>
      <c r="U167">
        <f>IFERROR(IF(T167="","",COUNTIF($T$60:$T$309,"&lt;"&amp;T167)+COUNTIF($T$60:T167,T167)),"")</f>
        <v/>
      </c>
    </row>
    <row r="168">
      <c r="S168">
        <f>'Key Activity Log'!A113</f>
        <v/>
      </c>
      <c r="T168">
        <f>IFERROR(IF(OR('Key Activity Log'!V113="Overdue",'Key Activity Log'!V113="Checked Out"),IF('Key Activity Log'!V113="Overdue",'Key Activity Log'!N113+'Key Activity Log'!O113,100000+'Key Activity Log'!N113+'Key Activity Log'!O113)+ROW()/1000000,""),"")</f>
        <v/>
      </c>
      <c r="U168">
        <f>IFERROR(IF(T168="","",COUNTIF($T$60:$T$309,"&lt;"&amp;T168)+COUNTIF($T$60:T168,T168)),"")</f>
        <v/>
      </c>
    </row>
    <row r="169">
      <c r="S169">
        <f>'Key Activity Log'!A114</f>
        <v/>
      </c>
      <c r="T169">
        <f>IFERROR(IF(OR('Key Activity Log'!V114="Overdue",'Key Activity Log'!V114="Checked Out"),IF('Key Activity Log'!V114="Overdue",'Key Activity Log'!N114+'Key Activity Log'!O114,100000+'Key Activity Log'!N114+'Key Activity Log'!O114)+ROW()/1000000,""),"")</f>
        <v/>
      </c>
      <c r="U169">
        <f>IFERROR(IF(T169="","",COUNTIF($T$60:$T$309,"&lt;"&amp;T169)+COUNTIF($T$60:T169,T169)),"")</f>
        <v/>
      </c>
    </row>
    <row r="170">
      <c r="S170">
        <f>'Key Activity Log'!A115</f>
        <v/>
      </c>
      <c r="T170">
        <f>IFERROR(IF(OR('Key Activity Log'!V115="Overdue",'Key Activity Log'!V115="Checked Out"),IF('Key Activity Log'!V115="Overdue",'Key Activity Log'!N115+'Key Activity Log'!O115,100000+'Key Activity Log'!N115+'Key Activity Log'!O115)+ROW()/1000000,""),"")</f>
        <v/>
      </c>
      <c r="U170">
        <f>IFERROR(IF(T170="","",COUNTIF($T$60:$T$309,"&lt;"&amp;T170)+COUNTIF($T$60:T170,T170)),"")</f>
        <v/>
      </c>
    </row>
    <row r="171">
      <c r="S171">
        <f>'Key Activity Log'!A116</f>
        <v/>
      </c>
      <c r="T171">
        <f>IFERROR(IF(OR('Key Activity Log'!V116="Overdue",'Key Activity Log'!V116="Checked Out"),IF('Key Activity Log'!V116="Overdue",'Key Activity Log'!N116+'Key Activity Log'!O116,100000+'Key Activity Log'!N116+'Key Activity Log'!O116)+ROW()/1000000,""),"")</f>
        <v/>
      </c>
      <c r="U171">
        <f>IFERROR(IF(T171="","",COUNTIF($T$60:$T$309,"&lt;"&amp;T171)+COUNTIF($T$60:T171,T171)),"")</f>
        <v/>
      </c>
    </row>
    <row r="172">
      <c r="S172">
        <f>'Key Activity Log'!A117</f>
        <v/>
      </c>
      <c r="T172">
        <f>IFERROR(IF(OR('Key Activity Log'!V117="Overdue",'Key Activity Log'!V117="Checked Out"),IF('Key Activity Log'!V117="Overdue",'Key Activity Log'!N117+'Key Activity Log'!O117,100000+'Key Activity Log'!N117+'Key Activity Log'!O117)+ROW()/1000000,""),"")</f>
        <v/>
      </c>
      <c r="U172">
        <f>IFERROR(IF(T172="","",COUNTIF($T$60:$T$309,"&lt;"&amp;T172)+COUNTIF($T$60:T172,T172)),"")</f>
        <v/>
      </c>
    </row>
    <row r="173">
      <c r="S173">
        <f>'Key Activity Log'!A118</f>
        <v/>
      </c>
      <c r="T173">
        <f>IFERROR(IF(OR('Key Activity Log'!V118="Overdue",'Key Activity Log'!V118="Checked Out"),IF('Key Activity Log'!V118="Overdue",'Key Activity Log'!N118+'Key Activity Log'!O118,100000+'Key Activity Log'!N118+'Key Activity Log'!O118)+ROW()/1000000,""),"")</f>
        <v/>
      </c>
      <c r="U173">
        <f>IFERROR(IF(T173="","",COUNTIF($T$60:$T$309,"&lt;"&amp;T173)+COUNTIF($T$60:T173,T173)),"")</f>
        <v/>
      </c>
    </row>
    <row r="174">
      <c r="S174">
        <f>'Key Activity Log'!A119</f>
        <v/>
      </c>
      <c r="T174">
        <f>IFERROR(IF(OR('Key Activity Log'!V119="Overdue",'Key Activity Log'!V119="Checked Out"),IF('Key Activity Log'!V119="Overdue",'Key Activity Log'!N119+'Key Activity Log'!O119,100000+'Key Activity Log'!N119+'Key Activity Log'!O119)+ROW()/1000000,""),"")</f>
        <v/>
      </c>
      <c r="U174">
        <f>IFERROR(IF(T174="","",COUNTIF($T$60:$T$309,"&lt;"&amp;T174)+COUNTIF($T$60:T174,T174)),"")</f>
        <v/>
      </c>
    </row>
    <row r="175">
      <c r="S175">
        <f>'Key Activity Log'!A120</f>
        <v/>
      </c>
      <c r="T175">
        <f>IFERROR(IF(OR('Key Activity Log'!V120="Overdue",'Key Activity Log'!V120="Checked Out"),IF('Key Activity Log'!V120="Overdue",'Key Activity Log'!N120+'Key Activity Log'!O120,100000+'Key Activity Log'!N120+'Key Activity Log'!O120)+ROW()/1000000,""),"")</f>
        <v/>
      </c>
      <c r="U175">
        <f>IFERROR(IF(T175="","",COUNTIF($T$60:$T$309,"&lt;"&amp;T175)+COUNTIF($T$60:T175,T175)),"")</f>
        <v/>
      </c>
    </row>
    <row r="176">
      <c r="S176">
        <f>'Key Activity Log'!A121</f>
        <v/>
      </c>
      <c r="T176">
        <f>IFERROR(IF(OR('Key Activity Log'!V121="Overdue",'Key Activity Log'!V121="Checked Out"),IF('Key Activity Log'!V121="Overdue",'Key Activity Log'!N121+'Key Activity Log'!O121,100000+'Key Activity Log'!N121+'Key Activity Log'!O121)+ROW()/1000000,""),"")</f>
        <v/>
      </c>
      <c r="U176">
        <f>IFERROR(IF(T176="","",COUNTIF($T$60:$T$309,"&lt;"&amp;T176)+COUNTIF($T$60:T176,T176)),"")</f>
        <v/>
      </c>
    </row>
    <row r="177">
      <c r="S177">
        <f>'Key Activity Log'!A122</f>
        <v/>
      </c>
      <c r="T177">
        <f>IFERROR(IF(OR('Key Activity Log'!V122="Overdue",'Key Activity Log'!V122="Checked Out"),IF('Key Activity Log'!V122="Overdue",'Key Activity Log'!N122+'Key Activity Log'!O122,100000+'Key Activity Log'!N122+'Key Activity Log'!O122)+ROW()/1000000,""),"")</f>
        <v/>
      </c>
      <c r="U177">
        <f>IFERROR(IF(T177="","",COUNTIF($T$60:$T$309,"&lt;"&amp;T177)+COUNTIF($T$60:T177,T177)),"")</f>
        <v/>
      </c>
    </row>
    <row r="178">
      <c r="S178">
        <f>'Key Activity Log'!A123</f>
        <v/>
      </c>
      <c r="T178">
        <f>IFERROR(IF(OR('Key Activity Log'!V123="Overdue",'Key Activity Log'!V123="Checked Out"),IF('Key Activity Log'!V123="Overdue",'Key Activity Log'!N123+'Key Activity Log'!O123,100000+'Key Activity Log'!N123+'Key Activity Log'!O123)+ROW()/1000000,""),"")</f>
        <v/>
      </c>
      <c r="U178">
        <f>IFERROR(IF(T178="","",COUNTIF($T$60:$T$309,"&lt;"&amp;T178)+COUNTIF($T$60:T178,T178)),"")</f>
        <v/>
      </c>
    </row>
    <row r="179">
      <c r="S179">
        <f>'Key Activity Log'!A124</f>
        <v/>
      </c>
      <c r="T179">
        <f>IFERROR(IF(OR('Key Activity Log'!V124="Overdue",'Key Activity Log'!V124="Checked Out"),IF('Key Activity Log'!V124="Overdue",'Key Activity Log'!N124+'Key Activity Log'!O124,100000+'Key Activity Log'!N124+'Key Activity Log'!O124)+ROW()/1000000,""),"")</f>
        <v/>
      </c>
      <c r="U179">
        <f>IFERROR(IF(T179="","",COUNTIF($T$60:$T$309,"&lt;"&amp;T179)+COUNTIF($T$60:T179,T179)),"")</f>
        <v/>
      </c>
    </row>
    <row r="180">
      <c r="S180">
        <f>'Key Activity Log'!A125</f>
        <v/>
      </c>
      <c r="T180">
        <f>IFERROR(IF(OR('Key Activity Log'!V125="Overdue",'Key Activity Log'!V125="Checked Out"),IF('Key Activity Log'!V125="Overdue",'Key Activity Log'!N125+'Key Activity Log'!O125,100000+'Key Activity Log'!N125+'Key Activity Log'!O125)+ROW()/1000000,""),"")</f>
        <v/>
      </c>
      <c r="U180">
        <f>IFERROR(IF(T180="","",COUNTIF($T$60:$T$309,"&lt;"&amp;T180)+COUNTIF($T$60:T180,T180)),"")</f>
        <v/>
      </c>
    </row>
    <row r="181">
      <c r="S181">
        <f>'Key Activity Log'!A126</f>
        <v/>
      </c>
      <c r="T181">
        <f>IFERROR(IF(OR('Key Activity Log'!V126="Overdue",'Key Activity Log'!V126="Checked Out"),IF('Key Activity Log'!V126="Overdue",'Key Activity Log'!N126+'Key Activity Log'!O126,100000+'Key Activity Log'!N126+'Key Activity Log'!O126)+ROW()/1000000,""),"")</f>
        <v/>
      </c>
      <c r="U181">
        <f>IFERROR(IF(T181="","",COUNTIF($T$60:$T$309,"&lt;"&amp;T181)+COUNTIF($T$60:T181,T181)),"")</f>
        <v/>
      </c>
    </row>
    <row r="182">
      <c r="S182">
        <f>'Key Activity Log'!A127</f>
        <v/>
      </c>
      <c r="T182">
        <f>IFERROR(IF(OR('Key Activity Log'!V127="Overdue",'Key Activity Log'!V127="Checked Out"),IF('Key Activity Log'!V127="Overdue",'Key Activity Log'!N127+'Key Activity Log'!O127,100000+'Key Activity Log'!N127+'Key Activity Log'!O127)+ROW()/1000000,""),"")</f>
        <v/>
      </c>
      <c r="U182">
        <f>IFERROR(IF(T182="","",COUNTIF($T$60:$T$309,"&lt;"&amp;T182)+COUNTIF($T$60:T182,T182)),"")</f>
        <v/>
      </c>
    </row>
    <row r="183">
      <c r="S183">
        <f>'Key Activity Log'!A128</f>
        <v/>
      </c>
      <c r="T183">
        <f>IFERROR(IF(OR('Key Activity Log'!V128="Overdue",'Key Activity Log'!V128="Checked Out"),IF('Key Activity Log'!V128="Overdue",'Key Activity Log'!N128+'Key Activity Log'!O128,100000+'Key Activity Log'!N128+'Key Activity Log'!O128)+ROW()/1000000,""),"")</f>
        <v/>
      </c>
      <c r="U183">
        <f>IFERROR(IF(T183="","",COUNTIF($T$60:$T$309,"&lt;"&amp;T183)+COUNTIF($T$60:T183,T183)),"")</f>
        <v/>
      </c>
    </row>
    <row r="184">
      <c r="S184">
        <f>'Key Activity Log'!A129</f>
        <v/>
      </c>
      <c r="T184">
        <f>IFERROR(IF(OR('Key Activity Log'!V129="Overdue",'Key Activity Log'!V129="Checked Out"),IF('Key Activity Log'!V129="Overdue",'Key Activity Log'!N129+'Key Activity Log'!O129,100000+'Key Activity Log'!N129+'Key Activity Log'!O129)+ROW()/1000000,""),"")</f>
        <v/>
      </c>
      <c r="U184">
        <f>IFERROR(IF(T184="","",COUNTIF($T$60:$T$309,"&lt;"&amp;T184)+COUNTIF($T$60:T184,T184)),"")</f>
        <v/>
      </c>
    </row>
    <row r="185">
      <c r="S185">
        <f>'Key Activity Log'!A130</f>
        <v/>
      </c>
      <c r="T185">
        <f>IFERROR(IF(OR('Key Activity Log'!V130="Overdue",'Key Activity Log'!V130="Checked Out"),IF('Key Activity Log'!V130="Overdue",'Key Activity Log'!N130+'Key Activity Log'!O130,100000+'Key Activity Log'!N130+'Key Activity Log'!O130)+ROW()/1000000,""),"")</f>
        <v/>
      </c>
      <c r="U185">
        <f>IFERROR(IF(T185="","",COUNTIF($T$60:$T$309,"&lt;"&amp;T185)+COUNTIF($T$60:T185,T185)),"")</f>
        <v/>
      </c>
    </row>
    <row r="186">
      <c r="S186">
        <f>'Key Activity Log'!A131</f>
        <v/>
      </c>
      <c r="T186">
        <f>IFERROR(IF(OR('Key Activity Log'!V131="Overdue",'Key Activity Log'!V131="Checked Out"),IF('Key Activity Log'!V131="Overdue",'Key Activity Log'!N131+'Key Activity Log'!O131,100000+'Key Activity Log'!N131+'Key Activity Log'!O131)+ROW()/1000000,""),"")</f>
        <v/>
      </c>
      <c r="U186">
        <f>IFERROR(IF(T186="","",COUNTIF($T$60:$T$309,"&lt;"&amp;T186)+COUNTIF($T$60:T186,T186)),"")</f>
        <v/>
      </c>
    </row>
    <row r="187">
      <c r="S187">
        <f>'Key Activity Log'!A132</f>
        <v/>
      </c>
      <c r="T187">
        <f>IFERROR(IF(OR('Key Activity Log'!V132="Overdue",'Key Activity Log'!V132="Checked Out"),IF('Key Activity Log'!V132="Overdue",'Key Activity Log'!N132+'Key Activity Log'!O132,100000+'Key Activity Log'!N132+'Key Activity Log'!O132)+ROW()/1000000,""),"")</f>
        <v/>
      </c>
      <c r="U187">
        <f>IFERROR(IF(T187="","",COUNTIF($T$60:$T$309,"&lt;"&amp;T187)+COUNTIF($T$60:T187,T187)),"")</f>
        <v/>
      </c>
    </row>
    <row r="188">
      <c r="S188">
        <f>'Key Activity Log'!A133</f>
        <v/>
      </c>
      <c r="T188">
        <f>IFERROR(IF(OR('Key Activity Log'!V133="Overdue",'Key Activity Log'!V133="Checked Out"),IF('Key Activity Log'!V133="Overdue",'Key Activity Log'!N133+'Key Activity Log'!O133,100000+'Key Activity Log'!N133+'Key Activity Log'!O133)+ROW()/1000000,""),"")</f>
        <v/>
      </c>
      <c r="U188">
        <f>IFERROR(IF(T188="","",COUNTIF($T$60:$T$309,"&lt;"&amp;T188)+COUNTIF($T$60:T188,T188)),"")</f>
        <v/>
      </c>
    </row>
    <row r="189">
      <c r="S189">
        <f>'Key Activity Log'!A134</f>
        <v/>
      </c>
      <c r="T189">
        <f>IFERROR(IF(OR('Key Activity Log'!V134="Overdue",'Key Activity Log'!V134="Checked Out"),IF('Key Activity Log'!V134="Overdue",'Key Activity Log'!N134+'Key Activity Log'!O134,100000+'Key Activity Log'!N134+'Key Activity Log'!O134)+ROW()/1000000,""),"")</f>
        <v/>
      </c>
      <c r="U189">
        <f>IFERROR(IF(T189="","",COUNTIF($T$60:$T$309,"&lt;"&amp;T189)+COUNTIF($T$60:T189,T189)),"")</f>
        <v/>
      </c>
    </row>
    <row r="190">
      <c r="S190">
        <f>'Key Activity Log'!A135</f>
        <v/>
      </c>
      <c r="T190">
        <f>IFERROR(IF(OR('Key Activity Log'!V135="Overdue",'Key Activity Log'!V135="Checked Out"),IF('Key Activity Log'!V135="Overdue",'Key Activity Log'!N135+'Key Activity Log'!O135,100000+'Key Activity Log'!N135+'Key Activity Log'!O135)+ROW()/1000000,""),"")</f>
        <v/>
      </c>
      <c r="U190">
        <f>IFERROR(IF(T190="","",COUNTIF($T$60:$T$309,"&lt;"&amp;T190)+COUNTIF($T$60:T190,T190)),"")</f>
        <v/>
      </c>
    </row>
    <row r="191">
      <c r="S191">
        <f>'Key Activity Log'!A136</f>
        <v/>
      </c>
      <c r="T191">
        <f>IFERROR(IF(OR('Key Activity Log'!V136="Overdue",'Key Activity Log'!V136="Checked Out"),IF('Key Activity Log'!V136="Overdue",'Key Activity Log'!N136+'Key Activity Log'!O136,100000+'Key Activity Log'!N136+'Key Activity Log'!O136)+ROW()/1000000,""),"")</f>
        <v/>
      </c>
      <c r="U191">
        <f>IFERROR(IF(T191="","",COUNTIF($T$60:$T$309,"&lt;"&amp;T191)+COUNTIF($T$60:T191,T191)),"")</f>
        <v/>
      </c>
    </row>
    <row r="192">
      <c r="S192">
        <f>'Key Activity Log'!A137</f>
        <v/>
      </c>
      <c r="T192">
        <f>IFERROR(IF(OR('Key Activity Log'!V137="Overdue",'Key Activity Log'!V137="Checked Out"),IF('Key Activity Log'!V137="Overdue",'Key Activity Log'!N137+'Key Activity Log'!O137,100000+'Key Activity Log'!N137+'Key Activity Log'!O137)+ROW()/1000000,""),"")</f>
        <v/>
      </c>
      <c r="U192">
        <f>IFERROR(IF(T192="","",COUNTIF($T$60:$T$309,"&lt;"&amp;T192)+COUNTIF($T$60:T192,T192)),"")</f>
        <v/>
      </c>
    </row>
    <row r="193">
      <c r="S193">
        <f>'Key Activity Log'!A138</f>
        <v/>
      </c>
      <c r="T193">
        <f>IFERROR(IF(OR('Key Activity Log'!V138="Overdue",'Key Activity Log'!V138="Checked Out"),IF('Key Activity Log'!V138="Overdue",'Key Activity Log'!N138+'Key Activity Log'!O138,100000+'Key Activity Log'!N138+'Key Activity Log'!O138)+ROW()/1000000,""),"")</f>
        <v/>
      </c>
      <c r="U193">
        <f>IFERROR(IF(T193="","",COUNTIF($T$60:$T$309,"&lt;"&amp;T193)+COUNTIF($T$60:T193,T193)),"")</f>
        <v/>
      </c>
    </row>
    <row r="194">
      <c r="S194">
        <f>'Key Activity Log'!A139</f>
        <v/>
      </c>
      <c r="T194">
        <f>IFERROR(IF(OR('Key Activity Log'!V139="Overdue",'Key Activity Log'!V139="Checked Out"),IF('Key Activity Log'!V139="Overdue",'Key Activity Log'!N139+'Key Activity Log'!O139,100000+'Key Activity Log'!N139+'Key Activity Log'!O139)+ROW()/1000000,""),"")</f>
        <v/>
      </c>
      <c r="U194">
        <f>IFERROR(IF(T194="","",COUNTIF($T$60:$T$309,"&lt;"&amp;T194)+COUNTIF($T$60:T194,T194)),"")</f>
        <v/>
      </c>
    </row>
    <row r="195">
      <c r="S195">
        <f>'Key Activity Log'!A140</f>
        <v/>
      </c>
      <c r="T195">
        <f>IFERROR(IF(OR('Key Activity Log'!V140="Overdue",'Key Activity Log'!V140="Checked Out"),IF('Key Activity Log'!V140="Overdue",'Key Activity Log'!N140+'Key Activity Log'!O140,100000+'Key Activity Log'!N140+'Key Activity Log'!O140)+ROW()/1000000,""),"")</f>
        <v/>
      </c>
      <c r="U195">
        <f>IFERROR(IF(T195="","",COUNTIF($T$60:$T$309,"&lt;"&amp;T195)+COUNTIF($T$60:T195,T195)),"")</f>
        <v/>
      </c>
    </row>
    <row r="196">
      <c r="S196">
        <f>'Key Activity Log'!A141</f>
        <v/>
      </c>
      <c r="T196">
        <f>IFERROR(IF(OR('Key Activity Log'!V141="Overdue",'Key Activity Log'!V141="Checked Out"),IF('Key Activity Log'!V141="Overdue",'Key Activity Log'!N141+'Key Activity Log'!O141,100000+'Key Activity Log'!N141+'Key Activity Log'!O141)+ROW()/1000000,""),"")</f>
        <v/>
      </c>
      <c r="U196">
        <f>IFERROR(IF(T196="","",COUNTIF($T$60:$T$309,"&lt;"&amp;T196)+COUNTIF($T$60:T196,T196)),"")</f>
        <v/>
      </c>
    </row>
    <row r="197">
      <c r="S197">
        <f>'Key Activity Log'!A142</f>
        <v/>
      </c>
      <c r="T197">
        <f>IFERROR(IF(OR('Key Activity Log'!V142="Overdue",'Key Activity Log'!V142="Checked Out"),IF('Key Activity Log'!V142="Overdue",'Key Activity Log'!N142+'Key Activity Log'!O142,100000+'Key Activity Log'!N142+'Key Activity Log'!O142)+ROW()/1000000,""),"")</f>
        <v/>
      </c>
      <c r="U197">
        <f>IFERROR(IF(T197="","",COUNTIF($T$60:$T$309,"&lt;"&amp;T197)+COUNTIF($T$60:T197,T197)),"")</f>
        <v/>
      </c>
    </row>
    <row r="198">
      <c r="S198">
        <f>'Key Activity Log'!A143</f>
        <v/>
      </c>
      <c r="T198">
        <f>IFERROR(IF(OR('Key Activity Log'!V143="Overdue",'Key Activity Log'!V143="Checked Out"),IF('Key Activity Log'!V143="Overdue",'Key Activity Log'!N143+'Key Activity Log'!O143,100000+'Key Activity Log'!N143+'Key Activity Log'!O143)+ROW()/1000000,""),"")</f>
        <v/>
      </c>
      <c r="U198">
        <f>IFERROR(IF(T198="","",COUNTIF($T$60:$T$309,"&lt;"&amp;T198)+COUNTIF($T$60:T198,T198)),"")</f>
        <v/>
      </c>
    </row>
    <row r="199">
      <c r="S199">
        <f>'Key Activity Log'!A144</f>
        <v/>
      </c>
      <c r="T199">
        <f>IFERROR(IF(OR('Key Activity Log'!V144="Overdue",'Key Activity Log'!V144="Checked Out"),IF('Key Activity Log'!V144="Overdue",'Key Activity Log'!N144+'Key Activity Log'!O144,100000+'Key Activity Log'!N144+'Key Activity Log'!O144)+ROW()/1000000,""),"")</f>
        <v/>
      </c>
      <c r="U199">
        <f>IFERROR(IF(T199="","",COUNTIF($T$60:$T$309,"&lt;"&amp;T199)+COUNTIF($T$60:T199,T199)),"")</f>
        <v/>
      </c>
    </row>
    <row r="200">
      <c r="S200">
        <f>'Key Activity Log'!A145</f>
        <v/>
      </c>
      <c r="T200">
        <f>IFERROR(IF(OR('Key Activity Log'!V145="Overdue",'Key Activity Log'!V145="Checked Out"),IF('Key Activity Log'!V145="Overdue",'Key Activity Log'!N145+'Key Activity Log'!O145,100000+'Key Activity Log'!N145+'Key Activity Log'!O145)+ROW()/1000000,""),"")</f>
        <v/>
      </c>
      <c r="U200">
        <f>IFERROR(IF(T200="","",COUNTIF($T$60:$T$309,"&lt;"&amp;T200)+COUNTIF($T$60:T200,T200)),"")</f>
        <v/>
      </c>
    </row>
    <row r="201">
      <c r="S201">
        <f>'Key Activity Log'!A146</f>
        <v/>
      </c>
      <c r="T201">
        <f>IFERROR(IF(OR('Key Activity Log'!V146="Overdue",'Key Activity Log'!V146="Checked Out"),IF('Key Activity Log'!V146="Overdue",'Key Activity Log'!N146+'Key Activity Log'!O146,100000+'Key Activity Log'!N146+'Key Activity Log'!O146)+ROW()/1000000,""),"")</f>
        <v/>
      </c>
      <c r="U201">
        <f>IFERROR(IF(T201="","",COUNTIF($T$60:$T$309,"&lt;"&amp;T201)+COUNTIF($T$60:T201,T201)),"")</f>
        <v/>
      </c>
    </row>
    <row r="202">
      <c r="S202">
        <f>'Key Activity Log'!A147</f>
        <v/>
      </c>
      <c r="T202">
        <f>IFERROR(IF(OR('Key Activity Log'!V147="Overdue",'Key Activity Log'!V147="Checked Out"),IF('Key Activity Log'!V147="Overdue",'Key Activity Log'!N147+'Key Activity Log'!O147,100000+'Key Activity Log'!N147+'Key Activity Log'!O147)+ROW()/1000000,""),"")</f>
        <v/>
      </c>
      <c r="U202">
        <f>IFERROR(IF(T202="","",COUNTIF($T$60:$T$309,"&lt;"&amp;T202)+COUNTIF($T$60:T202,T202)),"")</f>
        <v/>
      </c>
    </row>
    <row r="203">
      <c r="S203">
        <f>'Key Activity Log'!A148</f>
        <v/>
      </c>
      <c r="T203">
        <f>IFERROR(IF(OR('Key Activity Log'!V148="Overdue",'Key Activity Log'!V148="Checked Out"),IF('Key Activity Log'!V148="Overdue",'Key Activity Log'!N148+'Key Activity Log'!O148,100000+'Key Activity Log'!N148+'Key Activity Log'!O148)+ROW()/1000000,""),"")</f>
        <v/>
      </c>
      <c r="U203">
        <f>IFERROR(IF(T203="","",COUNTIF($T$60:$T$309,"&lt;"&amp;T203)+COUNTIF($T$60:T203,T203)),"")</f>
        <v/>
      </c>
    </row>
    <row r="204">
      <c r="S204">
        <f>'Key Activity Log'!A149</f>
        <v/>
      </c>
      <c r="T204">
        <f>IFERROR(IF(OR('Key Activity Log'!V149="Overdue",'Key Activity Log'!V149="Checked Out"),IF('Key Activity Log'!V149="Overdue",'Key Activity Log'!N149+'Key Activity Log'!O149,100000+'Key Activity Log'!N149+'Key Activity Log'!O149)+ROW()/1000000,""),"")</f>
        <v/>
      </c>
      <c r="U204">
        <f>IFERROR(IF(T204="","",COUNTIF($T$60:$T$309,"&lt;"&amp;T204)+COUNTIF($T$60:T204,T204)),"")</f>
        <v/>
      </c>
    </row>
    <row r="205">
      <c r="S205">
        <f>'Key Activity Log'!A150</f>
        <v/>
      </c>
      <c r="T205">
        <f>IFERROR(IF(OR('Key Activity Log'!V150="Overdue",'Key Activity Log'!V150="Checked Out"),IF('Key Activity Log'!V150="Overdue",'Key Activity Log'!N150+'Key Activity Log'!O150,100000+'Key Activity Log'!N150+'Key Activity Log'!O150)+ROW()/1000000,""),"")</f>
        <v/>
      </c>
      <c r="U205">
        <f>IFERROR(IF(T205="","",COUNTIF($T$60:$T$309,"&lt;"&amp;T205)+COUNTIF($T$60:T205,T205)),"")</f>
        <v/>
      </c>
    </row>
    <row r="206">
      <c r="S206">
        <f>'Key Activity Log'!A151</f>
        <v/>
      </c>
      <c r="T206">
        <f>IFERROR(IF(OR('Key Activity Log'!V151="Overdue",'Key Activity Log'!V151="Checked Out"),IF('Key Activity Log'!V151="Overdue",'Key Activity Log'!N151+'Key Activity Log'!O151,100000+'Key Activity Log'!N151+'Key Activity Log'!O151)+ROW()/1000000,""),"")</f>
        <v/>
      </c>
      <c r="U206">
        <f>IFERROR(IF(T206="","",COUNTIF($T$60:$T$309,"&lt;"&amp;T206)+COUNTIF($T$60:T206,T206)),"")</f>
        <v/>
      </c>
    </row>
    <row r="207">
      <c r="S207">
        <f>'Key Activity Log'!A152</f>
        <v/>
      </c>
      <c r="T207">
        <f>IFERROR(IF(OR('Key Activity Log'!V152="Overdue",'Key Activity Log'!V152="Checked Out"),IF('Key Activity Log'!V152="Overdue",'Key Activity Log'!N152+'Key Activity Log'!O152,100000+'Key Activity Log'!N152+'Key Activity Log'!O152)+ROW()/1000000,""),"")</f>
        <v/>
      </c>
      <c r="U207">
        <f>IFERROR(IF(T207="","",COUNTIF($T$60:$T$309,"&lt;"&amp;T207)+COUNTIF($T$60:T207,T207)),"")</f>
        <v/>
      </c>
    </row>
    <row r="208">
      <c r="S208">
        <f>'Key Activity Log'!A153</f>
        <v/>
      </c>
      <c r="T208">
        <f>IFERROR(IF(OR('Key Activity Log'!V153="Overdue",'Key Activity Log'!V153="Checked Out"),IF('Key Activity Log'!V153="Overdue",'Key Activity Log'!N153+'Key Activity Log'!O153,100000+'Key Activity Log'!N153+'Key Activity Log'!O153)+ROW()/1000000,""),"")</f>
        <v/>
      </c>
      <c r="U208">
        <f>IFERROR(IF(T208="","",COUNTIF($T$60:$T$309,"&lt;"&amp;T208)+COUNTIF($T$60:T208,T208)),"")</f>
        <v/>
      </c>
    </row>
    <row r="209">
      <c r="S209">
        <f>'Key Activity Log'!A154</f>
        <v/>
      </c>
      <c r="T209">
        <f>IFERROR(IF(OR('Key Activity Log'!V154="Overdue",'Key Activity Log'!V154="Checked Out"),IF('Key Activity Log'!V154="Overdue",'Key Activity Log'!N154+'Key Activity Log'!O154,100000+'Key Activity Log'!N154+'Key Activity Log'!O154)+ROW()/1000000,""),"")</f>
        <v/>
      </c>
      <c r="U209">
        <f>IFERROR(IF(T209="","",COUNTIF($T$60:$T$309,"&lt;"&amp;T209)+COUNTIF($T$60:T209,T209)),"")</f>
        <v/>
      </c>
    </row>
    <row r="210">
      <c r="S210">
        <f>'Key Activity Log'!A155</f>
        <v/>
      </c>
      <c r="T210">
        <f>IFERROR(IF(OR('Key Activity Log'!V155="Overdue",'Key Activity Log'!V155="Checked Out"),IF('Key Activity Log'!V155="Overdue",'Key Activity Log'!N155+'Key Activity Log'!O155,100000+'Key Activity Log'!N155+'Key Activity Log'!O155)+ROW()/1000000,""),"")</f>
        <v/>
      </c>
      <c r="U210">
        <f>IFERROR(IF(T210="","",COUNTIF($T$60:$T$309,"&lt;"&amp;T210)+COUNTIF($T$60:T210,T210)),"")</f>
        <v/>
      </c>
    </row>
    <row r="211">
      <c r="S211">
        <f>'Key Activity Log'!A156</f>
        <v/>
      </c>
      <c r="T211">
        <f>IFERROR(IF(OR('Key Activity Log'!V156="Overdue",'Key Activity Log'!V156="Checked Out"),IF('Key Activity Log'!V156="Overdue",'Key Activity Log'!N156+'Key Activity Log'!O156,100000+'Key Activity Log'!N156+'Key Activity Log'!O156)+ROW()/1000000,""),"")</f>
        <v/>
      </c>
      <c r="U211">
        <f>IFERROR(IF(T211="","",COUNTIF($T$60:$T$309,"&lt;"&amp;T211)+COUNTIF($T$60:T211,T211)),"")</f>
        <v/>
      </c>
    </row>
    <row r="212">
      <c r="S212">
        <f>'Key Activity Log'!A157</f>
        <v/>
      </c>
      <c r="T212">
        <f>IFERROR(IF(OR('Key Activity Log'!V157="Overdue",'Key Activity Log'!V157="Checked Out"),IF('Key Activity Log'!V157="Overdue",'Key Activity Log'!N157+'Key Activity Log'!O157,100000+'Key Activity Log'!N157+'Key Activity Log'!O157)+ROW()/1000000,""),"")</f>
        <v/>
      </c>
      <c r="U212">
        <f>IFERROR(IF(T212="","",COUNTIF($T$60:$T$309,"&lt;"&amp;T212)+COUNTIF($T$60:T212,T212)),"")</f>
        <v/>
      </c>
    </row>
    <row r="213">
      <c r="S213">
        <f>'Key Activity Log'!A158</f>
        <v/>
      </c>
      <c r="T213">
        <f>IFERROR(IF(OR('Key Activity Log'!V158="Overdue",'Key Activity Log'!V158="Checked Out"),IF('Key Activity Log'!V158="Overdue",'Key Activity Log'!N158+'Key Activity Log'!O158,100000+'Key Activity Log'!N158+'Key Activity Log'!O158)+ROW()/1000000,""),"")</f>
        <v/>
      </c>
      <c r="U213">
        <f>IFERROR(IF(T213="","",COUNTIF($T$60:$T$309,"&lt;"&amp;T213)+COUNTIF($T$60:T213,T213)),"")</f>
        <v/>
      </c>
    </row>
    <row r="214">
      <c r="S214">
        <f>'Key Activity Log'!A159</f>
        <v/>
      </c>
      <c r="T214">
        <f>IFERROR(IF(OR('Key Activity Log'!V159="Overdue",'Key Activity Log'!V159="Checked Out"),IF('Key Activity Log'!V159="Overdue",'Key Activity Log'!N159+'Key Activity Log'!O159,100000+'Key Activity Log'!N159+'Key Activity Log'!O159)+ROW()/1000000,""),"")</f>
        <v/>
      </c>
      <c r="U214">
        <f>IFERROR(IF(T214="","",COUNTIF($T$60:$T$309,"&lt;"&amp;T214)+COUNTIF($T$60:T214,T214)),"")</f>
        <v/>
      </c>
    </row>
    <row r="215">
      <c r="S215">
        <f>'Key Activity Log'!A160</f>
        <v/>
      </c>
      <c r="T215">
        <f>IFERROR(IF(OR('Key Activity Log'!V160="Overdue",'Key Activity Log'!V160="Checked Out"),IF('Key Activity Log'!V160="Overdue",'Key Activity Log'!N160+'Key Activity Log'!O160,100000+'Key Activity Log'!N160+'Key Activity Log'!O160)+ROW()/1000000,""),"")</f>
        <v/>
      </c>
      <c r="U215">
        <f>IFERROR(IF(T215="","",COUNTIF($T$60:$T$309,"&lt;"&amp;T215)+COUNTIF($T$60:T215,T215)),"")</f>
        <v/>
      </c>
    </row>
    <row r="216">
      <c r="S216">
        <f>'Key Activity Log'!A161</f>
        <v/>
      </c>
      <c r="T216">
        <f>IFERROR(IF(OR('Key Activity Log'!V161="Overdue",'Key Activity Log'!V161="Checked Out"),IF('Key Activity Log'!V161="Overdue",'Key Activity Log'!N161+'Key Activity Log'!O161,100000+'Key Activity Log'!N161+'Key Activity Log'!O161)+ROW()/1000000,""),"")</f>
        <v/>
      </c>
      <c r="U216">
        <f>IFERROR(IF(T216="","",COUNTIF($T$60:$T$309,"&lt;"&amp;T216)+COUNTIF($T$60:T216,T216)),"")</f>
        <v/>
      </c>
    </row>
    <row r="217">
      <c r="S217">
        <f>'Key Activity Log'!A162</f>
        <v/>
      </c>
      <c r="T217">
        <f>IFERROR(IF(OR('Key Activity Log'!V162="Overdue",'Key Activity Log'!V162="Checked Out"),IF('Key Activity Log'!V162="Overdue",'Key Activity Log'!N162+'Key Activity Log'!O162,100000+'Key Activity Log'!N162+'Key Activity Log'!O162)+ROW()/1000000,""),"")</f>
        <v/>
      </c>
      <c r="U217">
        <f>IFERROR(IF(T217="","",COUNTIF($T$60:$T$309,"&lt;"&amp;T217)+COUNTIF($T$60:T217,T217)),"")</f>
        <v/>
      </c>
    </row>
    <row r="218">
      <c r="S218">
        <f>'Key Activity Log'!A163</f>
        <v/>
      </c>
      <c r="T218">
        <f>IFERROR(IF(OR('Key Activity Log'!V163="Overdue",'Key Activity Log'!V163="Checked Out"),IF('Key Activity Log'!V163="Overdue",'Key Activity Log'!N163+'Key Activity Log'!O163,100000+'Key Activity Log'!N163+'Key Activity Log'!O163)+ROW()/1000000,""),"")</f>
        <v/>
      </c>
      <c r="U218">
        <f>IFERROR(IF(T218="","",COUNTIF($T$60:$T$309,"&lt;"&amp;T218)+COUNTIF($T$60:T218,T218)),"")</f>
        <v/>
      </c>
    </row>
    <row r="219">
      <c r="S219">
        <f>'Key Activity Log'!A164</f>
        <v/>
      </c>
      <c r="T219">
        <f>IFERROR(IF(OR('Key Activity Log'!V164="Overdue",'Key Activity Log'!V164="Checked Out"),IF('Key Activity Log'!V164="Overdue",'Key Activity Log'!N164+'Key Activity Log'!O164,100000+'Key Activity Log'!N164+'Key Activity Log'!O164)+ROW()/1000000,""),"")</f>
        <v/>
      </c>
      <c r="U219">
        <f>IFERROR(IF(T219="","",COUNTIF($T$60:$T$309,"&lt;"&amp;T219)+COUNTIF($T$60:T219,T219)),"")</f>
        <v/>
      </c>
    </row>
    <row r="220">
      <c r="S220">
        <f>'Key Activity Log'!A165</f>
        <v/>
      </c>
      <c r="T220">
        <f>IFERROR(IF(OR('Key Activity Log'!V165="Overdue",'Key Activity Log'!V165="Checked Out"),IF('Key Activity Log'!V165="Overdue",'Key Activity Log'!N165+'Key Activity Log'!O165,100000+'Key Activity Log'!N165+'Key Activity Log'!O165)+ROW()/1000000,""),"")</f>
        <v/>
      </c>
      <c r="U220">
        <f>IFERROR(IF(T220="","",COUNTIF($T$60:$T$309,"&lt;"&amp;T220)+COUNTIF($T$60:T220,T220)),"")</f>
        <v/>
      </c>
    </row>
    <row r="221">
      <c r="S221">
        <f>'Key Activity Log'!A166</f>
        <v/>
      </c>
      <c r="T221">
        <f>IFERROR(IF(OR('Key Activity Log'!V166="Overdue",'Key Activity Log'!V166="Checked Out"),IF('Key Activity Log'!V166="Overdue",'Key Activity Log'!N166+'Key Activity Log'!O166,100000+'Key Activity Log'!N166+'Key Activity Log'!O166)+ROW()/1000000,""),"")</f>
        <v/>
      </c>
      <c r="U221">
        <f>IFERROR(IF(T221="","",COUNTIF($T$60:$T$309,"&lt;"&amp;T221)+COUNTIF($T$60:T221,T221)),"")</f>
        <v/>
      </c>
    </row>
    <row r="222">
      <c r="S222">
        <f>'Key Activity Log'!A167</f>
        <v/>
      </c>
      <c r="T222">
        <f>IFERROR(IF(OR('Key Activity Log'!V167="Overdue",'Key Activity Log'!V167="Checked Out"),IF('Key Activity Log'!V167="Overdue",'Key Activity Log'!N167+'Key Activity Log'!O167,100000+'Key Activity Log'!N167+'Key Activity Log'!O167)+ROW()/1000000,""),"")</f>
        <v/>
      </c>
      <c r="U222">
        <f>IFERROR(IF(T222="","",COUNTIF($T$60:$T$309,"&lt;"&amp;T222)+COUNTIF($T$60:T222,T222)),"")</f>
        <v/>
      </c>
    </row>
    <row r="223">
      <c r="S223">
        <f>'Key Activity Log'!A168</f>
        <v/>
      </c>
      <c r="T223">
        <f>IFERROR(IF(OR('Key Activity Log'!V168="Overdue",'Key Activity Log'!V168="Checked Out"),IF('Key Activity Log'!V168="Overdue",'Key Activity Log'!N168+'Key Activity Log'!O168,100000+'Key Activity Log'!N168+'Key Activity Log'!O168)+ROW()/1000000,""),"")</f>
        <v/>
      </c>
      <c r="U223">
        <f>IFERROR(IF(T223="","",COUNTIF($T$60:$T$309,"&lt;"&amp;T223)+COUNTIF($T$60:T223,T223)),"")</f>
        <v/>
      </c>
    </row>
    <row r="224">
      <c r="S224">
        <f>'Key Activity Log'!A169</f>
        <v/>
      </c>
      <c r="T224">
        <f>IFERROR(IF(OR('Key Activity Log'!V169="Overdue",'Key Activity Log'!V169="Checked Out"),IF('Key Activity Log'!V169="Overdue",'Key Activity Log'!N169+'Key Activity Log'!O169,100000+'Key Activity Log'!N169+'Key Activity Log'!O169)+ROW()/1000000,""),"")</f>
        <v/>
      </c>
      <c r="U224">
        <f>IFERROR(IF(T224="","",COUNTIF($T$60:$T$309,"&lt;"&amp;T224)+COUNTIF($T$60:T224,T224)),"")</f>
        <v/>
      </c>
    </row>
    <row r="225">
      <c r="S225">
        <f>'Key Activity Log'!A170</f>
        <v/>
      </c>
      <c r="T225">
        <f>IFERROR(IF(OR('Key Activity Log'!V170="Overdue",'Key Activity Log'!V170="Checked Out"),IF('Key Activity Log'!V170="Overdue",'Key Activity Log'!N170+'Key Activity Log'!O170,100000+'Key Activity Log'!N170+'Key Activity Log'!O170)+ROW()/1000000,""),"")</f>
        <v/>
      </c>
      <c r="U225">
        <f>IFERROR(IF(T225="","",COUNTIF($T$60:$T$309,"&lt;"&amp;T225)+COUNTIF($T$60:T225,T225)),"")</f>
        <v/>
      </c>
    </row>
    <row r="226">
      <c r="S226">
        <f>'Key Activity Log'!A171</f>
        <v/>
      </c>
      <c r="T226">
        <f>IFERROR(IF(OR('Key Activity Log'!V171="Overdue",'Key Activity Log'!V171="Checked Out"),IF('Key Activity Log'!V171="Overdue",'Key Activity Log'!N171+'Key Activity Log'!O171,100000+'Key Activity Log'!N171+'Key Activity Log'!O171)+ROW()/1000000,""),"")</f>
        <v/>
      </c>
      <c r="U226">
        <f>IFERROR(IF(T226="","",COUNTIF($T$60:$T$309,"&lt;"&amp;T226)+COUNTIF($T$60:T226,T226)),"")</f>
        <v/>
      </c>
    </row>
    <row r="227">
      <c r="S227">
        <f>'Key Activity Log'!A172</f>
        <v/>
      </c>
      <c r="T227">
        <f>IFERROR(IF(OR('Key Activity Log'!V172="Overdue",'Key Activity Log'!V172="Checked Out"),IF('Key Activity Log'!V172="Overdue",'Key Activity Log'!N172+'Key Activity Log'!O172,100000+'Key Activity Log'!N172+'Key Activity Log'!O172)+ROW()/1000000,""),"")</f>
        <v/>
      </c>
      <c r="U227">
        <f>IFERROR(IF(T227="","",COUNTIF($T$60:$T$309,"&lt;"&amp;T227)+COUNTIF($T$60:T227,T227)),"")</f>
        <v/>
      </c>
    </row>
    <row r="228">
      <c r="S228">
        <f>'Key Activity Log'!A173</f>
        <v/>
      </c>
      <c r="T228">
        <f>IFERROR(IF(OR('Key Activity Log'!V173="Overdue",'Key Activity Log'!V173="Checked Out"),IF('Key Activity Log'!V173="Overdue",'Key Activity Log'!N173+'Key Activity Log'!O173,100000+'Key Activity Log'!N173+'Key Activity Log'!O173)+ROW()/1000000,""),"")</f>
        <v/>
      </c>
      <c r="U228">
        <f>IFERROR(IF(T228="","",COUNTIF($T$60:$T$309,"&lt;"&amp;T228)+COUNTIF($T$60:T228,T228)),"")</f>
        <v/>
      </c>
    </row>
    <row r="229">
      <c r="S229">
        <f>'Key Activity Log'!A174</f>
        <v/>
      </c>
      <c r="T229">
        <f>IFERROR(IF(OR('Key Activity Log'!V174="Overdue",'Key Activity Log'!V174="Checked Out"),IF('Key Activity Log'!V174="Overdue",'Key Activity Log'!N174+'Key Activity Log'!O174,100000+'Key Activity Log'!N174+'Key Activity Log'!O174)+ROW()/1000000,""),"")</f>
        <v/>
      </c>
      <c r="U229">
        <f>IFERROR(IF(T229="","",COUNTIF($T$60:$T$309,"&lt;"&amp;T229)+COUNTIF($T$60:T229,T229)),"")</f>
        <v/>
      </c>
    </row>
    <row r="230">
      <c r="S230">
        <f>'Key Activity Log'!A175</f>
        <v/>
      </c>
      <c r="T230">
        <f>IFERROR(IF(OR('Key Activity Log'!V175="Overdue",'Key Activity Log'!V175="Checked Out"),IF('Key Activity Log'!V175="Overdue",'Key Activity Log'!N175+'Key Activity Log'!O175,100000+'Key Activity Log'!N175+'Key Activity Log'!O175)+ROW()/1000000,""),"")</f>
        <v/>
      </c>
      <c r="U230">
        <f>IFERROR(IF(T230="","",COUNTIF($T$60:$T$309,"&lt;"&amp;T230)+COUNTIF($T$60:T230,T230)),"")</f>
        <v/>
      </c>
    </row>
    <row r="231">
      <c r="S231">
        <f>'Key Activity Log'!A176</f>
        <v/>
      </c>
      <c r="T231">
        <f>IFERROR(IF(OR('Key Activity Log'!V176="Overdue",'Key Activity Log'!V176="Checked Out"),IF('Key Activity Log'!V176="Overdue",'Key Activity Log'!N176+'Key Activity Log'!O176,100000+'Key Activity Log'!N176+'Key Activity Log'!O176)+ROW()/1000000,""),"")</f>
        <v/>
      </c>
      <c r="U231">
        <f>IFERROR(IF(T231="","",COUNTIF($T$60:$T$309,"&lt;"&amp;T231)+COUNTIF($T$60:T231,T231)),"")</f>
        <v/>
      </c>
    </row>
    <row r="232">
      <c r="S232">
        <f>'Key Activity Log'!A177</f>
        <v/>
      </c>
      <c r="T232">
        <f>IFERROR(IF(OR('Key Activity Log'!V177="Overdue",'Key Activity Log'!V177="Checked Out"),IF('Key Activity Log'!V177="Overdue",'Key Activity Log'!N177+'Key Activity Log'!O177,100000+'Key Activity Log'!N177+'Key Activity Log'!O177)+ROW()/1000000,""),"")</f>
        <v/>
      </c>
      <c r="U232">
        <f>IFERROR(IF(T232="","",COUNTIF($T$60:$T$309,"&lt;"&amp;T232)+COUNTIF($T$60:T232,T232)),"")</f>
        <v/>
      </c>
    </row>
    <row r="233">
      <c r="S233">
        <f>'Key Activity Log'!A178</f>
        <v/>
      </c>
      <c r="T233">
        <f>IFERROR(IF(OR('Key Activity Log'!V178="Overdue",'Key Activity Log'!V178="Checked Out"),IF('Key Activity Log'!V178="Overdue",'Key Activity Log'!N178+'Key Activity Log'!O178,100000+'Key Activity Log'!N178+'Key Activity Log'!O178)+ROW()/1000000,""),"")</f>
        <v/>
      </c>
      <c r="U233">
        <f>IFERROR(IF(T233="","",COUNTIF($T$60:$T$309,"&lt;"&amp;T233)+COUNTIF($T$60:T233,T233)),"")</f>
        <v/>
      </c>
    </row>
    <row r="234">
      <c r="S234">
        <f>'Key Activity Log'!A179</f>
        <v/>
      </c>
      <c r="T234">
        <f>IFERROR(IF(OR('Key Activity Log'!V179="Overdue",'Key Activity Log'!V179="Checked Out"),IF('Key Activity Log'!V179="Overdue",'Key Activity Log'!N179+'Key Activity Log'!O179,100000+'Key Activity Log'!N179+'Key Activity Log'!O179)+ROW()/1000000,""),"")</f>
        <v/>
      </c>
      <c r="U234">
        <f>IFERROR(IF(T234="","",COUNTIF($T$60:$T$309,"&lt;"&amp;T234)+COUNTIF($T$60:T234,T234)),"")</f>
        <v/>
      </c>
    </row>
    <row r="235">
      <c r="S235">
        <f>'Key Activity Log'!A180</f>
        <v/>
      </c>
      <c r="T235">
        <f>IFERROR(IF(OR('Key Activity Log'!V180="Overdue",'Key Activity Log'!V180="Checked Out"),IF('Key Activity Log'!V180="Overdue",'Key Activity Log'!N180+'Key Activity Log'!O180,100000+'Key Activity Log'!N180+'Key Activity Log'!O180)+ROW()/1000000,""),"")</f>
        <v/>
      </c>
      <c r="U235">
        <f>IFERROR(IF(T235="","",COUNTIF($T$60:$T$309,"&lt;"&amp;T235)+COUNTIF($T$60:T235,T235)),"")</f>
        <v/>
      </c>
    </row>
    <row r="236">
      <c r="S236">
        <f>'Key Activity Log'!A181</f>
        <v/>
      </c>
      <c r="T236">
        <f>IFERROR(IF(OR('Key Activity Log'!V181="Overdue",'Key Activity Log'!V181="Checked Out"),IF('Key Activity Log'!V181="Overdue",'Key Activity Log'!N181+'Key Activity Log'!O181,100000+'Key Activity Log'!N181+'Key Activity Log'!O181)+ROW()/1000000,""),"")</f>
        <v/>
      </c>
      <c r="U236">
        <f>IFERROR(IF(T236="","",COUNTIF($T$60:$T$309,"&lt;"&amp;T236)+COUNTIF($T$60:T236,T236)),"")</f>
        <v/>
      </c>
    </row>
    <row r="237">
      <c r="S237">
        <f>'Key Activity Log'!A182</f>
        <v/>
      </c>
      <c r="T237">
        <f>IFERROR(IF(OR('Key Activity Log'!V182="Overdue",'Key Activity Log'!V182="Checked Out"),IF('Key Activity Log'!V182="Overdue",'Key Activity Log'!N182+'Key Activity Log'!O182,100000+'Key Activity Log'!N182+'Key Activity Log'!O182)+ROW()/1000000,""),"")</f>
        <v/>
      </c>
      <c r="U237">
        <f>IFERROR(IF(T237="","",COUNTIF($T$60:$T$309,"&lt;"&amp;T237)+COUNTIF($T$60:T237,T237)),"")</f>
        <v/>
      </c>
    </row>
    <row r="238">
      <c r="S238">
        <f>'Key Activity Log'!A183</f>
        <v/>
      </c>
      <c r="T238">
        <f>IFERROR(IF(OR('Key Activity Log'!V183="Overdue",'Key Activity Log'!V183="Checked Out"),IF('Key Activity Log'!V183="Overdue",'Key Activity Log'!N183+'Key Activity Log'!O183,100000+'Key Activity Log'!N183+'Key Activity Log'!O183)+ROW()/1000000,""),"")</f>
        <v/>
      </c>
      <c r="U238">
        <f>IFERROR(IF(T238="","",COUNTIF($T$60:$T$309,"&lt;"&amp;T238)+COUNTIF($T$60:T238,T238)),"")</f>
        <v/>
      </c>
    </row>
    <row r="239">
      <c r="S239">
        <f>'Key Activity Log'!A184</f>
        <v/>
      </c>
      <c r="T239">
        <f>IFERROR(IF(OR('Key Activity Log'!V184="Overdue",'Key Activity Log'!V184="Checked Out"),IF('Key Activity Log'!V184="Overdue",'Key Activity Log'!N184+'Key Activity Log'!O184,100000+'Key Activity Log'!N184+'Key Activity Log'!O184)+ROW()/1000000,""),"")</f>
        <v/>
      </c>
      <c r="U239">
        <f>IFERROR(IF(T239="","",COUNTIF($T$60:$T$309,"&lt;"&amp;T239)+COUNTIF($T$60:T239,T239)),"")</f>
        <v/>
      </c>
    </row>
    <row r="240">
      <c r="S240">
        <f>'Key Activity Log'!A185</f>
        <v/>
      </c>
      <c r="T240">
        <f>IFERROR(IF(OR('Key Activity Log'!V185="Overdue",'Key Activity Log'!V185="Checked Out"),IF('Key Activity Log'!V185="Overdue",'Key Activity Log'!N185+'Key Activity Log'!O185,100000+'Key Activity Log'!N185+'Key Activity Log'!O185)+ROW()/1000000,""),"")</f>
        <v/>
      </c>
      <c r="U240">
        <f>IFERROR(IF(T240="","",COUNTIF($T$60:$T$309,"&lt;"&amp;T240)+COUNTIF($T$60:T240,T240)),"")</f>
        <v/>
      </c>
    </row>
    <row r="241">
      <c r="S241">
        <f>'Key Activity Log'!A186</f>
        <v/>
      </c>
      <c r="T241">
        <f>IFERROR(IF(OR('Key Activity Log'!V186="Overdue",'Key Activity Log'!V186="Checked Out"),IF('Key Activity Log'!V186="Overdue",'Key Activity Log'!N186+'Key Activity Log'!O186,100000+'Key Activity Log'!N186+'Key Activity Log'!O186)+ROW()/1000000,""),"")</f>
        <v/>
      </c>
      <c r="U241">
        <f>IFERROR(IF(T241="","",COUNTIF($T$60:$T$309,"&lt;"&amp;T241)+COUNTIF($T$60:T241,T241)),"")</f>
        <v/>
      </c>
    </row>
    <row r="242">
      <c r="S242">
        <f>'Key Activity Log'!A187</f>
        <v/>
      </c>
      <c r="T242">
        <f>IFERROR(IF(OR('Key Activity Log'!V187="Overdue",'Key Activity Log'!V187="Checked Out"),IF('Key Activity Log'!V187="Overdue",'Key Activity Log'!N187+'Key Activity Log'!O187,100000+'Key Activity Log'!N187+'Key Activity Log'!O187)+ROW()/1000000,""),"")</f>
        <v/>
      </c>
      <c r="U242">
        <f>IFERROR(IF(T242="","",COUNTIF($T$60:$T$309,"&lt;"&amp;T242)+COUNTIF($T$60:T242,T242)),"")</f>
        <v/>
      </c>
    </row>
    <row r="243">
      <c r="S243">
        <f>'Key Activity Log'!A188</f>
        <v/>
      </c>
      <c r="T243">
        <f>IFERROR(IF(OR('Key Activity Log'!V188="Overdue",'Key Activity Log'!V188="Checked Out"),IF('Key Activity Log'!V188="Overdue",'Key Activity Log'!N188+'Key Activity Log'!O188,100000+'Key Activity Log'!N188+'Key Activity Log'!O188)+ROW()/1000000,""),"")</f>
        <v/>
      </c>
      <c r="U243">
        <f>IFERROR(IF(T243="","",COUNTIF($T$60:$T$309,"&lt;"&amp;T243)+COUNTIF($T$60:T243,T243)),"")</f>
        <v/>
      </c>
    </row>
    <row r="244">
      <c r="S244">
        <f>'Key Activity Log'!A189</f>
        <v/>
      </c>
      <c r="T244">
        <f>IFERROR(IF(OR('Key Activity Log'!V189="Overdue",'Key Activity Log'!V189="Checked Out"),IF('Key Activity Log'!V189="Overdue",'Key Activity Log'!N189+'Key Activity Log'!O189,100000+'Key Activity Log'!N189+'Key Activity Log'!O189)+ROW()/1000000,""),"")</f>
        <v/>
      </c>
      <c r="U244">
        <f>IFERROR(IF(T244="","",COUNTIF($T$60:$T$309,"&lt;"&amp;T244)+COUNTIF($T$60:T244,T244)),"")</f>
        <v/>
      </c>
    </row>
    <row r="245">
      <c r="S245">
        <f>'Key Activity Log'!A190</f>
        <v/>
      </c>
      <c r="T245">
        <f>IFERROR(IF(OR('Key Activity Log'!V190="Overdue",'Key Activity Log'!V190="Checked Out"),IF('Key Activity Log'!V190="Overdue",'Key Activity Log'!N190+'Key Activity Log'!O190,100000+'Key Activity Log'!N190+'Key Activity Log'!O190)+ROW()/1000000,""),"")</f>
        <v/>
      </c>
      <c r="U245">
        <f>IFERROR(IF(T245="","",COUNTIF($T$60:$T$309,"&lt;"&amp;T245)+COUNTIF($T$60:T245,T245)),"")</f>
        <v/>
      </c>
    </row>
    <row r="246">
      <c r="S246">
        <f>'Key Activity Log'!A191</f>
        <v/>
      </c>
      <c r="T246">
        <f>IFERROR(IF(OR('Key Activity Log'!V191="Overdue",'Key Activity Log'!V191="Checked Out"),IF('Key Activity Log'!V191="Overdue",'Key Activity Log'!N191+'Key Activity Log'!O191,100000+'Key Activity Log'!N191+'Key Activity Log'!O191)+ROW()/1000000,""),"")</f>
        <v/>
      </c>
      <c r="U246">
        <f>IFERROR(IF(T246="","",COUNTIF($T$60:$T$309,"&lt;"&amp;T246)+COUNTIF($T$60:T246,T246)),"")</f>
        <v/>
      </c>
    </row>
    <row r="247">
      <c r="S247">
        <f>'Key Activity Log'!A192</f>
        <v/>
      </c>
      <c r="T247">
        <f>IFERROR(IF(OR('Key Activity Log'!V192="Overdue",'Key Activity Log'!V192="Checked Out"),IF('Key Activity Log'!V192="Overdue",'Key Activity Log'!N192+'Key Activity Log'!O192,100000+'Key Activity Log'!N192+'Key Activity Log'!O192)+ROW()/1000000,""),"")</f>
        <v/>
      </c>
      <c r="U247">
        <f>IFERROR(IF(T247="","",COUNTIF($T$60:$T$309,"&lt;"&amp;T247)+COUNTIF($T$60:T247,T247)),"")</f>
        <v/>
      </c>
    </row>
    <row r="248">
      <c r="S248">
        <f>'Key Activity Log'!A193</f>
        <v/>
      </c>
      <c r="T248">
        <f>IFERROR(IF(OR('Key Activity Log'!V193="Overdue",'Key Activity Log'!V193="Checked Out"),IF('Key Activity Log'!V193="Overdue",'Key Activity Log'!N193+'Key Activity Log'!O193,100000+'Key Activity Log'!N193+'Key Activity Log'!O193)+ROW()/1000000,""),"")</f>
        <v/>
      </c>
      <c r="U248">
        <f>IFERROR(IF(T248="","",COUNTIF($T$60:$T$309,"&lt;"&amp;T248)+COUNTIF($T$60:T248,T248)),"")</f>
        <v/>
      </c>
    </row>
    <row r="249">
      <c r="S249">
        <f>'Key Activity Log'!A194</f>
        <v/>
      </c>
      <c r="T249">
        <f>IFERROR(IF(OR('Key Activity Log'!V194="Overdue",'Key Activity Log'!V194="Checked Out"),IF('Key Activity Log'!V194="Overdue",'Key Activity Log'!N194+'Key Activity Log'!O194,100000+'Key Activity Log'!N194+'Key Activity Log'!O194)+ROW()/1000000,""),"")</f>
        <v/>
      </c>
      <c r="U249">
        <f>IFERROR(IF(T249="","",COUNTIF($T$60:$T$309,"&lt;"&amp;T249)+COUNTIF($T$60:T249,T249)),"")</f>
        <v/>
      </c>
    </row>
    <row r="250">
      <c r="S250">
        <f>'Key Activity Log'!A195</f>
        <v/>
      </c>
      <c r="T250">
        <f>IFERROR(IF(OR('Key Activity Log'!V195="Overdue",'Key Activity Log'!V195="Checked Out"),IF('Key Activity Log'!V195="Overdue",'Key Activity Log'!N195+'Key Activity Log'!O195,100000+'Key Activity Log'!N195+'Key Activity Log'!O195)+ROW()/1000000,""),"")</f>
        <v/>
      </c>
      <c r="U250">
        <f>IFERROR(IF(T250="","",COUNTIF($T$60:$T$309,"&lt;"&amp;T250)+COUNTIF($T$60:T250,T250)),"")</f>
        <v/>
      </c>
    </row>
    <row r="251">
      <c r="S251">
        <f>'Key Activity Log'!A196</f>
        <v/>
      </c>
      <c r="T251">
        <f>IFERROR(IF(OR('Key Activity Log'!V196="Overdue",'Key Activity Log'!V196="Checked Out"),IF('Key Activity Log'!V196="Overdue",'Key Activity Log'!N196+'Key Activity Log'!O196,100000+'Key Activity Log'!N196+'Key Activity Log'!O196)+ROW()/1000000,""),"")</f>
        <v/>
      </c>
      <c r="U251">
        <f>IFERROR(IF(T251="","",COUNTIF($T$60:$T$309,"&lt;"&amp;T251)+COUNTIF($T$60:T251,T251)),"")</f>
        <v/>
      </c>
    </row>
    <row r="252">
      <c r="S252">
        <f>'Key Activity Log'!A197</f>
        <v/>
      </c>
      <c r="T252">
        <f>IFERROR(IF(OR('Key Activity Log'!V197="Overdue",'Key Activity Log'!V197="Checked Out"),IF('Key Activity Log'!V197="Overdue",'Key Activity Log'!N197+'Key Activity Log'!O197,100000+'Key Activity Log'!N197+'Key Activity Log'!O197)+ROW()/1000000,""),"")</f>
        <v/>
      </c>
      <c r="U252">
        <f>IFERROR(IF(T252="","",COUNTIF($T$60:$T$309,"&lt;"&amp;T252)+COUNTIF($T$60:T252,T252)),"")</f>
        <v/>
      </c>
    </row>
    <row r="253">
      <c r="S253">
        <f>'Key Activity Log'!A198</f>
        <v/>
      </c>
      <c r="T253">
        <f>IFERROR(IF(OR('Key Activity Log'!V198="Overdue",'Key Activity Log'!V198="Checked Out"),IF('Key Activity Log'!V198="Overdue",'Key Activity Log'!N198+'Key Activity Log'!O198,100000+'Key Activity Log'!N198+'Key Activity Log'!O198)+ROW()/1000000,""),"")</f>
        <v/>
      </c>
      <c r="U253">
        <f>IFERROR(IF(T253="","",COUNTIF($T$60:$T$309,"&lt;"&amp;T253)+COUNTIF($T$60:T253,T253)),"")</f>
        <v/>
      </c>
    </row>
    <row r="254">
      <c r="S254">
        <f>'Key Activity Log'!A199</f>
        <v/>
      </c>
      <c r="T254">
        <f>IFERROR(IF(OR('Key Activity Log'!V199="Overdue",'Key Activity Log'!V199="Checked Out"),IF('Key Activity Log'!V199="Overdue",'Key Activity Log'!N199+'Key Activity Log'!O199,100000+'Key Activity Log'!N199+'Key Activity Log'!O199)+ROW()/1000000,""),"")</f>
        <v/>
      </c>
      <c r="U254">
        <f>IFERROR(IF(T254="","",COUNTIF($T$60:$T$309,"&lt;"&amp;T254)+COUNTIF($T$60:T254,T254)),"")</f>
        <v/>
      </c>
    </row>
    <row r="255">
      <c r="S255">
        <f>'Key Activity Log'!A200</f>
        <v/>
      </c>
      <c r="T255">
        <f>IFERROR(IF(OR('Key Activity Log'!V200="Overdue",'Key Activity Log'!V200="Checked Out"),IF('Key Activity Log'!V200="Overdue",'Key Activity Log'!N200+'Key Activity Log'!O200,100000+'Key Activity Log'!N200+'Key Activity Log'!O200)+ROW()/1000000,""),"")</f>
        <v/>
      </c>
      <c r="U255">
        <f>IFERROR(IF(T255="","",COUNTIF($T$60:$T$309,"&lt;"&amp;T255)+COUNTIF($T$60:T255,T255)),"")</f>
        <v/>
      </c>
    </row>
    <row r="256">
      <c r="S256">
        <f>'Key Activity Log'!A201</f>
        <v/>
      </c>
      <c r="T256">
        <f>IFERROR(IF(OR('Key Activity Log'!V201="Overdue",'Key Activity Log'!V201="Checked Out"),IF('Key Activity Log'!V201="Overdue",'Key Activity Log'!N201+'Key Activity Log'!O201,100000+'Key Activity Log'!N201+'Key Activity Log'!O201)+ROW()/1000000,""),"")</f>
        <v/>
      </c>
      <c r="U256">
        <f>IFERROR(IF(T256="","",COUNTIF($T$60:$T$309,"&lt;"&amp;T256)+COUNTIF($T$60:T256,T256)),"")</f>
        <v/>
      </c>
    </row>
    <row r="257">
      <c r="S257">
        <f>'Key Activity Log'!A202</f>
        <v/>
      </c>
      <c r="T257">
        <f>IFERROR(IF(OR('Key Activity Log'!V202="Overdue",'Key Activity Log'!V202="Checked Out"),IF('Key Activity Log'!V202="Overdue",'Key Activity Log'!N202+'Key Activity Log'!O202,100000+'Key Activity Log'!N202+'Key Activity Log'!O202)+ROW()/1000000,""),"")</f>
        <v/>
      </c>
      <c r="U257">
        <f>IFERROR(IF(T257="","",COUNTIF($T$60:$T$309,"&lt;"&amp;T257)+COUNTIF($T$60:T257,T257)),"")</f>
        <v/>
      </c>
    </row>
    <row r="258">
      <c r="S258">
        <f>'Key Activity Log'!A203</f>
        <v/>
      </c>
      <c r="T258">
        <f>IFERROR(IF(OR('Key Activity Log'!V203="Overdue",'Key Activity Log'!V203="Checked Out"),IF('Key Activity Log'!V203="Overdue",'Key Activity Log'!N203+'Key Activity Log'!O203,100000+'Key Activity Log'!N203+'Key Activity Log'!O203)+ROW()/1000000,""),"")</f>
        <v/>
      </c>
      <c r="U258">
        <f>IFERROR(IF(T258="","",COUNTIF($T$60:$T$309,"&lt;"&amp;T258)+COUNTIF($T$60:T258,T258)),"")</f>
        <v/>
      </c>
    </row>
    <row r="259">
      <c r="S259">
        <f>'Key Activity Log'!A204</f>
        <v/>
      </c>
      <c r="T259">
        <f>IFERROR(IF(OR('Key Activity Log'!V204="Overdue",'Key Activity Log'!V204="Checked Out"),IF('Key Activity Log'!V204="Overdue",'Key Activity Log'!N204+'Key Activity Log'!O204,100000+'Key Activity Log'!N204+'Key Activity Log'!O204)+ROW()/1000000,""),"")</f>
        <v/>
      </c>
      <c r="U259">
        <f>IFERROR(IF(T259="","",COUNTIF($T$60:$T$309,"&lt;"&amp;T259)+COUNTIF($T$60:T259,T259)),"")</f>
        <v/>
      </c>
    </row>
    <row r="260">
      <c r="S260">
        <f>'Key Activity Log'!A205</f>
        <v/>
      </c>
      <c r="T260">
        <f>IFERROR(IF(OR('Key Activity Log'!V205="Overdue",'Key Activity Log'!V205="Checked Out"),IF('Key Activity Log'!V205="Overdue",'Key Activity Log'!N205+'Key Activity Log'!O205,100000+'Key Activity Log'!N205+'Key Activity Log'!O205)+ROW()/1000000,""),"")</f>
        <v/>
      </c>
      <c r="U260">
        <f>IFERROR(IF(T260="","",COUNTIF($T$60:$T$309,"&lt;"&amp;T260)+COUNTIF($T$60:T260,T260)),"")</f>
        <v/>
      </c>
    </row>
    <row r="261">
      <c r="S261">
        <f>'Key Activity Log'!A206</f>
        <v/>
      </c>
      <c r="T261">
        <f>IFERROR(IF(OR('Key Activity Log'!V206="Overdue",'Key Activity Log'!V206="Checked Out"),IF('Key Activity Log'!V206="Overdue",'Key Activity Log'!N206+'Key Activity Log'!O206,100000+'Key Activity Log'!N206+'Key Activity Log'!O206)+ROW()/1000000,""),"")</f>
        <v/>
      </c>
      <c r="U261">
        <f>IFERROR(IF(T261="","",COUNTIF($T$60:$T$309,"&lt;"&amp;T261)+COUNTIF($T$60:T261,T261)),"")</f>
        <v/>
      </c>
    </row>
    <row r="262">
      <c r="S262">
        <f>'Key Activity Log'!A207</f>
        <v/>
      </c>
      <c r="T262">
        <f>IFERROR(IF(OR('Key Activity Log'!V207="Overdue",'Key Activity Log'!V207="Checked Out"),IF('Key Activity Log'!V207="Overdue",'Key Activity Log'!N207+'Key Activity Log'!O207,100000+'Key Activity Log'!N207+'Key Activity Log'!O207)+ROW()/1000000,""),"")</f>
        <v/>
      </c>
      <c r="U262">
        <f>IFERROR(IF(T262="","",COUNTIF($T$60:$T$309,"&lt;"&amp;T262)+COUNTIF($T$60:T262,T262)),"")</f>
        <v/>
      </c>
    </row>
    <row r="263">
      <c r="S263">
        <f>'Key Activity Log'!A208</f>
        <v/>
      </c>
      <c r="T263">
        <f>IFERROR(IF(OR('Key Activity Log'!V208="Overdue",'Key Activity Log'!V208="Checked Out"),IF('Key Activity Log'!V208="Overdue",'Key Activity Log'!N208+'Key Activity Log'!O208,100000+'Key Activity Log'!N208+'Key Activity Log'!O208)+ROW()/1000000,""),"")</f>
        <v/>
      </c>
      <c r="U263">
        <f>IFERROR(IF(T263="","",COUNTIF($T$60:$T$309,"&lt;"&amp;T263)+COUNTIF($T$60:T263,T263)),"")</f>
        <v/>
      </c>
    </row>
    <row r="264">
      <c r="S264">
        <f>'Key Activity Log'!A209</f>
        <v/>
      </c>
      <c r="T264">
        <f>IFERROR(IF(OR('Key Activity Log'!V209="Overdue",'Key Activity Log'!V209="Checked Out"),IF('Key Activity Log'!V209="Overdue",'Key Activity Log'!N209+'Key Activity Log'!O209,100000+'Key Activity Log'!N209+'Key Activity Log'!O209)+ROW()/1000000,""),"")</f>
        <v/>
      </c>
      <c r="U264">
        <f>IFERROR(IF(T264="","",COUNTIF($T$60:$T$309,"&lt;"&amp;T264)+COUNTIF($T$60:T264,T264)),"")</f>
        <v/>
      </c>
    </row>
    <row r="265">
      <c r="S265">
        <f>'Key Activity Log'!A210</f>
        <v/>
      </c>
      <c r="T265">
        <f>IFERROR(IF(OR('Key Activity Log'!V210="Overdue",'Key Activity Log'!V210="Checked Out"),IF('Key Activity Log'!V210="Overdue",'Key Activity Log'!N210+'Key Activity Log'!O210,100000+'Key Activity Log'!N210+'Key Activity Log'!O210)+ROW()/1000000,""),"")</f>
        <v/>
      </c>
      <c r="U265">
        <f>IFERROR(IF(T265="","",COUNTIF($T$60:$T$309,"&lt;"&amp;T265)+COUNTIF($T$60:T265,T265)),"")</f>
        <v/>
      </c>
    </row>
    <row r="266">
      <c r="S266">
        <f>'Key Activity Log'!A211</f>
        <v/>
      </c>
      <c r="T266">
        <f>IFERROR(IF(OR('Key Activity Log'!V211="Overdue",'Key Activity Log'!V211="Checked Out"),IF('Key Activity Log'!V211="Overdue",'Key Activity Log'!N211+'Key Activity Log'!O211,100000+'Key Activity Log'!N211+'Key Activity Log'!O211)+ROW()/1000000,""),"")</f>
        <v/>
      </c>
      <c r="U266">
        <f>IFERROR(IF(T266="","",COUNTIF($T$60:$T$309,"&lt;"&amp;T266)+COUNTIF($T$60:T266,T266)),"")</f>
        <v/>
      </c>
    </row>
    <row r="267">
      <c r="S267">
        <f>'Key Activity Log'!A212</f>
        <v/>
      </c>
      <c r="T267">
        <f>IFERROR(IF(OR('Key Activity Log'!V212="Overdue",'Key Activity Log'!V212="Checked Out"),IF('Key Activity Log'!V212="Overdue",'Key Activity Log'!N212+'Key Activity Log'!O212,100000+'Key Activity Log'!N212+'Key Activity Log'!O212)+ROW()/1000000,""),"")</f>
        <v/>
      </c>
      <c r="U267">
        <f>IFERROR(IF(T267="","",COUNTIF($T$60:$T$309,"&lt;"&amp;T267)+COUNTIF($T$60:T267,T267)),"")</f>
        <v/>
      </c>
    </row>
    <row r="268">
      <c r="S268">
        <f>'Key Activity Log'!A213</f>
        <v/>
      </c>
      <c r="T268">
        <f>IFERROR(IF(OR('Key Activity Log'!V213="Overdue",'Key Activity Log'!V213="Checked Out"),IF('Key Activity Log'!V213="Overdue",'Key Activity Log'!N213+'Key Activity Log'!O213,100000+'Key Activity Log'!N213+'Key Activity Log'!O213)+ROW()/1000000,""),"")</f>
        <v/>
      </c>
      <c r="U268">
        <f>IFERROR(IF(T268="","",COUNTIF($T$60:$T$309,"&lt;"&amp;T268)+COUNTIF($T$60:T268,T268)),"")</f>
        <v/>
      </c>
    </row>
    <row r="269">
      <c r="S269">
        <f>'Key Activity Log'!A214</f>
        <v/>
      </c>
      <c r="T269">
        <f>IFERROR(IF(OR('Key Activity Log'!V214="Overdue",'Key Activity Log'!V214="Checked Out"),IF('Key Activity Log'!V214="Overdue",'Key Activity Log'!N214+'Key Activity Log'!O214,100000+'Key Activity Log'!N214+'Key Activity Log'!O214)+ROW()/1000000,""),"")</f>
        <v/>
      </c>
      <c r="U269">
        <f>IFERROR(IF(T269="","",COUNTIF($T$60:$T$309,"&lt;"&amp;T269)+COUNTIF($T$60:T269,T269)),"")</f>
        <v/>
      </c>
    </row>
    <row r="270">
      <c r="S270">
        <f>'Key Activity Log'!A215</f>
        <v/>
      </c>
      <c r="T270">
        <f>IFERROR(IF(OR('Key Activity Log'!V215="Overdue",'Key Activity Log'!V215="Checked Out"),IF('Key Activity Log'!V215="Overdue",'Key Activity Log'!N215+'Key Activity Log'!O215,100000+'Key Activity Log'!N215+'Key Activity Log'!O215)+ROW()/1000000,""),"")</f>
        <v/>
      </c>
      <c r="U270">
        <f>IFERROR(IF(T270="","",COUNTIF($T$60:$T$309,"&lt;"&amp;T270)+COUNTIF($T$60:T270,T270)),"")</f>
        <v/>
      </c>
    </row>
    <row r="271">
      <c r="S271">
        <f>'Key Activity Log'!A216</f>
        <v/>
      </c>
      <c r="T271">
        <f>IFERROR(IF(OR('Key Activity Log'!V216="Overdue",'Key Activity Log'!V216="Checked Out"),IF('Key Activity Log'!V216="Overdue",'Key Activity Log'!N216+'Key Activity Log'!O216,100000+'Key Activity Log'!N216+'Key Activity Log'!O216)+ROW()/1000000,""),"")</f>
        <v/>
      </c>
      <c r="U271">
        <f>IFERROR(IF(T271="","",COUNTIF($T$60:$T$309,"&lt;"&amp;T271)+COUNTIF($T$60:T271,T271)),"")</f>
        <v/>
      </c>
    </row>
    <row r="272">
      <c r="S272">
        <f>'Key Activity Log'!A217</f>
        <v/>
      </c>
      <c r="T272">
        <f>IFERROR(IF(OR('Key Activity Log'!V217="Overdue",'Key Activity Log'!V217="Checked Out"),IF('Key Activity Log'!V217="Overdue",'Key Activity Log'!N217+'Key Activity Log'!O217,100000+'Key Activity Log'!N217+'Key Activity Log'!O217)+ROW()/1000000,""),"")</f>
        <v/>
      </c>
      <c r="U272">
        <f>IFERROR(IF(T272="","",COUNTIF($T$60:$T$309,"&lt;"&amp;T272)+COUNTIF($T$60:T272,T272)),"")</f>
        <v/>
      </c>
    </row>
    <row r="273">
      <c r="S273">
        <f>'Key Activity Log'!A218</f>
        <v/>
      </c>
      <c r="T273">
        <f>IFERROR(IF(OR('Key Activity Log'!V218="Overdue",'Key Activity Log'!V218="Checked Out"),IF('Key Activity Log'!V218="Overdue",'Key Activity Log'!N218+'Key Activity Log'!O218,100000+'Key Activity Log'!N218+'Key Activity Log'!O218)+ROW()/1000000,""),"")</f>
        <v/>
      </c>
      <c r="U273">
        <f>IFERROR(IF(T273="","",COUNTIF($T$60:$T$309,"&lt;"&amp;T273)+COUNTIF($T$60:T273,T273)),"")</f>
        <v/>
      </c>
    </row>
    <row r="274">
      <c r="S274">
        <f>'Key Activity Log'!A219</f>
        <v/>
      </c>
      <c r="T274">
        <f>IFERROR(IF(OR('Key Activity Log'!V219="Overdue",'Key Activity Log'!V219="Checked Out"),IF('Key Activity Log'!V219="Overdue",'Key Activity Log'!N219+'Key Activity Log'!O219,100000+'Key Activity Log'!N219+'Key Activity Log'!O219)+ROW()/1000000,""),"")</f>
        <v/>
      </c>
      <c r="U274">
        <f>IFERROR(IF(T274="","",COUNTIF($T$60:$T$309,"&lt;"&amp;T274)+COUNTIF($T$60:T274,T274)),"")</f>
        <v/>
      </c>
    </row>
    <row r="275">
      <c r="S275">
        <f>'Key Activity Log'!A220</f>
        <v/>
      </c>
      <c r="T275">
        <f>IFERROR(IF(OR('Key Activity Log'!V220="Overdue",'Key Activity Log'!V220="Checked Out"),IF('Key Activity Log'!V220="Overdue",'Key Activity Log'!N220+'Key Activity Log'!O220,100000+'Key Activity Log'!N220+'Key Activity Log'!O220)+ROW()/1000000,""),"")</f>
        <v/>
      </c>
      <c r="U275">
        <f>IFERROR(IF(T275="","",COUNTIF($T$60:$T$309,"&lt;"&amp;T275)+COUNTIF($T$60:T275,T275)),"")</f>
        <v/>
      </c>
    </row>
    <row r="276">
      <c r="S276">
        <f>'Key Activity Log'!A221</f>
        <v/>
      </c>
      <c r="T276">
        <f>IFERROR(IF(OR('Key Activity Log'!V221="Overdue",'Key Activity Log'!V221="Checked Out"),IF('Key Activity Log'!V221="Overdue",'Key Activity Log'!N221+'Key Activity Log'!O221,100000+'Key Activity Log'!N221+'Key Activity Log'!O221)+ROW()/1000000,""),"")</f>
        <v/>
      </c>
      <c r="U276">
        <f>IFERROR(IF(T276="","",COUNTIF($T$60:$T$309,"&lt;"&amp;T276)+COUNTIF($T$60:T276,T276)),"")</f>
        <v/>
      </c>
    </row>
    <row r="277">
      <c r="S277">
        <f>'Key Activity Log'!A222</f>
        <v/>
      </c>
      <c r="T277">
        <f>IFERROR(IF(OR('Key Activity Log'!V222="Overdue",'Key Activity Log'!V222="Checked Out"),IF('Key Activity Log'!V222="Overdue",'Key Activity Log'!N222+'Key Activity Log'!O222,100000+'Key Activity Log'!N222+'Key Activity Log'!O222)+ROW()/1000000,""),"")</f>
        <v/>
      </c>
      <c r="U277">
        <f>IFERROR(IF(T277="","",COUNTIF($T$60:$T$309,"&lt;"&amp;T277)+COUNTIF($T$60:T277,T277)),"")</f>
        <v/>
      </c>
    </row>
    <row r="278">
      <c r="S278">
        <f>'Key Activity Log'!A223</f>
        <v/>
      </c>
      <c r="T278">
        <f>IFERROR(IF(OR('Key Activity Log'!V223="Overdue",'Key Activity Log'!V223="Checked Out"),IF('Key Activity Log'!V223="Overdue",'Key Activity Log'!N223+'Key Activity Log'!O223,100000+'Key Activity Log'!N223+'Key Activity Log'!O223)+ROW()/1000000,""),"")</f>
        <v/>
      </c>
      <c r="U278">
        <f>IFERROR(IF(T278="","",COUNTIF($T$60:$T$309,"&lt;"&amp;T278)+COUNTIF($T$60:T278,T278)),"")</f>
        <v/>
      </c>
    </row>
    <row r="279">
      <c r="S279">
        <f>'Key Activity Log'!A224</f>
        <v/>
      </c>
      <c r="T279">
        <f>IFERROR(IF(OR('Key Activity Log'!V224="Overdue",'Key Activity Log'!V224="Checked Out"),IF('Key Activity Log'!V224="Overdue",'Key Activity Log'!N224+'Key Activity Log'!O224,100000+'Key Activity Log'!N224+'Key Activity Log'!O224)+ROW()/1000000,""),"")</f>
        <v/>
      </c>
      <c r="U279">
        <f>IFERROR(IF(T279="","",COUNTIF($T$60:$T$309,"&lt;"&amp;T279)+COUNTIF($T$60:T279,T279)),"")</f>
        <v/>
      </c>
    </row>
    <row r="280">
      <c r="S280">
        <f>'Key Activity Log'!A225</f>
        <v/>
      </c>
      <c r="T280">
        <f>IFERROR(IF(OR('Key Activity Log'!V225="Overdue",'Key Activity Log'!V225="Checked Out"),IF('Key Activity Log'!V225="Overdue",'Key Activity Log'!N225+'Key Activity Log'!O225,100000+'Key Activity Log'!N225+'Key Activity Log'!O225)+ROW()/1000000,""),"")</f>
        <v/>
      </c>
      <c r="U280">
        <f>IFERROR(IF(T280="","",COUNTIF($T$60:$T$309,"&lt;"&amp;T280)+COUNTIF($T$60:T280,T280)),"")</f>
        <v/>
      </c>
    </row>
    <row r="281">
      <c r="S281">
        <f>'Key Activity Log'!A226</f>
        <v/>
      </c>
      <c r="T281">
        <f>IFERROR(IF(OR('Key Activity Log'!V226="Overdue",'Key Activity Log'!V226="Checked Out"),IF('Key Activity Log'!V226="Overdue",'Key Activity Log'!N226+'Key Activity Log'!O226,100000+'Key Activity Log'!N226+'Key Activity Log'!O226)+ROW()/1000000,""),"")</f>
        <v/>
      </c>
      <c r="U281">
        <f>IFERROR(IF(T281="","",COUNTIF($T$60:$T$309,"&lt;"&amp;T281)+COUNTIF($T$60:T281,T281)),"")</f>
        <v/>
      </c>
    </row>
    <row r="282">
      <c r="S282">
        <f>'Key Activity Log'!A227</f>
        <v/>
      </c>
      <c r="T282">
        <f>IFERROR(IF(OR('Key Activity Log'!V227="Overdue",'Key Activity Log'!V227="Checked Out"),IF('Key Activity Log'!V227="Overdue",'Key Activity Log'!N227+'Key Activity Log'!O227,100000+'Key Activity Log'!N227+'Key Activity Log'!O227)+ROW()/1000000,""),"")</f>
        <v/>
      </c>
      <c r="U282">
        <f>IFERROR(IF(T282="","",COUNTIF($T$60:$T$309,"&lt;"&amp;T282)+COUNTIF($T$60:T282,T282)),"")</f>
        <v/>
      </c>
    </row>
    <row r="283">
      <c r="S283">
        <f>'Key Activity Log'!A228</f>
        <v/>
      </c>
      <c r="T283">
        <f>IFERROR(IF(OR('Key Activity Log'!V228="Overdue",'Key Activity Log'!V228="Checked Out"),IF('Key Activity Log'!V228="Overdue",'Key Activity Log'!N228+'Key Activity Log'!O228,100000+'Key Activity Log'!N228+'Key Activity Log'!O228)+ROW()/1000000,""),"")</f>
        <v/>
      </c>
      <c r="U283">
        <f>IFERROR(IF(T283="","",COUNTIF($T$60:$T$309,"&lt;"&amp;T283)+COUNTIF($T$60:T283,T283)),"")</f>
        <v/>
      </c>
    </row>
    <row r="284">
      <c r="S284">
        <f>'Key Activity Log'!A229</f>
        <v/>
      </c>
      <c r="T284">
        <f>IFERROR(IF(OR('Key Activity Log'!V229="Overdue",'Key Activity Log'!V229="Checked Out"),IF('Key Activity Log'!V229="Overdue",'Key Activity Log'!N229+'Key Activity Log'!O229,100000+'Key Activity Log'!N229+'Key Activity Log'!O229)+ROW()/1000000,""),"")</f>
        <v/>
      </c>
      <c r="U284">
        <f>IFERROR(IF(T284="","",COUNTIF($T$60:$T$309,"&lt;"&amp;T284)+COUNTIF($T$60:T284,T284)),"")</f>
        <v/>
      </c>
    </row>
    <row r="285">
      <c r="S285">
        <f>'Key Activity Log'!A230</f>
        <v/>
      </c>
      <c r="T285">
        <f>IFERROR(IF(OR('Key Activity Log'!V230="Overdue",'Key Activity Log'!V230="Checked Out"),IF('Key Activity Log'!V230="Overdue",'Key Activity Log'!N230+'Key Activity Log'!O230,100000+'Key Activity Log'!N230+'Key Activity Log'!O230)+ROW()/1000000,""),"")</f>
        <v/>
      </c>
      <c r="U285">
        <f>IFERROR(IF(T285="","",COUNTIF($T$60:$T$309,"&lt;"&amp;T285)+COUNTIF($T$60:T285,T285)),"")</f>
        <v/>
      </c>
    </row>
    <row r="286">
      <c r="S286">
        <f>'Key Activity Log'!A231</f>
        <v/>
      </c>
      <c r="T286">
        <f>IFERROR(IF(OR('Key Activity Log'!V231="Overdue",'Key Activity Log'!V231="Checked Out"),IF('Key Activity Log'!V231="Overdue",'Key Activity Log'!N231+'Key Activity Log'!O231,100000+'Key Activity Log'!N231+'Key Activity Log'!O231)+ROW()/1000000,""),"")</f>
        <v/>
      </c>
      <c r="U286">
        <f>IFERROR(IF(T286="","",COUNTIF($T$60:$T$309,"&lt;"&amp;T286)+COUNTIF($T$60:T286,T286)),"")</f>
        <v/>
      </c>
    </row>
    <row r="287">
      <c r="S287">
        <f>'Key Activity Log'!A232</f>
        <v/>
      </c>
      <c r="T287">
        <f>IFERROR(IF(OR('Key Activity Log'!V232="Overdue",'Key Activity Log'!V232="Checked Out"),IF('Key Activity Log'!V232="Overdue",'Key Activity Log'!N232+'Key Activity Log'!O232,100000+'Key Activity Log'!N232+'Key Activity Log'!O232)+ROW()/1000000,""),"")</f>
        <v/>
      </c>
      <c r="U287">
        <f>IFERROR(IF(T287="","",COUNTIF($T$60:$T$309,"&lt;"&amp;T287)+COUNTIF($T$60:T287,T287)),"")</f>
        <v/>
      </c>
    </row>
    <row r="288">
      <c r="S288">
        <f>'Key Activity Log'!A233</f>
        <v/>
      </c>
      <c r="T288">
        <f>IFERROR(IF(OR('Key Activity Log'!V233="Overdue",'Key Activity Log'!V233="Checked Out"),IF('Key Activity Log'!V233="Overdue",'Key Activity Log'!N233+'Key Activity Log'!O233,100000+'Key Activity Log'!N233+'Key Activity Log'!O233)+ROW()/1000000,""),"")</f>
        <v/>
      </c>
      <c r="U288">
        <f>IFERROR(IF(T288="","",COUNTIF($T$60:$T$309,"&lt;"&amp;T288)+COUNTIF($T$60:T288,T288)),"")</f>
        <v/>
      </c>
    </row>
    <row r="289">
      <c r="S289">
        <f>'Key Activity Log'!A234</f>
        <v/>
      </c>
      <c r="T289">
        <f>IFERROR(IF(OR('Key Activity Log'!V234="Overdue",'Key Activity Log'!V234="Checked Out"),IF('Key Activity Log'!V234="Overdue",'Key Activity Log'!N234+'Key Activity Log'!O234,100000+'Key Activity Log'!N234+'Key Activity Log'!O234)+ROW()/1000000,""),"")</f>
        <v/>
      </c>
      <c r="U289">
        <f>IFERROR(IF(T289="","",COUNTIF($T$60:$T$309,"&lt;"&amp;T289)+COUNTIF($T$60:T289,T289)),"")</f>
        <v/>
      </c>
    </row>
    <row r="290">
      <c r="S290">
        <f>'Key Activity Log'!A235</f>
        <v/>
      </c>
      <c r="T290">
        <f>IFERROR(IF(OR('Key Activity Log'!V235="Overdue",'Key Activity Log'!V235="Checked Out"),IF('Key Activity Log'!V235="Overdue",'Key Activity Log'!N235+'Key Activity Log'!O235,100000+'Key Activity Log'!N235+'Key Activity Log'!O235)+ROW()/1000000,""),"")</f>
        <v/>
      </c>
      <c r="U290">
        <f>IFERROR(IF(T290="","",COUNTIF($T$60:$T$309,"&lt;"&amp;T290)+COUNTIF($T$60:T290,T290)),"")</f>
        <v/>
      </c>
    </row>
    <row r="291">
      <c r="S291">
        <f>'Key Activity Log'!A236</f>
        <v/>
      </c>
      <c r="T291">
        <f>IFERROR(IF(OR('Key Activity Log'!V236="Overdue",'Key Activity Log'!V236="Checked Out"),IF('Key Activity Log'!V236="Overdue",'Key Activity Log'!N236+'Key Activity Log'!O236,100000+'Key Activity Log'!N236+'Key Activity Log'!O236)+ROW()/1000000,""),"")</f>
        <v/>
      </c>
      <c r="U291">
        <f>IFERROR(IF(T291="","",COUNTIF($T$60:$T$309,"&lt;"&amp;T291)+COUNTIF($T$60:T291,T291)),"")</f>
        <v/>
      </c>
    </row>
    <row r="292">
      <c r="S292">
        <f>'Key Activity Log'!A237</f>
        <v/>
      </c>
      <c r="T292">
        <f>IFERROR(IF(OR('Key Activity Log'!V237="Overdue",'Key Activity Log'!V237="Checked Out"),IF('Key Activity Log'!V237="Overdue",'Key Activity Log'!N237+'Key Activity Log'!O237,100000+'Key Activity Log'!N237+'Key Activity Log'!O237)+ROW()/1000000,""),"")</f>
        <v/>
      </c>
      <c r="U292">
        <f>IFERROR(IF(T292="","",COUNTIF($T$60:$T$309,"&lt;"&amp;T292)+COUNTIF($T$60:T292,T292)),"")</f>
        <v/>
      </c>
    </row>
    <row r="293">
      <c r="S293">
        <f>'Key Activity Log'!A238</f>
        <v/>
      </c>
      <c r="T293">
        <f>IFERROR(IF(OR('Key Activity Log'!V238="Overdue",'Key Activity Log'!V238="Checked Out"),IF('Key Activity Log'!V238="Overdue",'Key Activity Log'!N238+'Key Activity Log'!O238,100000+'Key Activity Log'!N238+'Key Activity Log'!O238)+ROW()/1000000,""),"")</f>
        <v/>
      </c>
      <c r="U293">
        <f>IFERROR(IF(T293="","",COUNTIF($T$60:$T$309,"&lt;"&amp;T293)+COUNTIF($T$60:T293,T293)),"")</f>
        <v/>
      </c>
    </row>
    <row r="294">
      <c r="S294">
        <f>'Key Activity Log'!A239</f>
        <v/>
      </c>
      <c r="T294">
        <f>IFERROR(IF(OR('Key Activity Log'!V239="Overdue",'Key Activity Log'!V239="Checked Out"),IF('Key Activity Log'!V239="Overdue",'Key Activity Log'!N239+'Key Activity Log'!O239,100000+'Key Activity Log'!N239+'Key Activity Log'!O239)+ROW()/1000000,""),"")</f>
        <v/>
      </c>
      <c r="U294">
        <f>IFERROR(IF(T294="","",COUNTIF($T$60:$T$309,"&lt;"&amp;T294)+COUNTIF($T$60:T294,T294)),"")</f>
        <v/>
      </c>
    </row>
    <row r="295">
      <c r="S295">
        <f>'Key Activity Log'!A240</f>
        <v/>
      </c>
      <c r="T295">
        <f>IFERROR(IF(OR('Key Activity Log'!V240="Overdue",'Key Activity Log'!V240="Checked Out"),IF('Key Activity Log'!V240="Overdue",'Key Activity Log'!N240+'Key Activity Log'!O240,100000+'Key Activity Log'!N240+'Key Activity Log'!O240)+ROW()/1000000,""),"")</f>
        <v/>
      </c>
      <c r="U295">
        <f>IFERROR(IF(T295="","",COUNTIF($T$60:$T$309,"&lt;"&amp;T295)+COUNTIF($T$60:T295,T295)),"")</f>
        <v/>
      </c>
    </row>
    <row r="296">
      <c r="S296">
        <f>'Key Activity Log'!A241</f>
        <v/>
      </c>
      <c r="T296">
        <f>IFERROR(IF(OR('Key Activity Log'!V241="Overdue",'Key Activity Log'!V241="Checked Out"),IF('Key Activity Log'!V241="Overdue",'Key Activity Log'!N241+'Key Activity Log'!O241,100000+'Key Activity Log'!N241+'Key Activity Log'!O241)+ROW()/1000000,""),"")</f>
        <v/>
      </c>
      <c r="U296">
        <f>IFERROR(IF(T296="","",COUNTIF($T$60:$T$309,"&lt;"&amp;T296)+COUNTIF($T$60:T296,T296)),"")</f>
        <v/>
      </c>
    </row>
    <row r="297">
      <c r="S297">
        <f>'Key Activity Log'!A242</f>
        <v/>
      </c>
      <c r="T297">
        <f>IFERROR(IF(OR('Key Activity Log'!V242="Overdue",'Key Activity Log'!V242="Checked Out"),IF('Key Activity Log'!V242="Overdue",'Key Activity Log'!N242+'Key Activity Log'!O242,100000+'Key Activity Log'!N242+'Key Activity Log'!O242)+ROW()/1000000,""),"")</f>
        <v/>
      </c>
      <c r="U297">
        <f>IFERROR(IF(T297="","",COUNTIF($T$60:$T$309,"&lt;"&amp;T297)+COUNTIF($T$60:T297,T297)),"")</f>
        <v/>
      </c>
    </row>
    <row r="298">
      <c r="S298">
        <f>'Key Activity Log'!A243</f>
        <v/>
      </c>
      <c r="T298">
        <f>IFERROR(IF(OR('Key Activity Log'!V243="Overdue",'Key Activity Log'!V243="Checked Out"),IF('Key Activity Log'!V243="Overdue",'Key Activity Log'!N243+'Key Activity Log'!O243,100000+'Key Activity Log'!N243+'Key Activity Log'!O243)+ROW()/1000000,""),"")</f>
        <v/>
      </c>
      <c r="U298">
        <f>IFERROR(IF(T298="","",COUNTIF($T$60:$T$309,"&lt;"&amp;T298)+COUNTIF($T$60:T298,T298)),"")</f>
        <v/>
      </c>
    </row>
    <row r="299">
      <c r="S299">
        <f>'Key Activity Log'!A244</f>
        <v/>
      </c>
      <c r="T299">
        <f>IFERROR(IF(OR('Key Activity Log'!V244="Overdue",'Key Activity Log'!V244="Checked Out"),IF('Key Activity Log'!V244="Overdue",'Key Activity Log'!N244+'Key Activity Log'!O244,100000+'Key Activity Log'!N244+'Key Activity Log'!O244)+ROW()/1000000,""),"")</f>
        <v/>
      </c>
      <c r="U299">
        <f>IFERROR(IF(T299="","",COUNTIF($T$60:$T$309,"&lt;"&amp;T299)+COUNTIF($T$60:T299,T299)),"")</f>
        <v/>
      </c>
    </row>
    <row r="300">
      <c r="S300">
        <f>'Key Activity Log'!A245</f>
        <v/>
      </c>
      <c r="T300">
        <f>IFERROR(IF(OR('Key Activity Log'!V245="Overdue",'Key Activity Log'!V245="Checked Out"),IF('Key Activity Log'!V245="Overdue",'Key Activity Log'!N245+'Key Activity Log'!O245,100000+'Key Activity Log'!N245+'Key Activity Log'!O245)+ROW()/1000000,""),"")</f>
        <v/>
      </c>
      <c r="U300">
        <f>IFERROR(IF(T300="","",COUNTIF($T$60:$T$309,"&lt;"&amp;T300)+COUNTIF($T$60:T300,T300)),"")</f>
        <v/>
      </c>
    </row>
    <row r="301">
      <c r="S301">
        <f>'Key Activity Log'!A246</f>
        <v/>
      </c>
      <c r="T301">
        <f>IFERROR(IF(OR('Key Activity Log'!V246="Overdue",'Key Activity Log'!V246="Checked Out"),IF('Key Activity Log'!V246="Overdue",'Key Activity Log'!N246+'Key Activity Log'!O246,100000+'Key Activity Log'!N246+'Key Activity Log'!O246)+ROW()/1000000,""),"")</f>
        <v/>
      </c>
      <c r="U301">
        <f>IFERROR(IF(T301="","",COUNTIF($T$60:$T$309,"&lt;"&amp;T301)+COUNTIF($T$60:T301,T301)),"")</f>
        <v/>
      </c>
    </row>
    <row r="302">
      <c r="S302">
        <f>'Key Activity Log'!A247</f>
        <v/>
      </c>
      <c r="T302">
        <f>IFERROR(IF(OR('Key Activity Log'!V247="Overdue",'Key Activity Log'!V247="Checked Out"),IF('Key Activity Log'!V247="Overdue",'Key Activity Log'!N247+'Key Activity Log'!O247,100000+'Key Activity Log'!N247+'Key Activity Log'!O247)+ROW()/1000000,""),"")</f>
        <v/>
      </c>
      <c r="U302">
        <f>IFERROR(IF(T302="","",COUNTIF($T$60:$T$309,"&lt;"&amp;T302)+COUNTIF($T$60:T302,T302)),"")</f>
        <v/>
      </c>
    </row>
    <row r="303">
      <c r="S303">
        <f>'Key Activity Log'!A248</f>
        <v/>
      </c>
      <c r="T303">
        <f>IFERROR(IF(OR('Key Activity Log'!V248="Overdue",'Key Activity Log'!V248="Checked Out"),IF('Key Activity Log'!V248="Overdue",'Key Activity Log'!N248+'Key Activity Log'!O248,100000+'Key Activity Log'!N248+'Key Activity Log'!O248)+ROW()/1000000,""),"")</f>
        <v/>
      </c>
      <c r="U303">
        <f>IFERROR(IF(T303="","",COUNTIF($T$60:$T$309,"&lt;"&amp;T303)+COUNTIF($T$60:T303,T303)),"")</f>
        <v/>
      </c>
    </row>
    <row r="304">
      <c r="S304">
        <f>'Key Activity Log'!A249</f>
        <v/>
      </c>
      <c r="T304">
        <f>IFERROR(IF(OR('Key Activity Log'!V249="Overdue",'Key Activity Log'!V249="Checked Out"),IF('Key Activity Log'!V249="Overdue",'Key Activity Log'!N249+'Key Activity Log'!O249,100000+'Key Activity Log'!N249+'Key Activity Log'!O249)+ROW()/1000000,""),"")</f>
        <v/>
      </c>
      <c r="U304">
        <f>IFERROR(IF(T304="","",COUNTIF($T$60:$T$309,"&lt;"&amp;T304)+COUNTIF($T$60:T304,T304)),"")</f>
        <v/>
      </c>
    </row>
    <row r="305">
      <c r="S305">
        <f>'Key Activity Log'!A250</f>
        <v/>
      </c>
      <c r="T305">
        <f>IFERROR(IF(OR('Key Activity Log'!V250="Overdue",'Key Activity Log'!V250="Checked Out"),IF('Key Activity Log'!V250="Overdue",'Key Activity Log'!N250+'Key Activity Log'!O250,100000+'Key Activity Log'!N250+'Key Activity Log'!O250)+ROW()/1000000,""),"")</f>
        <v/>
      </c>
      <c r="U305">
        <f>IFERROR(IF(T305="","",COUNTIF($T$60:$T$309,"&lt;"&amp;T305)+COUNTIF($T$60:T305,T305)),"")</f>
        <v/>
      </c>
    </row>
    <row r="306">
      <c r="S306">
        <f>'Key Activity Log'!A251</f>
        <v/>
      </c>
      <c r="T306">
        <f>IFERROR(IF(OR('Key Activity Log'!V251="Overdue",'Key Activity Log'!V251="Checked Out"),IF('Key Activity Log'!V251="Overdue",'Key Activity Log'!N251+'Key Activity Log'!O251,100000+'Key Activity Log'!N251+'Key Activity Log'!O251)+ROW()/1000000,""),"")</f>
        <v/>
      </c>
      <c r="U306">
        <f>IFERROR(IF(T306="","",COUNTIF($T$60:$T$309,"&lt;"&amp;T306)+COUNTIF($T$60:T306,T306)),"")</f>
        <v/>
      </c>
    </row>
    <row r="307">
      <c r="S307">
        <f>'Key Activity Log'!A252</f>
        <v/>
      </c>
      <c r="T307">
        <f>IFERROR(IF(OR('Key Activity Log'!V252="Overdue",'Key Activity Log'!V252="Checked Out"),IF('Key Activity Log'!V252="Overdue",'Key Activity Log'!N252+'Key Activity Log'!O252,100000+'Key Activity Log'!N252+'Key Activity Log'!O252)+ROW()/1000000,""),"")</f>
        <v/>
      </c>
      <c r="U307">
        <f>IFERROR(IF(T307="","",COUNTIF($T$60:$T$309,"&lt;"&amp;T307)+COUNTIF($T$60:T307,T307)),"")</f>
        <v/>
      </c>
    </row>
    <row r="308">
      <c r="S308">
        <f>'Key Activity Log'!A253</f>
        <v/>
      </c>
      <c r="T308">
        <f>IFERROR(IF(OR('Key Activity Log'!V253="Overdue",'Key Activity Log'!V253="Checked Out"),IF('Key Activity Log'!V253="Overdue",'Key Activity Log'!N253+'Key Activity Log'!O253,100000+'Key Activity Log'!N253+'Key Activity Log'!O253)+ROW()/1000000,""),"")</f>
        <v/>
      </c>
      <c r="U308">
        <f>IFERROR(IF(T308="","",COUNTIF($T$60:$T$309,"&lt;"&amp;T308)+COUNTIF($T$60:T308,T308)),"")</f>
        <v/>
      </c>
    </row>
    <row r="309">
      <c r="S309">
        <f>'Key Activity Log'!A254</f>
        <v/>
      </c>
      <c r="T309">
        <f>IFERROR(IF(OR('Key Activity Log'!V254="Overdue",'Key Activity Log'!V254="Checked Out"),IF('Key Activity Log'!V254="Overdue",'Key Activity Log'!N254+'Key Activity Log'!O254,100000+'Key Activity Log'!N254+'Key Activity Log'!O254)+ROW()/1000000,""),"")</f>
        <v/>
      </c>
      <c r="U309">
        <f>IFERROR(IF(T309="","",COUNTIF($T$60:$T$309,"&lt;"&amp;T309)+COUNTIF($T$60:T309,T309)),"")</f>
        <v/>
      </c>
    </row>
  </sheetData>
  <mergeCells count="1">
    <mergeCell ref="A1:R1"/>
  </mergeCells>
  <conditionalFormatting sqref="H7">
    <cfRule type="expression" priority="1" dxfId="0">
      <formula>H7&gt;0</formula>
    </cfRule>
    <cfRule type="expression" priority="2" dxfId="1">
      <formula>H7=0</formula>
    </cfRule>
  </conditionalFormatting>
  <conditionalFormatting sqref="D10">
    <cfRule type="expression" priority="3" dxfId="0">
      <formula>D10&gt;0</formula>
    </cfRule>
    <cfRule type="expression" priority="4" dxfId="1">
      <formula>D10=0</formula>
    </cfRule>
  </conditionalFormatting>
  <conditionalFormatting sqref="F10">
    <cfRule type="expression" priority="5" dxfId="2">
      <formula>F10&gt;0</formula>
    </cfRule>
  </conditionalFormatting>
  <conditionalFormatting sqref="F13">
    <cfRule type="expression" priority="6" dxfId="2">
      <formula>F13&gt;0</formula>
    </cfRule>
  </conditionalFormatting>
  <conditionalFormatting sqref="A18:I27">
    <cfRule type="expression" priority="7" dxfId="0">
      <formula>$I18="Overdue"</formula>
    </cfRule>
  </conditionalFormatting>
  <dataValidations count="4">
    <dataValidation sqref="B7" showDropDown="0" showInputMessage="1" showErrorMessage="1" allowBlank="0" errorTitle="Invalid setting" error="Enter a whole number from 0 through 72." promptTitle="Editable control setting" prompt="Enter a whole number from 0 through 72." type="whole" errorStyle="stop" operator="between">
      <formula1>0</formula1>
      <formula2>72</formula2>
    </dataValidation>
    <dataValidation sqref="B8" showDropDown="0" showInputMessage="1" showErrorMessage="1" allowBlank="0" errorTitle="Invalid setting" error="Enter a whole number from 1 through 365." promptTitle="Editable control setting" prompt="Enter a whole number from 1 through 365." type="whole" errorStyle="stop" operator="between">
      <formula1>1</formula1>
      <formula2>365</formula2>
    </dataValidation>
    <dataValidation sqref="B9" showDropDown="0" showInputMessage="1" showErrorMessage="1" allowBlank="0" errorTitle="Invalid setting" error="Enter a replacement-cost threshold from 0 through 10,000." promptTitle="Editable control setting" prompt="Enter a replacement-cost threshold from 0 through 10,000." type="decimal" errorStyle="stop" operator="between">
      <formula1>0</formula1>
      <formula2>10000</formula2>
    </dataValidation>
    <dataValidation sqref="B10" showDropDown="0" showInputMessage="1" showErrorMessage="1" allowBlank="0" errorTitle="Invalid setting" error="Enter a whole number from 1 through 180." promptTitle="Editable control setting" prompt="Enter a whole number from 1 through 180." type="whole" errorStyle="stop" operator="between">
      <formula1>1</formula1>
      <formula2>180</formula2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A254"/>
  <sheetViews>
    <sheetView showGridLines="0"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30" customWidth="1" min="3" max="3"/>
    <col width="20" customWidth="1" min="4" max="4"/>
    <col width="32" customWidth="1" min="5" max="5"/>
    <col width="20" customWidth="1" min="6" max="6"/>
    <col width="19" customWidth="1" min="7" max="7"/>
    <col width="21" customWidth="1" min="8" max="8"/>
    <col width="22" customWidth="1" min="9" max="9"/>
    <col width="24" customWidth="1" min="10" max="10"/>
    <col width="22" customWidth="1" min="11" max="11"/>
    <col width="13" customWidth="1" min="12" max="12"/>
    <col width="13" customWidth="1" min="13" max="13"/>
    <col width="13" customWidth="1" min="14" max="14"/>
    <col width="13" customWidth="1" min="15" max="15"/>
    <col width="14" customWidth="1" min="16" max="16"/>
    <col width="14" customWidth="1" min="17" max="17"/>
    <col width="18" customWidth="1" min="18" max="18"/>
    <col width="18" customWidth="1" min="19" max="19"/>
    <col width="16" customWidth="1" min="20" max="20"/>
    <col width="16" customWidth="1" min="21" max="21"/>
    <col width="15" customWidth="1" min="22" max="22"/>
    <col width="18" customWidth="1" min="23" max="23"/>
    <col width="17" customWidth="1" min="24" max="24"/>
    <col width="18" customWidth="1" min="25" max="25"/>
    <col width="34" customWidth="1" min="26" max="26"/>
    <col hidden="1" width="16" customWidth="1" min="27" max="27"/>
  </cols>
  <sheetData>
    <row r="1">
      <c r="A1" s="22" t="inlineStr">
        <is>
          <t>Key Activity Log</t>
        </is>
      </c>
    </row>
    <row r="2">
      <c r="A2" s="2" t="inlineStr">
        <is>
          <t>Enter one row each time a key or key device is issued. Complete the return fields when it is returned. Gray columns calculate automatically.</t>
        </is>
      </c>
    </row>
    <row r="3">
      <c r="A3" s="23" t="inlineStr">
        <is>
          <t>Do not record door codes, PINs, or other access credentials in this workbook. Sample names, key IDs, and references are fictional.</t>
        </is>
      </c>
    </row>
    <row r="4" ht="42" customHeight="1">
      <c r="A4" s="15" t="inlineStr">
        <is>
          <t>Transaction ID</t>
        </is>
      </c>
      <c r="B4" s="15" t="inlineStr">
        <is>
          <t>Key ID</t>
        </is>
      </c>
      <c r="C4" s="15" t="inlineStr">
        <is>
          <t>Key Description</t>
        </is>
      </c>
      <c r="D4" s="15" t="inlineStr">
        <is>
          <t>Key Type</t>
        </is>
      </c>
      <c r="E4" s="15" t="inlineStr">
        <is>
          <t>Access Area</t>
        </is>
      </c>
      <c r="F4" s="15" t="inlineStr">
        <is>
          <t>Issued To</t>
        </is>
      </c>
      <c r="G4" s="15" t="inlineStr">
        <is>
          <t>Employee / Vendor ID</t>
        </is>
      </c>
      <c r="H4" s="15" t="inlineStr">
        <is>
          <t>Department</t>
        </is>
      </c>
      <c r="I4" s="15" t="inlineStr">
        <is>
          <t>Company</t>
        </is>
      </c>
      <c r="J4" s="15" t="inlineStr">
        <is>
          <t>Purpose</t>
        </is>
      </c>
      <c r="K4" s="15" t="inlineStr">
        <is>
          <t>Authorization Reference</t>
        </is>
      </c>
      <c r="L4" s="15" t="inlineStr">
        <is>
          <t>Issued Date</t>
        </is>
      </c>
      <c r="M4" s="15" t="inlineStr">
        <is>
          <t>Issued Time</t>
        </is>
      </c>
      <c r="N4" s="15" t="inlineStr">
        <is>
          <t>Due Date</t>
        </is>
      </c>
      <c r="O4" s="15" t="inlineStr">
        <is>
          <t>Due Time</t>
        </is>
      </c>
      <c r="P4" s="15" t="inlineStr">
        <is>
          <t>Returned Date</t>
        </is>
      </c>
      <c r="Q4" s="15" t="inlineStr">
        <is>
          <t>Returned Time</t>
        </is>
      </c>
      <c r="R4" s="15" t="inlineStr">
        <is>
          <t>Issued By</t>
        </is>
      </c>
      <c r="S4" s="15" t="inlineStr">
        <is>
          <t>Received By</t>
        </is>
      </c>
      <c r="T4" s="15" t="inlineStr">
        <is>
          <t>Condition Out</t>
        </is>
      </c>
      <c r="U4" s="15" t="inlineStr">
        <is>
          <t>Condition In</t>
        </is>
      </c>
      <c r="V4" s="15" t="inlineStr">
        <is>
          <t>Status</t>
        </is>
      </c>
      <c r="W4" s="15" t="inlineStr">
        <is>
          <t>Hours Outstanding</t>
        </is>
      </c>
      <c r="X4" s="15" t="inlineStr">
        <is>
          <t>Replacement Cost</t>
        </is>
      </c>
      <c r="Y4" s="15" t="inlineStr">
        <is>
          <t>High-Cost Open Flag</t>
        </is>
      </c>
      <c r="Z4" s="15" t="inlineStr">
        <is>
          <t>Notes</t>
        </is>
      </c>
      <c r="AA4" s="15" t="inlineStr">
        <is>
          <t>Open Lookup Key</t>
        </is>
      </c>
    </row>
    <row r="5">
      <c r="A5" s="24" t="inlineStr">
        <is>
          <t>KTX-2026-0001</t>
        </is>
      </c>
      <c r="B5" s="24" t="inlineStr">
        <is>
          <t>KEY-001</t>
        </is>
      </c>
      <c r="C5" s="25">
        <f>IFERROR(IF($B5="","",INDEX('Key Inventory'!$B$5:$B$104,MATCH($B5,'Key Inventory'!$A$5:$A$104,0))),"")</f>
        <v/>
      </c>
      <c r="D5" s="25">
        <f>IFERROR(IF($B5="","",INDEX('Key Inventory'!$C$5:$C$104,MATCH($B5,'Key Inventory'!$A$5:$A$104,0))),"")</f>
        <v/>
      </c>
      <c r="E5" s="25">
        <f>IFERROR(IF($B5="","",INDEX('Key Inventory'!$D$5:$D$104,MATCH($B5,'Key Inventory'!$A$5:$A$104,0))),"")</f>
        <v/>
      </c>
      <c r="F5" s="24" t="inlineStr">
        <is>
          <t>Jordan Lee</t>
        </is>
      </c>
      <c r="G5" s="24" t="inlineStr">
        <is>
          <t>EMP-1042</t>
        </is>
      </c>
      <c r="H5" s="24" t="inlineStr">
        <is>
          <t>Front Office</t>
        </is>
      </c>
      <c r="I5" s="24" t="inlineStr"/>
      <c r="J5" s="24" t="inlineStr">
        <is>
          <t>Shift Assignment</t>
        </is>
      </c>
      <c r="K5" s="24" t="inlineStr">
        <is>
          <t>SHIFT-2026-041</t>
        </is>
      </c>
      <c r="L5" s="26" t="n">
        <v>46259</v>
      </c>
      <c r="M5" s="27" t="n">
        <v>0.2916666666666667</v>
      </c>
      <c r="N5" s="26" t="n">
        <v>46259</v>
      </c>
      <c r="O5" s="27" t="n">
        <v>0.625</v>
      </c>
      <c r="P5" s="26" t="n">
        <v>46259</v>
      </c>
      <c r="Q5" s="27" t="n">
        <v>0.6166666666666667</v>
      </c>
      <c r="R5" s="24" t="inlineStr">
        <is>
          <t>Casey Adams</t>
        </is>
      </c>
      <c r="S5" s="24" t="inlineStr">
        <is>
          <t>Robin Hayes</t>
        </is>
      </c>
      <c r="T5" s="24" t="inlineStr">
        <is>
          <t>Good</t>
        </is>
      </c>
      <c r="U5" s="24" t="inlineStr">
        <is>
          <t>Good</t>
        </is>
      </c>
      <c r="V5" s="25">
        <f>IFERROR(IF(OR($A5="",$B5=""),"",IF($P5&lt;&gt;"","Returned",IF(NOW()&gt;$N5+$O5+(Dashboard!$B$7/24),"Overdue","Checked Out"))),"")</f>
        <v/>
      </c>
      <c r="W5" s="28">
        <f>IFERROR(IF($L5="","",MAX(0,24*((IF($P5&lt;&gt;"",$P5+$Q5,NOW()))-($L5+$M5)))),"")</f>
        <v/>
      </c>
      <c r="X5" s="29">
        <f>IFERROR(IF($B5="","",INDEX('Key Inventory'!$I$5:$I$104,MATCH($B5,'Key Inventory'!$A$5:$A$104,0))),"")</f>
        <v/>
      </c>
      <c r="Y5" s="25">
        <f>IFERROR(IF(AND(OR($V5="Checked Out",$V5="Overdue"),$X5&gt;=Dashboard!$B$9),"Review",""),"")</f>
        <v/>
      </c>
      <c r="Z5" s="24" t="inlineStr">
        <is>
          <t>Returned after morning shift.</t>
        </is>
      </c>
      <c r="AA5" s="25">
        <f>IFERROR(IF(OR($V5="Checked Out",$V5="Overdue"),$B5,""),"")</f>
        <v/>
      </c>
    </row>
    <row r="6">
      <c r="A6" s="24" t="inlineStr">
        <is>
          <t>KTX-2026-0002</t>
        </is>
      </c>
      <c r="B6" s="24" t="inlineStr">
        <is>
          <t>KEY-002</t>
        </is>
      </c>
      <c r="C6" s="25">
        <f>IFERROR(IF($B6="","",INDEX('Key Inventory'!$B$5:$B$104,MATCH($B6,'Key Inventory'!$A$5:$A$104,0))),"")</f>
        <v/>
      </c>
      <c r="D6" s="25">
        <f>IFERROR(IF($B6="","",INDEX('Key Inventory'!$C$5:$C$104,MATCH($B6,'Key Inventory'!$A$5:$A$104,0))),"")</f>
        <v/>
      </c>
      <c r="E6" s="25">
        <f>IFERROR(IF($B6="","",INDEX('Key Inventory'!$D$5:$D$104,MATCH($B6,'Key Inventory'!$A$5:$A$104,0))),"")</f>
        <v/>
      </c>
      <c r="F6" s="24" t="inlineStr">
        <is>
          <t>Maria Santos</t>
        </is>
      </c>
      <c r="G6" s="24" t="inlineStr">
        <is>
          <t>EMP-1188</t>
        </is>
      </c>
      <c r="H6" s="24" t="inlineStr">
        <is>
          <t>Housekeeping</t>
        </is>
      </c>
      <c r="I6" s="24" t="inlineStr"/>
      <c r="J6" s="24" t="inlineStr">
        <is>
          <t>Room Access</t>
        </is>
      </c>
      <c r="K6" s="24" t="inlineStr">
        <is>
          <t>SHIFT-2026-044</t>
        </is>
      </c>
      <c r="L6" s="26" t="n">
        <v>46262</v>
      </c>
      <c r="M6" s="27" t="n">
        <v>0.3333333333333333</v>
      </c>
      <c r="N6" s="26" t="n">
        <v>46262</v>
      </c>
      <c r="O6" s="27" t="n">
        <v>0.6666666666666666</v>
      </c>
      <c r="P6" s="26" t="n">
        <v>46262</v>
      </c>
      <c r="Q6" s="27" t="n">
        <v>0.6527777777777778</v>
      </c>
      <c r="R6" s="24" t="inlineStr">
        <is>
          <t>Jordan Lee</t>
        </is>
      </c>
      <c r="S6" s="24" t="inlineStr">
        <is>
          <t>Casey Adams</t>
        </is>
      </c>
      <c r="T6" s="24" t="inlineStr">
        <is>
          <t>Good</t>
        </is>
      </c>
      <c r="U6" s="24" t="inlineStr">
        <is>
          <t>Good</t>
        </is>
      </c>
      <c r="V6" s="25">
        <f>IFERROR(IF(OR($A6="",$B6=""),"",IF($P6&lt;&gt;"","Returned",IF(NOW()&gt;$N6+$O6+(Dashboard!$B$7/24),"Overdue","Checked Out"))),"")</f>
        <v/>
      </c>
      <c r="W6" s="28">
        <f>IFERROR(IF($L6="","",MAX(0,24*((IF($P6&lt;&gt;"",$P6+$Q6,NOW()))-($L6+$M6)))),"")</f>
        <v/>
      </c>
      <c r="X6" s="29">
        <f>IFERROR(IF($B6="","",INDEX('Key Inventory'!$I$5:$I$104,MATCH($B6,'Key Inventory'!$A$5:$A$104,0))),"")</f>
        <v/>
      </c>
      <c r="Y6" s="25">
        <f>IFERROR(IF(AND(OR($V6="Checked Out",$V6="Overdue"),$X6&gt;=Dashboard!$B$9),"Review",""),"")</f>
        <v/>
      </c>
      <c r="Z6" s="24" t="inlineStr">
        <is>
          <t>Routine floor assignment.</t>
        </is>
      </c>
      <c r="AA6" s="25">
        <f>IFERROR(IF(OR($V6="Checked Out",$V6="Overdue"),$B6,""),"")</f>
        <v/>
      </c>
    </row>
    <row r="7">
      <c r="A7" s="24" t="inlineStr">
        <is>
          <t>KTX-2026-0003</t>
        </is>
      </c>
      <c r="B7" s="24" t="inlineStr">
        <is>
          <t>KEY-003</t>
        </is>
      </c>
      <c r="C7" s="25">
        <f>IFERROR(IF($B7="","",INDEX('Key Inventory'!$B$5:$B$104,MATCH($B7,'Key Inventory'!$A$5:$A$104,0))),"")</f>
        <v/>
      </c>
      <c r="D7" s="25">
        <f>IFERROR(IF($B7="","",INDEX('Key Inventory'!$C$5:$C$104,MATCH($B7,'Key Inventory'!$A$5:$A$104,0))),"")</f>
        <v/>
      </c>
      <c r="E7" s="25">
        <f>IFERROR(IF($B7="","",INDEX('Key Inventory'!$D$5:$D$104,MATCH($B7,'Key Inventory'!$A$5:$A$104,0))),"")</f>
        <v/>
      </c>
      <c r="F7" s="24" t="inlineStr">
        <is>
          <t>Derek Nguyen</t>
        </is>
      </c>
      <c r="G7" s="24" t="inlineStr">
        <is>
          <t>EMP-1217</t>
        </is>
      </c>
      <c r="H7" s="24" t="inlineStr">
        <is>
          <t>Engineering</t>
        </is>
      </c>
      <c r="I7" s="24" t="inlineStr"/>
      <c r="J7" s="24" t="inlineStr">
        <is>
          <t>Preventive Maintenance</t>
        </is>
      </c>
      <c r="K7" s="24" t="inlineStr">
        <is>
          <t>WO-260184</t>
        </is>
      </c>
      <c r="L7" s="26" t="n">
        <v>46264</v>
      </c>
      <c r="M7" s="27" t="n">
        <v>0.375</v>
      </c>
      <c r="N7" s="26" t="n">
        <v>46264</v>
      </c>
      <c r="O7" s="27" t="n">
        <v>0.5416666666666666</v>
      </c>
      <c r="P7" s="26" t="n">
        <v>46264</v>
      </c>
      <c r="Q7" s="27" t="n">
        <v>0.5243055555555556</v>
      </c>
      <c r="R7" s="24" t="inlineStr">
        <is>
          <t>Taylor Morgan</t>
        </is>
      </c>
      <c r="S7" s="24" t="inlineStr">
        <is>
          <t>Robin Hayes</t>
        </is>
      </c>
      <c r="T7" s="24" t="inlineStr">
        <is>
          <t>Good</t>
        </is>
      </c>
      <c r="U7" s="24" t="inlineStr">
        <is>
          <t>Worn</t>
        </is>
      </c>
      <c r="V7" s="25">
        <f>IFERROR(IF(OR($A7="",$B7=""),"",IF($P7&lt;&gt;"","Returned",IF(NOW()&gt;$N7+$O7+(Dashboard!$B$7/24),"Overdue","Checked Out"))),"")</f>
        <v/>
      </c>
      <c r="W7" s="28">
        <f>IFERROR(IF($L7="","",MAX(0,24*((IF($P7&lt;&gt;"",$P7+$Q7,NOW()))-($L7+$M7)))),"")</f>
        <v/>
      </c>
      <c r="X7" s="29">
        <f>IFERROR(IF($B7="","",INDEX('Key Inventory'!$I$5:$I$104,MATCH($B7,'Key Inventory'!$A$5:$A$104,0))),"")</f>
        <v/>
      </c>
      <c r="Y7" s="25">
        <f>IFERROR(IF(AND(OR($V7="Checked Out",$V7="Overdue"),$X7&gt;=Dashboard!$B$9),"Review",""),"")</f>
        <v/>
      </c>
      <c r="Z7" s="24" t="inlineStr">
        <is>
          <t>Inspect key tag at next audit.</t>
        </is>
      </c>
      <c r="AA7" s="25">
        <f>IFERROR(IF(OR($V7="Checked Out",$V7="Overdue"),$B7,""),"")</f>
        <v/>
      </c>
    </row>
    <row r="8">
      <c r="A8" s="24" t="inlineStr">
        <is>
          <t>KTX-2026-0004</t>
        </is>
      </c>
      <c r="B8" s="24" t="inlineStr">
        <is>
          <t>KEY-004</t>
        </is>
      </c>
      <c r="C8" s="25">
        <f>IFERROR(IF($B8="","",INDEX('Key Inventory'!$B$5:$B$104,MATCH($B8,'Key Inventory'!$A$5:$A$104,0))),"")</f>
        <v/>
      </c>
      <c r="D8" s="25">
        <f>IFERROR(IF($B8="","",INDEX('Key Inventory'!$C$5:$C$104,MATCH($B8,'Key Inventory'!$A$5:$A$104,0))),"")</f>
        <v/>
      </c>
      <c r="E8" s="25">
        <f>IFERROR(IF($B8="","",INDEX('Key Inventory'!$D$5:$D$104,MATCH($B8,'Key Inventory'!$A$5:$A$104,0))),"")</f>
        <v/>
      </c>
      <c r="F8" s="24" t="inlineStr">
        <is>
          <t>Avery Brooks</t>
        </is>
      </c>
      <c r="G8" s="24" t="inlineStr">
        <is>
          <t>EMP-1304</t>
        </is>
      </c>
      <c r="H8" s="24" t="inlineStr">
        <is>
          <t>Sales &amp; Events</t>
        </is>
      </c>
      <c r="I8" s="24" t="inlineStr"/>
      <c r="J8" s="24" t="inlineStr">
        <is>
          <t>Event Setup</t>
        </is>
      </c>
      <c r="K8" s="24" t="inlineStr">
        <is>
          <t>BEO-26037</t>
        </is>
      </c>
      <c r="L8" s="26" t="n">
        <v>46266</v>
      </c>
      <c r="M8" s="27" t="n">
        <v>0.4166666666666667</v>
      </c>
      <c r="N8" s="26" t="n">
        <v>46266</v>
      </c>
      <c r="O8" s="27" t="n">
        <v>0.75</v>
      </c>
      <c r="P8" s="26" t="n">
        <v>46266</v>
      </c>
      <c r="Q8" s="27" t="n">
        <v>0.7291666666666666</v>
      </c>
      <c r="R8" s="24" t="inlineStr">
        <is>
          <t>Jordan Lee</t>
        </is>
      </c>
      <c r="S8" s="24" t="inlineStr">
        <is>
          <t>Morgan Reed</t>
        </is>
      </c>
      <c r="T8" s="24" t="inlineStr">
        <is>
          <t>Good</t>
        </is>
      </c>
      <c r="U8" s="24" t="inlineStr">
        <is>
          <t>Good</t>
        </is>
      </c>
      <c r="V8" s="25">
        <f>IFERROR(IF(OR($A8="",$B8=""),"",IF($P8&lt;&gt;"","Returned",IF(NOW()&gt;$N8+$O8+(Dashboard!$B$7/24),"Overdue","Checked Out"))),"")</f>
        <v/>
      </c>
      <c r="W8" s="28">
        <f>IFERROR(IF($L8="","",MAX(0,24*((IF($P8&lt;&gt;"",$P8+$Q8,NOW()))-($L8+$M8)))),"")</f>
        <v/>
      </c>
      <c r="X8" s="29">
        <f>IFERROR(IF($B8="","",INDEX('Key Inventory'!$I$5:$I$104,MATCH($B8,'Key Inventory'!$A$5:$A$104,0))),"")</f>
        <v/>
      </c>
      <c r="Y8" s="25">
        <f>IFERROR(IF(AND(OR($V8="Checked Out",$V8="Overdue"),$X8&gt;=Dashboard!$B$9),"Review",""),"")</f>
        <v/>
      </c>
      <c r="Z8" s="24" t="inlineStr">
        <is>
          <t>Ballroom setup completed.</t>
        </is>
      </c>
      <c r="AA8" s="25">
        <f>IFERROR(IF(OR($V8="Checked Out",$V8="Overdue"),$B8,""),"")</f>
        <v/>
      </c>
    </row>
    <row r="9">
      <c r="A9" s="24" t="inlineStr">
        <is>
          <t>KTX-2026-0005</t>
        </is>
      </c>
      <c r="B9" s="24" t="inlineStr">
        <is>
          <t>KEY-005</t>
        </is>
      </c>
      <c r="C9" s="25">
        <f>IFERROR(IF($B9="","",INDEX('Key Inventory'!$B$5:$B$104,MATCH($B9,'Key Inventory'!$A$5:$A$104,0))),"")</f>
        <v/>
      </c>
      <c r="D9" s="25">
        <f>IFERROR(IF($B9="","",INDEX('Key Inventory'!$C$5:$C$104,MATCH($B9,'Key Inventory'!$A$5:$A$104,0))),"")</f>
        <v/>
      </c>
      <c r="E9" s="25">
        <f>IFERROR(IF($B9="","",INDEX('Key Inventory'!$D$5:$D$104,MATCH($B9,'Key Inventory'!$A$5:$A$104,0))),"")</f>
        <v/>
      </c>
      <c r="F9" s="24" t="inlineStr">
        <is>
          <t>Chris Miller</t>
        </is>
      </c>
      <c r="G9" s="24" t="inlineStr">
        <is>
          <t>VEN-026</t>
        </is>
      </c>
      <c r="H9" s="24" t="inlineStr">
        <is>
          <t>Vendor / Contractor</t>
        </is>
      </c>
      <c r="I9" s="24" t="inlineStr">
        <is>
          <t>Summit Refrigeration</t>
        </is>
      </c>
      <c r="J9" s="24" t="inlineStr">
        <is>
          <t>Vendor Work</t>
        </is>
      </c>
      <c r="K9" s="24" t="inlineStr">
        <is>
          <t>VENDOR-26012</t>
        </is>
      </c>
      <c r="L9" s="26" t="n">
        <v>46267</v>
      </c>
      <c r="M9" s="27" t="n">
        <v>0.3541666666666667</v>
      </c>
      <c r="N9" s="26" t="n">
        <v>46267</v>
      </c>
      <c r="O9" s="27" t="n">
        <v>0.5833333333333334</v>
      </c>
      <c r="P9" s="26" t="n">
        <v>46267</v>
      </c>
      <c r="Q9" s="27" t="n">
        <v>0.5708333333333333</v>
      </c>
      <c r="R9" s="24" t="inlineStr">
        <is>
          <t>Taylor Morgan</t>
        </is>
      </c>
      <c r="S9" s="24" t="inlineStr">
        <is>
          <t>Derek Nguyen</t>
        </is>
      </c>
      <c r="T9" s="24" t="inlineStr">
        <is>
          <t>Good</t>
        </is>
      </c>
      <c r="U9" s="24" t="inlineStr">
        <is>
          <t>Good</t>
        </is>
      </c>
      <c r="V9" s="25">
        <f>IFERROR(IF(OR($A9="",$B9=""),"",IF($P9&lt;&gt;"","Returned",IF(NOW()&gt;$N9+$O9+(Dashboard!$B$7/24),"Overdue","Checked Out"))),"")</f>
        <v/>
      </c>
      <c r="W9" s="28">
        <f>IFERROR(IF($L9="","",MAX(0,24*((IF($P9&lt;&gt;"",$P9+$Q9,NOW()))-($L9+$M9)))),"")</f>
        <v/>
      </c>
      <c r="X9" s="29">
        <f>IFERROR(IF($B9="","",INDEX('Key Inventory'!$I$5:$I$104,MATCH($B9,'Key Inventory'!$A$5:$A$104,0))),"")</f>
        <v/>
      </c>
      <c r="Y9" s="25">
        <f>IFERROR(IF(AND(OR($V9="Checked Out",$V9="Overdue"),$X9&gt;=Dashboard!$B$9),"Review",""),"")</f>
        <v/>
      </c>
      <c r="Z9" s="24" t="inlineStr">
        <is>
          <t>Vendor access closed out.</t>
        </is>
      </c>
      <c r="AA9" s="25">
        <f>IFERROR(IF(OR($V9="Checked Out",$V9="Overdue"),$B9,""),"")</f>
        <v/>
      </c>
    </row>
    <row r="10">
      <c r="A10" s="24" t="inlineStr">
        <is>
          <t>KTX-2026-0006</t>
        </is>
      </c>
      <c r="B10" s="24" t="inlineStr">
        <is>
          <t>KEY-006</t>
        </is>
      </c>
      <c r="C10" s="25">
        <f>IFERROR(IF($B10="","",INDEX('Key Inventory'!$B$5:$B$104,MATCH($B10,'Key Inventory'!$A$5:$A$104,0))),"")</f>
        <v/>
      </c>
      <c r="D10" s="25">
        <f>IFERROR(IF($B10="","",INDEX('Key Inventory'!$C$5:$C$104,MATCH($B10,'Key Inventory'!$A$5:$A$104,0))),"")</f>
        <v/>
      </c>
      <c r="E10" s="25">
        <f>IFERROR(IF($B10="","",INDEX('Key Inventory'!$D$5:$D$104,MATCH($B10,'Key Inventory'!$A$5:$A$104,0))),"")</f>
        <v/>
      </c>
      <c r="F10" s="24" t="inlineStr">
        <is>
          <t>Taylor Morgan</t>
        </is>
      </c>
      <c r="G10" s="24" t="inlineStr">
        <is>
          <t>EMP-1109</t>
        </is>
      </c>
      <c r="H10" s="24" t="inlineStr">
        <is>
          <t>Security</t>
        </is>
      </c>
      <c r="I10" s="24" t="inlineStr"/>
      <c r="J10" s="24" t="inlineStr">
        <is>
          <t>Shift Assignment</t>
        </is>
      </c>
      <c r="K10" s="24" t="inlineStr">
        <is>
          <t>SHIFT-2026-052</t>
        </is>
      </c>
      <c r="L10" s="26" t="n">
        <v>46269</v>
      </c>
      <c r="M10" s="27" t="n">
        <v>0.75</v>
      </c>
      <c r="N10" s="26" t="n">
        <v>46270</v>
      </c>
      <c r="O10" s="27" t="n">
        <v>0.08333333333333333</v>
      </c>
      <c r="P10" s="26" t="n"/>
      <c r="Q10" s="27" t="n"/>
      <c r="R10" s="24" t="inlineStr">
        <is>
          <t>Morgan Reed</t>
        </is>
      </c>
      <c r="S10" s="24" t="inlineStr"/>
      <c r="T10" s="24" t="inlineStr">
        <is>
          <t>Good</t>
        </is>
      </c>
      <c r="U10" s="24" t="inlineStr"/>
      <c r="V10" s="25">
        <f>IFERROR(IF(OR($A10="",$B10=""),"",IF($P10&lt;&gt;"","Returned",IF(NOW()&gt;$N10+$O10+(Dashboard!$B$7/24),"Overdue","Checked Out"))),"")</f>
        <v/>
      </c>
      <c r="W10" s="28">
        <f>IFERROR(IF($L10="","",MAX(0,24*((IF($P10&lt;&gt;"",$P10+$Q10,NOW()))-($L10+$M10)))),"")</f>
        <v/>
      </c>
      <c r="X10" s="29">
        <f>IFERROR(IF($B10="","",INDEX('Key Inventory'!$I$5:$I$104,MATCH($B10,'Key Inventory'!$A$5:$A$104,0))),"")</f>
        <v/>
      </c>
      <c r="Y10" s="25">
        <f>IFERROR(IF(AND(OR($V10="Checked Out",$V10="Overdue"),$X10&gt;=Dashboard!$B$9),"Review",""),"")</f>
        <v/>
      </c>
      <c r="Z10" s="24" t="inlineStr">
        <is>
          <t>Open patrol assignment.</t>
        </is>
      </c>
      <c r="AA10" s="25">
        <f>IFERROR(IF(OR($V10="Checked Out",$V10="Overdue"),$B10,""),"")</f>
        <v/>
      </c>
    </row>
    <row r="11">
      <c r="A11" s="24" t="inlineStr">
        <is>
          <t>KTX-2026-0007</t>
        </is>
      </c>
      <c r="B11" s="24" t="inlineStr">
        <is>
          <t>KEY-007</t>
        </is>
      </c>
      <c r="C11" s="25">
        <f>IFERROR(IF($B11="","",INDEX('Key Inventory'!$B$5:$B$104,MATCH($B11,'Key Inventory'!$A$5:$A$104,0))),"")</f>
        <v/>
      </c>
      <c r="D11" s="25">
        <f>IFERROR(IF($B11="","",INDEX('Key Inventory'!$C$5:$C$104,MATCH($B11,'Key Inventory'!$A$5:$A$104,0))),"")</f>
        <v/>
      </c>
      <c r="E11" s="25">
        <f>IFERROR(IF($B11="","",INDEX('Key Inventory'!$D$5:$D$104,MATCH($B11,'Key Inventory'!$A$5:$A$104,0))),"")</f>
        <v/>
      </c>
      <c r="F11" s="24" t="inlineStr">
        <is>
          <t>Riley Chen</t>
        </is>
      </c>
      <c r="G11" s="24" t="inlineStr">
        <is>
          <t>EMP-1015</t>
        </is>
      </c>
      <c r="H11" s="24" t="inlineStr">
        <is>
          <t>Management</t>
        </is>
      </c>
      <c r="I11" s="24" t="inlineStr"/>
      <c r="J11" s="24" t="inlineStr">
        <is>
          <t>Management Use</t>
        </is>
      </c>
      <c r="K11" s="24" t="inlineStr">
        <is>
          <t>MGMT-2026-019</t>
        </is>
      </c>
      <c r="L11" s="26" t="n">
        <v>46271</v>
      </c>
      <c r="M11" s="27" t="n">
        <v>0.375</v>
      </c>
      <c r="N11" s="26" t="n">
        <v>46272</v>
      </c>
      <c r="O11" s="27" t="n">
        <v>0.7083333333333334</v>
      </c>
      <c r="P11" s="26" t="n"/>
      <c r="Q11" s="27" t="n"/>
      <c r="R11" s="24" t="inlineStr">
        <is>
          <t>Jordan Lee</t>
        </is>
      </c>
      <c r="S11" s="24" t="inlineStr"/>
      <c r="T11" s="24" t="inlineStr">
        <is>
          <t>Good</t>
        </is>
      </c>
      <c r="U11" s="24" t="inlineStr"/>
      <c r="V11" s="25">
        <f>IFERROR(IF(OR($A11="",$B11=""),"",IF($P11&lt;&gt;"","Returned",IF(NOW()&gt;$N11+$O11+(Dashboard!$B$7/24),"Overdue","Checked Out"))),"")</f>
        <v/>
      </c>
      <c r="W11" s="28">
        <f>IFERROR(IF($L11="","",MAX(0,24*((IF($P11&lt;&gt;"",$P11+$Q11,NOW()))-($L11+$M11)))),"")</f>
        <v/>
      </c>
      <c r="X11" s="29">
        <f>IFERROR(IF($B11="","",INDEX('Key Inventory'!$I$5:$I$104,MATCH($B11,'Key Inventory'!$A$5:$A$104,0))),"")</f>
        <v/>
      </c>
      <c r="Y11" s="25">
        <f>IFERROR(IF(AND(OR($V11="Checked Out",$V11="Overdue"),$X11&gt;=Dashboard!$B$9),"Review",""),"")</f>
        <v/>
      </c>
      <c r="Z11" s="24" t="inlineStr">
        <is>
          <t>Temporary executive office access.</t>
        </is>
      </c>
      <c r="AA11" s="25">
        <f>IFERROR(IF(OR($V11="Checked Out",$V11="Overdue"),$B11,""),"")</f>
        <v/>
      </c>
    </row>
    <row r="12">
      <c r="A12" s="24" t="inlineStr">
        <is>
          <t>KTX-2026-0008</t>
        </is>
      </c>
      <c r="B12" s="24" t="inlineStr">
        <is>
          <t>KEY-008</t>
        </is>
      </c>
      <c r="C12" s="25">
        <f>IFERROR(IF($B12="","",INDEX('Key Inventory'!$B$5:$B$104,MATCH($B12,'Key Inventory'!$A$5:$A$104,0))),"")</f>
        <v/>
      </c>
      <c r="D12" s="25">
        <f>IFERROR(IF($B12="","",INDEX('Key Inventory'!$C$5:$C$104,MATCH($B12,'Key Inventory'!$A$5:$A$104,0))),"")</f>
        <v/>
      </c>
      <c r="E12" s="25">
        <f>IFERROR(IF($B12="","",INDEX('Key Inventory'!$D$5:$D$104,MATCH($B12,'Key Inventory'!$A$5:$A$104,0))),"")</f>
        <v/>
      </c>
      <c r="F12" s="24" t="inlineStr">
        <is>
          <t>Cameron Price</t>
        </is>
      </c>
      <c r="G12" s="24" t="inlineStr">
        <is>
          <t>EMP-1235</t>
        </is>
      </c>
      <c r="H12" s="24" t="inlineStr">
        <is>
          <t>Engineering</t>
        </is>
      </c>
      <c r="I12" s="24" t="inlineStr"/>
      <c r="J12" s="24" t="inlineStr">
        <is>
          <t>Repair</t>
        </is>
      </c>
      <c r="K12" s="24" t="inlineStr">
        <is>
          <t>WO-260198</t>
        </is>
      </c>
      <c r="L12" s="26" t="n">
        <v>46268</v>
      </c>
      <c r="M12" s="27" t="n">
        <v>0.3125</v>
      </c>
      <c r="N12" s="26" t="n">
        <v>46268</v>
      </c>
      <c r="O12" s="27" t="n">
        <v>0.5</v>
      </c>
      <c r="P12" s="26" t="n">
        <v>46268</v>
      </c>
      <c r="Q12" s="27" t="n">
        <v>0.46875</v>
      </c>
      <c r="R12" s="24" t="inlineStr">
        <is>
          <t>Derek Nguyen</t>
        </is>
      </c>
      <c r="S12" s="24" t="inlineStr">
        <is>
          <t>Taylor Morgan</t>
        </is>
      </c>
      <c r="T12" s="24" t="inlineStr">
        <is>
          <t>Good</t>
        </is>
      </c>
      <c r="U12" s="24" t="inlineStr">
        <is>
          <t>Damaged</t>
        </is>
      </c>
      <c r="V12" s="25">
        <f>IFERROR(IF(OR($A12="",$B12=""),"",IF($P12&lt;&gt;"","Returned",IF(NOW()&gt;$N12+$O12+(Dashboard!$B$7/24),"Overdue","Checked Out"))),"")</f>
        <v/>
      </c>
      <c r="W12" s="28">
        <f>IFERROR(IF($L12="","",MAX(0,24*((IF($P12&lt;&gt;"",$P12+$Q12,NOW()))-($L12+$M12)))),"")</f>
        <v/>
      </c>
      <c r="X12" s="29">
        <f>IFERROR(IF($B12="","",INDEX('Key Inventory'!$I$5:$I$104,MATCH($B12,'Key Inventory'!$A$5:$A$104,0))),"")</f>
        <v/>
      </c>
      <c r="Y12" s="25">
        <f>IFERROR(IF(AND(OR($V12="Checked Out",$V12="Overdue"),$X12&gt;=Dashboard!$B$9),"Review",""),"")</f>
        <v/>
      </c>
      <c r="Z12" s="24" t="inlineStr">
        <is>
          <t>Removed from service after return.</t>
        </is>
      </c>
      <c r="AA12" s="25">
        <f>IFERROR(IF(OR($V12="Checked Out",$V12="Overdue"),$B12,""),"")</f>
        <v/>
      </c>
    </row>
    <row r="13">
      <c r="A13" s="24" t="inlineStr">
        <is>
          <t>KTX-2026-0009</t>
        </is>
      </c>
      <c r="B13" s="24" t="inlineStr">
        <is>
          <t>KEY-009</t>
        </is>
      </c>
      <c r="C13" s="25">
        <f>IFERROR(IF($B13="","",INDEX('Key Inventory'!$B$5:$B$104,MATCH($B13,'Key Inventory'!$A$5:$A$104,0))),"")</f>
        <v/>
      </c>
      <c r="D13" s="25">
        <f>IFERROR(IF($B13="","",INDEX('Key Inventory'!$C$5:$C$104,MATCH($B13,'Key Inventory'!$A$5:$A$104,0))),"")</f>
        <v/>
      </c>
      <c r="E13" s="25">
        <f>IFERROR(IF($B13="","",INDEX('Key Inventory'!$D$5:$D$104,MATCH($B13,'Key Inventory'!$A$5:$A$104,0))),"")</f>
        <v/>
      </c>
      <c r="F13" s="24" t="inlineStr">
        <is>
          <t>Morgan Reed</t>
        </is>
      </c>
      <c r="G13" s="24" t="inlineStr">
        <is>
          <t>EMP-1094</t>
        </is>
      </c>
      <c r="H13" s="24" t="inlineStr">
        <is>
          <t>Security</t>
        </is>
      </c>
      <c r="I13" s="24" t="inlineStr"/>
      <c r="J13" s="24" t="inlineStr">
        <is>
          <t>Inspection</t>
        </is>
      </c>
      <c r="K13" s="24" t="inlineStr">
        <is>
          <t>SEC-2026-033</t>
        </is>
      </c>
      <c r="L13" s="26" t="n">
        <v>46268</v>
      </c>
      <c r="M13" s="27" t="n">
        <v>0.25</v>
      </c>
      <c r="N13" s="26" t="n">
        <v>46269</v>
      </c>
      <c r="O13" s="27" t="n">
        <v>0.4166666666666667</v>
      </c>
      <c r="P13" s="26" t="n"/>
      <c r="Q13" s="27" t="n"/>
      <c r="R13" s="24" t="inlineStr">
        <is>
          <t>Taylor Morgan</t>
        </is>
      </c>
      <c r="S13" s="24" t="inlineStr"/>
      <c r="T13" s="24" t="inlineStr">
        <is>
          <t>Good</t>
        </is>
      </c>
      <c r="U13" s="24" t="inlineStr">
        <is>
          <t>Not Returned</t>
        </is>
      </c>
      <c r="V13" s="25">
        <f>IFERROR(IF(OR($A13="",$B13=""),"",IF($P13&lt;&gt;"","Returned",IF(NOW()&gt;$N13+$O13+(Dashboard!$B$7/24),"Overdue","Checked Out"))),"")</f>
        <v/>
      </c>
      <c r="W13" s="28">
        <f>IFERROR(IF($L13="","",MAX(0,24*((IF($P13&lt;&gt;"",$P13+$Q13,NOW()))-($L13+$M13)))),"")</f>
        <v/>
      </c>
      <c r="X13" s="29">
        <f>IFERROR(IF($B13="","",INDEX('Key Inventory'!$I$5:$I$104,MATCH($B13,'Key Inventory'!$A$5:$A$104,0))),"")</f>
        <v/>
      </c>
      <c r="Y13" s="25">
        <f>IFERROR(IF(AND(OR($V13="Checked Out",$V13="Overdue"),$X13&gt;=Dashboard!$B$9),"Review",""),"")</f>
        <v/>
      </c>
      <c r="Z13" s="24" t="inlineStr">
        <is>
          <t>Immediate follow-up required.</t>
        </is>
      </c>
      <c r="AA13" s="25">
        <f>IFERROR(IF(OR($V13="Checked Out",$V13="Overdue"),$B13,""),"")</f>
        <v/>
      </c>
    </row>
    <row r="14">
      <c r="A14" s="24" t="n"/>
      <c r="B14" s="24" t="n"/>
      <c r="C14" s="25">
        <f>IFERROR(IF($B14="","",INDEX('Key Inventory'!$B$5:$B$104,MATCH($B14,'Key Inventory'!$A$5:$A$104,0))),"")</f>
        <v/>
      </c>
      <c r="D14" s="25">
        <f>IFERROR(IF($B14="","",INDEX('Key Inventory'!$C$5:$C$104,MATCH($B14,'Key Inventory'!$A$5:$A$104,0))),"")</f>
        <v/>
      </c>
      <c r="E14" s="25">
        <f>IFERROR(IF($B14="","",INDEX('Key Inventory'!$D$5:$D$104,MATCH($B14,'Key Inventory'!$A$5:$A$104,0))),"")</f>
        <v/>
      </c>
      <c r="F14" s="24" t="n"/>
      <c r="G14" s="24" t="n"/>
      <c r="H14" s="24" t="n"/>
      <c r="I14" s="24" t="n"/>
      <c r="J14" s="24" t="n"/>
      <c r="K14" s="24" t="n"/>
      <c r="L14" s="26" t="n"/>
      <c r="M14" s="27" t="n"/>
      <c r="N14" s="26" t="n"/>
      <c r="O14" s="27" t="n"/>
      <c r="P14" s="26" t="n"/>
      <c r="Q14" s="27" t="n"/>
      <c r="R14" s="24" t="n"/>
      <c r="S14" s="24" t="n"/>
      <c r="T14" s="24" t="n"/>
      <c r="U14" s="24" t="n"/>
      <c r="V14" s="25">
        <f>IFERROR(IF(OR($A14="",$B14=""),"",IF($P14&lt;&gt;"","Returned",IF(NOW()&gt;$N14+$O14+(Dashboard!$B$7/24),"Overdue","Checked Out"))),"")</f>
        <v/>
      </c>
      <c r="W14" s="28">
        <f>IFERROR(IF($L14="","",MAX(0,24*((IF($P14&lt;&gt;"",$P14+$Q14,NOW()))-($L14+$M14)))),"")</f>
        <v/>
      </c>
      <c r="X14" s="29">
        <f>IFERROR(IF($B14="","",INDEX('Key Inventory'!$I$5:$I$104,MATCH($B14,'Key Inventory'!$A$5:$A$104,0))),"")</f>
        <v/>
      </c>
      <c r="Y14" s="25">
        <f>IFERROR(IF(AND(OR($V14="Checked Out",$V14="Overdue"),$X14&gt;=Dashboard!$B$9),"Review",""),"")</f>
        <v/>
      </c>
      <c r="Z14" s="24" t="n"/>
      <c r="AA14" s="25">
        <f>IFERROR(IF(OR($V14="Checked Out",$V14="Overdue"),$B14,""),"")</f>
        <v/>
      </c>
    </row>
    <row r="15">
      <c r="A15" s="24" t="n"/>
      <c r="B15" s="24" t="n"/>
      <c r="C15" s="25">
        <f>IFERROR(IF($B15="","",INDEX('Key Inventory'!$B$5:$B$104,MATCH($B15,'Key Inventory'!$A$5:$A$104,0))),"")</f>
        <v/>
      </c>
      <c r="D15" s="25">
        <f>IFERROR(IF($B15="","",INDEX('Key Inventory'!$C$5:$C$104,MATCH($B15,'Key Inventory'!$A$5:$A$104,0))),"")</f>
        <v/>
      </c>
      <c r="E15" s="25">
        <f>IFERROR(IF($B15="","",INDEX('Key Inventory'!$D$5:$D$104,MATCH($B15,'Key Inventory'!$A$5:$A$104,0))),"")</f>
        <v/>
      </c>
      <c r="F15" s="24" t="n"/>
      <c r="G15" s="24" t="n"/>
      <c r="H15" s="24" t="n"/>
      <c r="I15" s="24" t="n"/>
      <c r="J15" s="24" t="n"/>
      <c r="K15" s="24" t="n"/>
      <c r="L15" s="26" t="n"/>
      <c r="M15" s="27" t="n"/>
      <c r="N15" s="26" t="n"/>
      <c r="O15" s="27" t="n"/>
      <c r="P15" s="26" t="n"/>
      <c r="Q15" s="27" t="n"/>
      <c r="R15" s="24" t="n"/>
      <c r="S15" s="24" t="n"/>
      <c r="T15" s="24" t="n"/>
      <c r="U15" s="24" t="n"/>
      <c r="V15" s="25">
        <f>IFERROR(IF(OR($A15="",$B15=""),"",IF($P15&lt;&gt;"","Returned",IF(NOW()&gt;$N15+$O15+(Dashboard!$B$7/24),"Overdue","Checked Out"))),"")</f>
        <v/>
      </c>
      <c r="W15" s="28">
        <f>IFERROR(IF($L15="","",MAX(0,24*((IF($P15&lt;&gt;"",$P15+$Q15,NOW()))-($L15+$M15)))),"")</f>
        <v/>
      </c>
      <c r="X15" s="29">
        <f>IFERROR(IF($B15="","",INDEX('Key Inventory'!$I$5:$I$104,MATCH($B15,'Key Inventory'!$A$5:$A$104,0))),"")</f>
        <v/>
      </c>
      <c r="Y15" s="25">
        <f>IFERROR(IF(AND(OR($V15="Checked Out",$V15="Overdue"),$X15&gt;=Dashboard!$B$9),"Review",""),"")</f>
        <v/>
      </c>
      <c r="Z15" s="24" t="n"/>
      <c r="AA15" s="25">
        <f>IFERROR(IF(OR($V15="Checked Out",$V15="Overdue"),$B15,""),"")</f>
        <v/>
      </c>
    </row>
    <row r="16">
      <c r="A16" s="24" t="n"/>
      <c r="B16" s="24" t="n"/>
      <c r="C16" s="25">
        <f>IFERROR(IF($B16="","",INDEX('Key Inventory'!$B$5:$B$104,MATCH($B16,'Key Inventory'!$A$5:$A$104,0))),"")</f>
        <v/>
      </c>
      <c r="D16" s="25">
        <f>IFERROR(IF($B16="","",INDEX('Key Inventory'!$C$5:$C$104,MATCH($B16,'Key Inventory'!$A$5:$A$104,0))),"")</f>
        <v/>
      </c>
      <c r="E16" s="25">
        <f>IFERROR(IF($B16="","",INDEX('Key Inventory'!$D$5:$D$104,MATCH($B16,'Key Inventory'!$A$5:$A$104,0))),"")</f>
        <v/>
      </c>
      <c r="F16" s="24" t="n"/>
      <c r="G16" s="24" t="n"/>
      <c r="H16" s="24" t="n"/>
      <c r="I16" s="24" t="n"/>
      <c r="J16" s="24" t="n"/>
      <c r="K16" s="24" t="n"/>
      <c r="L16" s="26" t="n"/>
      <c r="M16" s="27" t="n"/>
      <c r="N16" s="26" t="n"/>
      <c r="O16" s="27" t="n"/>
      <c r="P16" s="26" t="n"/>
      <c r="Q16" s="27" t="n"/>
      <c r="R16" s="24" t="n"/>
      <c r="S16" s="24" t="n"/>
      <c r="T16" s="24" t="n"/>
      <c r="U16" s="24" t="n"/>
      <c r="V16" s="25">
        <f>IFERROR(IF(OR($A16="",$B16=""),"",IF($P16&lt;&gt;"","Returned",IF(NOW()&gt;$N16+$O16+(Dashboard!$B$7/24),"Overdue","Checked Out"))),"")</f>
        <v/>
      </c>
      <c r="W16" s="28">
        <f>IFERROR(IF($L16="","",MAX(0,24*((IF($P16&lt;&gt;"",$P16+$Q16,NOW()))-($L16+$M16)))),"")</f>
        <v/>
      </c>
      <c r="X16" s="29">
        <f>IFERROR(IF($B16="","",INDEX('Key Inventory'!$I$5:$I$104,MATCH($B16,'Key Inventory'!$A$5:$A$104,0))),"")</f>
        <v/>
      </c>
      <c r="Y16" s="25">
        <f>IFERROR(IF(AND(OR($V16="Checked Out",$V16="Overdue"),$X16&gt;=Dashboard!$B$9),"Review",""),"")</f>
        <v/>
      </c>
      <c r="Z16" s="24" t="n"/>
      <c r="AA16" s="25">
        <f>IFERROR(IF(OR($V16="Checked Out",$V16="Overdue"),$B16,""),"")</f>
        <v/>
      </c>
    </row>
    <row r="17">
      <c r="A17" s="24" t="n"/>
      <c r="B17" s="24" t="n"/>
      <c r="C17" s="25">
        <f>IFERROR(IF($B17="","",INDEX('Key Inventory'!$B$5:$B$104,MATCH($B17,'Key Inventory'!$A$5:$A$104,0))),"")</f>
        <v/>
      </c>
      <c r="D17" s="25">
        <f>IFERROR(IF($B17="","",INDEX('Key Inventory'!$C$5:$C$104,MATCH($B17,'Key Inventory'!$A$5:$A$104,0))),"")</f>
        <v/>
      </c>
      <c r="E17" s="25">
        <f>IFERROR(IF($B17="","",INDEX('Key Inventory'!$D$5:$D$104,MATCH($B17,'Key Inventory'!$A$5:$A$104,0))),"")</f>
        <v/>
      </c>
      <c r="F17" s="24" t="n"/>
      <c r="G17" s="24" t="n"/>
      <c r="H17" s="24" t="n"/>
      <c r="I17" s="24" t="n"/>
      <c r="J17" s="24" t="n"/>
      <c r="K17" s="24" t="n"/>
      <c r="L17" s="26" t="n"/>
      <c r="M17" s="27" t="n"/>
      <c r="N17" s="26" t="n"/>
      <c r="O17" s="27" t="n"/>
      <c r="P17" s="26" t="n"/>
      <c r="Q17" s="27" t="n"/>
      <c r="R17" s="24" t="n"/>
      <c r="S17" s="24" t="n"/>
      <c r="T17" s="24" t="n"/>
      <c r="U17" s="24" t="n"/>
      <c r="V17" s="25">
        <f>IFERROR(IF(OR($A17="",$B17=""),"",IF($P17&lt;&gt;"","Returned",IF(NOW()&gt;$N17+$O17+(Dashboard!$B$7/24),"Overdue","Checked Out"))),"")</f>
        <v/>
      </c>
      <c r="W17" s="28">
        <f>IFERROR(IF($L17="","",MAX(0,24*((IF($P17&lt;&gt;"",$P17+$Q17,NOW()))-($L17+$M17)))),"")</f>
        <v/>
      </c>
      <c r="X17" s="29">
        <f>IFERROR(IF($B17="","",INDEX('Key Inventory'!$I$5:$I$104,MATCH($B17,'Key Inventory'!$A$5:$A$104,0))),"")</f>
        <v/>
      </c>
      <c r="Y17" s="25">
        <f>IFERROR(IF(AND(OR($V17="Checked Out",$V17="Overdue"),$X17&gt;=Dashboard!$B$9),"Review",""),"")</f>
        <v/>
      </c>
      <c r="Z17" s="24" t="n"/>
      <c r="AA17" s="25">
        <f>IFERROR(IF(OR($V17="Checked Out",$V17="Overdue"),$B17,""),"")</f>
        <v/>
      </c>
    </row>
    <row r="18">
      <c r="A18" s="24" t="n"/>
      <c r="B18" s="24" t="n"/>
      <c r="C18" s="25">
        <f>IFERROR(IF($B18="","",INDEX('Key Inventory'!$B$5:$B$104,MATCH($B18,'Key Inventory'!$A$5:$A$104,0))),"")</f>
        <v/>
      </c>
      <c r="D18" s="25">
        <f>IFERROR(IF($B18="","",INDEX('Key Inventory'!$C$5:$C$104,MATCH($B18,'Key Inventory'!$A$5:$A$104,0))),"")</f>
        <v/>
      </c>
      <c r="E18" s="25">
        <f>IFERROR(IF($B18="","",INDEX('Key Inventory'!$D$5:$D$104,MATCH($B18,'Key Inventory'!$A$5:$A$104,0))),"")</f>
        <v/>
      </c>
      <c r="F18" s="24" t="n"/>
      <c r="G18" s="24" t="n"/>
      <c r="H18" s="24" t="n"/>
      <c r="I18" s="24" t="n"/>
      <c r="J18" s="24" t="n"/>
      <c r="K18" s="24" t="n"/>
      <c r="L18" s="26" t="n"/>
      <c r="M18" s="27" t="n"/>
      <c r="N18" s="26" t="n"/>
      <c r="O18" s="27" t="n"/>
      <c r="P18" s="26" t="n"/>
      <c r="Q18" s="27" t="n"/>
      <c r="R18" s="24" t="n"/>
      <c r="S18" s="24" t="n"/>
      <c r="T18" s="24" t="n"/>
      <c r="U18" s="24" t="n"/>
      <c r="V18" s="25">
        <f>IFERROR(IF(OR($A18="",$B18=""),"",IF($P18&lt;&gt;"","Returned",IF(NOW()&gt;$N18+$O18+(Dashboard!$B$7/24),"Overdue","Checked Out"))),"")</f>
        <v/>
      </c>
      <c r="W18" s="28">
        <f>IFERROR(IF($L18="","",MAX(0,24*((IF($P18&lt;&gt;"",$P18+$Q18,NOW()))-($L18+$M18)))),"")</f>
        <v/>
      </c>
      <c r="X18" s="29">
        <f>IFERROR(IF($B18="","",INDEX('Key Inventory'!$I$5:$I$104,MATCH($B18,'Key Inventory'!$A$5:$A$104,0))),"")</f>
        <v/>
      </c>
      <c r="Y18" s="25">
        <f>IFERROR(IF(AND(OR($V18="Checked Out",$V18="Overdue"),$X18&gt;=Dashboard!$B$9),"Review",""),"")</f>
        <v/>
      </c>
      <c r="Z18" s="24" t="n"/>
      <c r="AA18" s="25">
        <f>IFERROR(IF(OR($V18="Checked Out",$V18="Overdue"),$B18,""),"")</f>
        <v/>
      </c>
    </row>
    <row r="19">
      <c r="A19" s="24" t="n"/>
      <c r="B19" s="24" t="n"/>
      <c r="C19" s="25">
        <f>IFERROR(IF($B19="","",INDEX('Key Inventory'!$B$5:$B$104,MATCH($B19,'Key Inventory'!$A$5:$A$104,0))),"")</f>
        <v/>
      </c>
      <c r="D19" s="25">
        <f>IFERROR(IF($B19="","",INDEX('Key Inventory'!$C$5:$C$104,MATCH($B19,'Key Inventory'!$A$5:$A$104,0))),"")</f>
        <v/>
      </c>
      <c r="E19" s="25">
        <f>IFERROR(IF($B19="","",INDEX('Key Inventory'!$D$5:$D$104,MATCH($B19,'Key Inventory'!$A$5:$A$104,0))),"")</f>
        <v/>
      </c>
      <c r="F19" s="24" t="n"/>
      <c r="G19" s="24" t="n"/>
      <c r="H19" s="24" t="n"/>
      <c r="I19" s="24" t="n"/>
      <c r="J19" s="24" t="n"/>
      <c r="K19" s="24" t="n"/>
      <c r="L19" s="26" t="n"/>
      <c r="M19" s="27" t="n"/>
      <c r="N19" s="26" t="n"/>
      <c r="O19" s="27" t="n"/>
      <c r="P19" s="26" t="n"/>
      <c r="Q19" s="27" t="n"/>
      <c r="R19" s="24" t="n"/>
      <c r="S19" s="24" t="n"/>
      <c r="T19" s="24" t="n"/>
      <c r="U19" s="24" t="n"/>
      <c r="V19" s="25">
        <f>IFERROR(IF(OR($A19="",$B19=""),"",IF($P19&lt;&gt;"","Returned",IF(NOW()&gt;$N19+$O19+(Dashboard!$B$7/24),"Overdue","Checked Out"))),"")</f>
        <v/>
      </c>
      <c r="W19" s="28">
        <f>IFERROR(IF($L19="","",MAX(0,24*((IF($P19&lt;&gt;"",$P19+$Q19,NOW()))-($L19+$M19)))),"")</f>
        <v/>
      </c>
      <c r="X19" s="29">
        <f>IFERROR(IF($B19="","",INDEX('Key Inventory'!$I$5:$I$104,MATCH($B19,'Key Inventory'!$A$5:$A$104,0))),"")</f>
        <v/>
      </c>
      <c r="Y19" s="25">
        <f>IFERROR(IF(AND(OR($V19="Checked Out",$V19="Overdue"),$X19&gt;=Dashboard!$B$9),"Review",""),"")</f>
        <v/>
      </c>
      <c r="Z19" s="24" t="n"/>
      <c r="AA19" s="25">
        <f>IFERROR(IF(OR($V19="Checked Out",$V19="Overdue"),$B19,""),"")</f>
        <v/>
      </c>
    </row>
    <row r="20">
      <c r="A20" s="24" t="n"/>
      <c r="B20" s="24" t="n"/>
      <c r="C20" s="25">
        <f>IFERROR(IF($B20="","",INDEX('Key Inventory'!$B$5:$B$104,MATCH($B20,'Key Inventory'!$A$5:$A$104,0))),"")</f>
        <v/>
      </c>
      <c r="D20" s="25">
        <f>IFERROR(IF($B20="","",INDEX('Key Inventory'!$C$5:$C$104,MATCH($B20,'Key Inventory'!$A$5:$A$104,0))),"")</f>
        <v/>
      </c>
      <c r="E20" s="25">
        <f>IFERROR(IF($B20="","",INDEX('Key Inventory'!$D$5:$D$104,MATCH($B20,'Key Inventory'!$A$5:$A$104,0))),"")</f>
        <v/>
      </c>
      <c r="F20" s="24" t="n"/>
      <c r="G20" s="24" t="n"/>
      <c r="H20" s="24" t="n"/>
      <c r="I20" s="24" t="n"/>
      <c r="J20" s="24" t="n"/>
      <c r="K20" s="24" t="n"/>
      <c r="L20" s="26" t="n"/>
      <c r="M20" s="27" t="n"/>
      <c r="N20" s="26" t="n"/>
      <c r="O20" s="27" t="n"/>
      <c r="P20" s="26" t="n"/>
      <c r="Q20" s="27" t="n"/>
      <c r="R20" s="24" t="n"/>
      <c r="S20" s="24" t="n"/>
      <c r="T20" s="24" t="n"/>
      <c r="U20" s="24" t="n"/>
      <c r="V20" s="25">
        <f>IFERROR(IF(OR($A20="",$B20=""),"",IF($P20&lt;&gt;"","Returned",IF(NOW()&gt;$N20+$O20+(Dashboard!$B$7/24),"Overdue","Checked Out"))),"")</f>
        <v/>
      </c>
      <c r="W20" s="28">
        <f>IFERROR(IF($L20="","",MAX(0,24*((IF($P20&lt;&gt;"",$P20+$Q20,NOW()))-($L20+$M20)))),"")</f>
        <v/>
      </c>
      <c r="X20" s="29">
        <f>IFERROR(IF($B20="","",INDEX('Key Inventory'!$I$5:$I$104,MATCH($B20,'Key Inventory'!$A$5:$A$104,0))),"")</f>
        <v/>
      </c>
      <c r="Y20" s="25">
        <f>IFERROR(IF(AND(OR($V20="Checked Out",$V20="Overdue"),$X20&gt;=Dashboard!$B$9),"Review",""),"")</f>
        <v/>
      </c>
      <c r="Z20" s="24" t="n"/>
      <c r="AA20" s="25">
        <f>IFERROR(IF(OR($V20="Checked Out",$V20="Overdue"),$B20,""),"")</f>
        <v/>
      </c>
    </row>
    <row r="21">
      <c r="A21" s="24" t="n"/>
      <c r="B21" s="24" t="n"/>
      <c r="C21" s="25">
        <f>IFERROR(IF($B21="","",INDEX('Key Inventory'!$B$5:$B$104,MATCH($B21,'Key Inventory'!$A$5:$A$104,0))),"")</f>
        <v/>
      </c>
      <c r="D21" s="25">
        <f>IFERROR(IF($B21="","",INDEX('Key Inventory'!$C$5:$C$104,MATCH($B21,'Key Inventory'!$A$5:$A$104,0))),"")</f>
        <v/>
      </c>
      <c r="E21" s="25">
        <f>IFERROR(IF($B21="","",INDEX('Key Inventory'!$D$5:$D$104,MATCH($B21,'Key Inventory'!$A$5:$A$104,0))),"")</f>
        <v/>
      </c>
      <c r="F21" s="24" t="n"/>
      <c r="G21" s="24" t="n"/>
      <c r="H21" s="24" t="n"/>
      <c r="I21" s="24" t="n"/>
      <c r="J21" s="24" t="n"/>
      <c r="K21" s="24" t="n"/>
      <c r="L21" s="26" t="n"/>
      <c r="M21" s="27" t="n"/>
      <c r="N21" s="26" t="n"/>
      <c r="O21" s="27" t="n"/>
      <c r="P21" s="26" t="n"/>
      <c r="Q21" s="27" t="n"/>
      <c r="R21" s="24" t="n"/>
      <c r="S21" s="24" t="n"/>
      <c r="T21" s="24" t="n"/>
      <c r="U21" s="24" t="n"/>
      <c r="V21" s="25">
        <f>IFERROR(IF(OR($A21="",$B21=""),"",IF($P21&lt;&gt;"","Returned",IF(NOW()&gt;$N21+$O21+(Dashboard!$B$7/24),"Overdue","Checked Out"))),"")</f>
        <v/>
      </c>
      <c r="W21" s="28">
        <f>IFERROR(IF($L21="","",MAX(0,24*((IF($P21&lt;&gt;"",$P21+$Q21,NOW()))-($L21+$M21)))),"")</f>
        <v/>
      </c>
      <c r="X21" s="29">
        <f>IFERROR(IF($B21="","",INDEX('Key Inventory'!$I$5:$I$104,MATCH($B21,'Key Inventory'!$A$5:$A$104,0))),"")</f>
        <v/>
      </c>
      <c r="Y21" s="25">
        <f>IFERROR(IF(AND(OR($V21="Checked Out",$V21="Overdue"),$X21&gt;=Dashboard!$B$9),"Review",""),"")</f>
        <v/>
      </c>
      <c r="Z21" s="24" t="n"/>
      <c r="AA21" s="25">
        <f>IFERROR(IF(OR($V21="Checked Out",$V21="Overdue"),$B21,""),"")</f>
        <v/>
      </c>
    </row>
    <row r="22">
      <c r="A22" s="24" t="n"/>
      <c r="B22" s="24" t="n"/>
      <c r="C22" s="25">
        <f>IFERROR(IF($B22="","",INDEX('Key Inventory'!$B$5:$B$104,MATCH($B22,'Key Inventory'!$A$5:$A$104,0))),"")</f>
        <v/>
      </c>
      <c r="D22" s="25">
        <f>IFERROR(IF($B22="","",INDEX('Key Inventory'!$C$5:$C$104,MATCH($B22,'Key Inventory'!$A$5:$A$104,0))),"")</f>
        <v/>
      </c>
      <c r="E22" s="25">
        <f>IFERROR(IF($B22="","",INDEX('Key Inventory'!$D$5:$D$104,MATCH($B22,'Key Inventory'!$A$5:$A$104,0))),"")</f>
        <v/>
      </c>
      <c r="F22" s="24" t="n"/>
      <c r="G22" s="24" t="n"/>
      <c r="H22" s="24" t="n"/>
      <c r="I22" s="24" t="n"/>
      <c r="J22" s="24" t="n"/>
      <c r="K22" s="24" t="n"/>
      <c r="L22" s="26" t="n"/>
      <c r="M22" s="27" t="n"/>
      <c r="N22" s="26" t="n"/>
      <c r="O22" s="27" t="n"/>
      <c r="P22" s="26" t="n"/>
      <c r="Q22" s="27" t="n"/>
      <c r="R22" s="24" t="n"/>
      <c r="S22" s="24" t="n"/>
      <c r="T22" s="24" t="n"/>
      <c r="U22" s="24" t="n"/>
      <c r="V22" s="25">
        <f>IFERROR(IF(OR($A22="",$B22=""),"",IF($P22&lt;&gt;"","Returned",IF(NOW()&gt;$N22+$O22+(Dashboard!$B$7/24),"Overdue","Checked Out"))),"")</f>
        <v/>
      </c>
      <c r="W22" s="28">
        <f>IFERROR(IF($L22="","",MAX(0,24*((IF($P22&lt;&gt;"",$P22+$Q22,NOW()))-($L22+$M22)))),"")</f>
        <v/>
      </c>
      <c r="X22" s="29">
        <f>IFERROR(IF($B22="","",INDEX('Key Inventory'!$I$5:$I$104,MATCH($B22,'Key Inventory'!$A$5:$A$104,0))),"")</f>
        <v/>
      </c>
      <c r="Y22" s="25">
        <f>IFERROR(IF(AND(OR($V22="Checked Out",$V22="Overdue"),$X22&gt;=Dashboard!$B$9),"Review",""),"")</f>
        <v/>
      </c>
      <c r="Z22" s="24" t="n"/>
      <c r="AA22" s="25">
        <f>IFERROR(IF(OR($V22="Checked Out",$V22="Overdue"),$B22,""),"")</f>
        <v/>
      </c>
    </row>
    <row r="23">
      <c r="A23" s="24" t="n"/>
      <c r="B23" s="24" t="n"/>
      <c r="C23" s="25">
        <f>IFERROR(IF($B23="","",INDEX('Key Inventory'!$B$5:$B$104,MATCH($B23,'Key Inventory'!$A$5:$A$104,0))),"")</f>
        <v/>
      </c>
      <c r="D23" s="25">
        <f>IFERROR(IF($B23="","",INDEX('Key Inventory'!$C$5:$C$104,MATCH($B23,'Key Inventory'!$A$5:$A$104,0))),"")</f>
        <v/>
      </c>
      <c r="E23" s="25">
        <f>IFERROR(IF($B23="","",INDEX('Key Inventory'!$D$5:$D$104,MATCH($B23,'Key Inventory'!$A$5:$A$104,0))),"")</f>
        <v/>
      </c>
      <c r="F23" s="24" t="n"/>
      <c r="G23" s="24" t="n"/>
      <c r="H23" s="24" t="n"/>
      <c r="I23" s="24" t="n"/>
      <c r="J23" s="24" t="n"/>
      <c r="K23" s="24" t="n"/>
      <c r="L23" s="26" t="n"/>
      <c r="M23" s="27" t="n"/>
      <c r="N23" s="26" t="n"/>
      <c r="O23" s="27" t="n"/>
      <c r="P23" s="26" t="n"/>
      <c r="Q23" s="27" t="n"/>
      <c r="R23" s="24" t="n"/>
      <c r="S23" s="24" t="n"/>
      <c r="T23" s="24" t="n"/>
      <c r="U23" s="24" t="n"/>
      <c r="V23" s="25">
        <f>IFERROR(IF(OR($A23="",$B23=""),"",IF($P23&lt;&gt;"","Returned",IF(NOW()&gt;$N23+$O23+(Dashboard!$B$7/24),"Overdue","Checked Out"))),"")</f>
        <v/>
      </c>
      <c r="W23" s="28">
        <f>IFERROR(IF($L23="","",MAX(0,24*((IF($P23&lt;&gt;"",$P23+$Q23,NOW()))-($L23+$M23)))),"")</f>
        <v/>
      </c>
      <c r="X23" s="29">
        <f>IFERROR(IF($B23="","",INDEX('Key Inventory'!$I$5:$I$104,MATCH($B23,'Key Inventory'!$A$5:$A$104,0))),"")</f>
        <v/>
      </c>
      <c r="Y23" s="25">
        <f>IFERROR(IF(AND(OR($V23="Checked Out",$V23="Overdue"),$X23&gt;=Dashboard!$B$9),"Review",""),"")</f>
        <v/>
      </c>
      <c r="Z23" s="24" t="n"/>
      <c r="AA23" s="25">
        <f>IFERROR(IF(OR($V23="Checked Out",$V23="Overdue"),$B23,""),"")</f>
        <v/>
      </c>
    </row>
    <row r="24">
      <c r="A24" s="24" t="n"/>
      <c r="B24" s="24" t="n"/>
      <c r="C24" s="25">
        <f>IFERROR(IF($B24="","",INDEX('Key Inventory'!$B$5:$B$104,MATCH($B24,'Key Inventory'!$A$5:$A$104,0))),"")</f>
        <v/>
      </c>
      <c r="D24" s="25">
        <f>IFERROR(IF($B24="","",INDEX('Key Inventory'!$C$5:$C$104,MATCH($B24,'Key Inventory'!$A$5:$A$104,0))),"")</f>
        <v/>
      </c>
      <c r="E24" s="25">
        <f>IFERROR(IF($B24="","",INDEX('Key Inventory'!$D$5:$D$104,MATCH($B24,'Key Inventory'!$A$5:$A$104,0))),"")</f>
        <v/>
      </c>
      <c r="F24" s="24" t="n"/>
      <c r="G24" s="24" t="n"/>
      <c r="H24" s="24" t="n"/>
      <c r="I24" s="24" t="n"/>
      <c r="J24" s="24" t="n"/>
      <c r="K24" s="24" t="n"/>
      <c r="L24" s="26" t="n"/>
      <c r="M24" s="27" t="n"/>
      <c r="N24" s="26" t="n"/>
      <c r="O24" s="27" t="n"/>
      <c r="P24" s="26" t="n"/>
      <c r="Q24" s="27" t="n"/>
      <c r="R24" s="24" t="n"/>
      <c r="S24" s="24" t="n"/>
      <c r="T24" s="24" t="n"/>
      <c r="U24" s="24" t="n"/>
      <c r="V24" s="25">
        <f>IFERROR(IF(OR($A24="",$B24=""),"",IF($P24&lt;&gt;"","Returned",IF(NOW()&gt;$N24+$O24+(Dashboard!$B$7/24),"Overdue","Checked Out"))),"")</f>
        <v/>
      </c>
      <c r="W24" s="28">
        <f>IFERROR(IF($L24="","",MAX(0,24*((IF($P24&lt;&gt;"",$P24+$Q24,NOW()))-($L24+$M24)))),"")</f>
        <v/>
      </c>
      <c r="X24" s="29">
        <f>IFERROR(IF($B24="","",INDEX('Key Inventory'!$I$5:$I$104,MATCH($B24,'Key Inventory'!$A$5:$A$104,0))),"")</f>
        <v/>
      </c>
      <c r="Y24" s="25">
        <f>IFERROR(IF(AND(OR($V24="Checked Out",$V24="Overdue"),$X24&gt;=Dashboard!$B$9),"Review",""),"")</f>
        <v/>
      </c>
      <c r="Z24" s="24" t="n"/>
      <c r="AA24" s="25">
        <f>IFERROR(IF(OR($V24="Checked Out",$V24="Overdue"),$B24,""),"")</f>
        <v/>
      </c>
    </row>
    <row r="25">
      <c r="A25" s="24" t="n"/>
      <c r="B25" s="24" t="n"/>
      <c r="C25" s="25">
        <f>IFERROR(IF($B25="","",INDEX('Key Inventory'!$B$5:$B$104,MATCH($B25,'Key Inventory'!$A$5:$A$104,0))),"")</f>
        <v/>
      </c>
      <c r="D25" s="25">
        <f>IFERROR(IF($B25="","",INDEX('Key Inventory'!$C$5:$C$104,MATCH($B25,'Key Inventory'!$A$5:$A$104,0))),"")</f>
        <v/>
      </c>
      <c r="E25" s="25">
        <f>IFERROR(IF($B25="","",INDEX('Key Inventory'!$D$5:$D$104,MATCH($B25,'Key Inventory'!$A$5:$A$104,0))),"")</f>
        <v/>
      </c>
      <c r="F25" s="24" t="n"/>
      <c r="G25" s="24" t="n"/>
      <c r="H25" s="24" t="n"/>
      <c r="I25" s="24" t="n"/>
      <c r="J25" s="24" t="n"/>
      <c r="K25" s="24" t="n"/>
      <c r="L25" s="26" t="n"/>
      <c r="M25" s="27" t="n"/>
      <c r="N25" s="26" t="n"/>
      <c r="O25" s="27" t="n"/>
      <c r="P25" s="26" t="n"/>
      <c r="Q25" s="27" t="n"/>
      <c r="R25" s="24" t="n"/>
      <c r="S25" s="24" t="n"/>
      <c r="T25" s="24" t="n"/>
      <c r="U25" s="24" t="n"/>
      <c r="V25" s="25">
        <f>IFERROR(IF(OR($A25="",$B25=""),"",IF($P25&lt;&gt;"","Returned",IF(NOW()&gt;$N25+$O25+(Dashboard!$B$7/24),"Overdue","Checked Out"))),"")</f>
        <v/>
      </c>
      <c r="W25" s="28">
        <f>IFERROR(IF($L25="","",MAX(0,24*((IF($P25&lt;&gt;"",$P25+$Q25,NOW()))-($L25+$M25)))),"")</f>
        <v/>
      </c>
      <c r="X25" s="29">
        <f>IFERROR(IF($B25="","",INDEX('Key Inventory'!$I$5:$I$104,MATCH($B25,'Key Inventory'!$A$5:$A$104,0))),"")</f>
        <v/>
      </c>
      <c r="Y25" s="25">
        <f>IFERROR(IF(AND(OR($V25="Checked Out",$V25="Overdue"),$X25&gt;=Dashboard!$B$9),"Review",""),"")</f>
        <v/>
      </c>
      <c r="Z25" s="24" t="n"/>
      <c r="AA25" s="25">
        <f>IFERROR(IF(OR($V25="Checked Out",$V25="Overdue"),$B25,""),"")</f>
        <v/>
      </c>
    </row>
    <row r="26">
      <c r="A26" s="24" t="n"/>
      <c r="B26" s="24" t="n"/>
      <c r="C26" s="25">
        <f>IFERROR(IF($B26="","",INDEX('Key Inventory'!$B$5:$B$104,MATCH($B26,'Key Inventory'!$A$5:$A$104,0))),"")</f>
        <v/>
      </c>
      <c r="D26" s="25">
        <f>IFERROR(IF($B26="","",INDEX('Key Inventory'!$C$5:$C$104,MATCH($B26,'Key Inventory'!$A$5:$A$104,0))),"")</f>
        <v/>
      </c>
      <c r="E26" s="25">
        <f>IFERROR(IF($B26="","",INDEX('Key Inventory'!$D$5:$D$104,MATCH($B26,'Key Inventory'!$A$5:$A$104,0))),"")</f>
        <v/>
      </c>
      <c r="F26" s="24" t="n"/>
      <c r="G26" s="24" t="n"/>
      <c r="H26" s="24" t="n"/>
      <c r="I26" s="24" t="n"/>
      <c r="J26" s="24" t="n"/>
      <c r="K26" s="24" t="n"/>
      <c r="L26" s="26" t="n"/>
      <c r="M26" s="27" t="n"/>
      <c r="N26" s="26" t="n"/>
      <c r="O26" s="27" t="n"/>
      <c r="P26" s="26" t="n"/>
      <c r="Q26" s="27" t="n"/>
      <c r="R26" s="24" t="n"/>
      <c r="S26" s="24" t="n"/>
      <c r="T26" s="24" t="n"/>
      <c r="U26" s="24" t="n"/>
      <c r="V26" s="25">
        <f>IFERROR(IF(OR($A26="",$B26=""),"",IF($P26&lt;&gt;"","Returned",IF(NOW()&gt;$N26+$O26+(Dashboard!$B$7/24),"Overdue","Checked Out"))),"")</f>
        <v/>
      </c>
      <c r="W26" s="28">
        <f>IFERROR(IF($L26="","",MAX(0,24*((IF($P26&lt;&gt;"",$P26+$Q26,NOW()))-($L26+$M26)))),"")</f>
        <v/>
      </c>
      <c r="X26" s="29">
        <f>IFERROR(IF($B26="","",INDEX('Key Inventory'!$I$5:$I$104,MATCH($B26,'Key Inventory'!$A$5:$A$104,0))),"")</f>
        <v/>
      </c>
      <c r="Y26" s="25">
        <f>IFERROR(IF(AND(OR($V26="Checked Out",$V26="Overdue"),$X26&gt;=Dashboard!$B$9),"Review",""),"")</f>
        <v/>
      </c>
      <c r="Z26" s="24" t="n"/>
      <c r="AA26" s="25">
        <f>IFERROR(IF(OR($V26="Checked Out",$V26="Overdue"),$B26,""),"")</f>
        <v/>
      </c>
    </row>
    <row r="27">
      <c r="A27" s="24" t="n"/>
      <c r="B27" s="24" t="n"/>
      <c r="C27" s="25">
        <f>IFERROR(IF($B27="","",INDEX('Key Inventory'!$B$5:$B$104,MATCH($B27,'Key Inventory'!$A$5:$A$104,0))),"")</f>
        <v/>
      </c>
      <c r="D27" s="25">
        <f>IFERROR(IF($B27="","",INDEX('Key Inventory'!$C$5:$C$104,MATCH($B27,'Key Inventory'!$A$5:$A$104,0))),"")</f>
        <v/>
      </c>
      <c r="E27" s="25">
        <f>IFERROR(IF($B27="","",INDEX('Key Inventory'!$D$5:$D$104,MATCH($B27,'Key Inventory'!$A$5:$A$104,0))),"")</f>
        <v/>
      </c>
      <c r="F27" s="24" t="n"/>
      <c r="G27" s="24" t="n"/>
      <c r="H27" s="24" t="n"/>
      <c r="I27" s="24" t="n"/>
      <c r="J27" s="24" t="n"/>
      <c r="K27" s="24" t="n"/>
      <c r="L27" s="26" t="n"/>
      <c r="M27" s="27" t="n"/>
      <c r="N27" s="26" t="n"/>
      <c r="O27" s="27" t="n"/>
      <c r="P27" s="26" t="n"/>
      <c r="Q27" s="27" t="n"/>
      <c r="R27" s="24" t="n"/>
      <c r="S27" s="24" t="n"/>
      <c r="T27" s="24" t="n"/>
      <c r="U27" s="24" t="n"/>
      <c r="V27" s="25">
        <f>IFERROR(IF(OR($A27="",$B27=""),"",IF($P27&lt;&gt;"","Returned",IF(NOW()&gt;$N27+$O27+(Dashboard!$B$7/24),"Overdue","Checked Out"))),"")</f>
        <v/>
      </c>
      <c r="W27" s="28">
        <f>IFERROR(IF($L27="","",MAX(0,24*((IF($P27&lt;&gt;"",$P27+$Q27,NOW()))-($L27+$M27)))),"")</f>
        <v/>
      </c>
      <c r="X27" s="29">
        <f>IFERROR(IF($B27="","",INDEX('Key Inventory'!$I$5:$I$104,MATCH($B27,'Key Inventory'!$A$5:$A$104,0))),"")</f>
        <v/>
      </c>
      <c r="Y27" s="25">
        <f>IFERROR(IF(AND(OR($V27="Checked Out",$V27="Overdue"),$X27&gt;=Dashboard!$B$9),"Review",""),"")</f>
        <v/>
      </c>
      <c r="Z27" s="24" t="n"/>
      <c r="AA27" s="25">
        <f>IFERROR(IF(OR($V27="Checked Out",$V27="Overdue"),$B27,""),"")</f>
        <v/>
      </c>
    </row>
    <row r="28">
      <c r="A28" s="24" t="n"/>
      <c r="B28" s="24" t="n"/>
      <c r="C28" s="25">
        <f>IFERROR(IF($B28="","",INDEX('Key Inventory'!$B$5:$B$104,MATCH($B28,'Key Inventory'!$A$5:$A$104,0))),"")</f>
        <v/>
      </c>
      <c r="D28" s="25">
        <f>IFERROR(IF($B28="","",INDEX('Key Inventory'!$C$5:$C$104,MATCH($B28,'Key Inventory'!$A$5:$A$104,0))),"")</f>
        <v/>
      </c>
      <c r="E28" s="25">
        <f>IFERROR(IF($B28="","",INDEX('Key Inventory'!$D$5:$D$104,MATCH($B28,'Key Inventory'!$A$5:$A$104,0))),"")</f>
        <v/>
      </c>
      <c r="F28" s="24" t="n"/>
      <c r="G28" s="24" t="n"/>
      <c r="H28" s="24" t="n"/>
      <c r="I28" s="24" t="n"/>
      <c r="J28" s="24" t="n"/>
      <c r="K28" s="24" t="n"/>
      <c r="L28" s="26" t="n"/>
      <c r="M28" s="27" t="n"/>
      <c r="N28" s="26" t="n"/>
      <c r="O28" s="27" t="n"/>
      <c r="P28" s="26" t="n"/>
      <c r="Q28" s="27" t="n"/>
      <c r="R28" s="24" t="n"/>
      <c r="S28" s="24" t="n"/>
      <c r="T28" s="24" t="n"/>
      <c r="U28" s="24" t="n"/>
      <c r="V28" s="25">
        <f>IFERROR(IF(OR($A28="",$B28=""),"",IF($P28&lt;&gt;"","Returned",IF(NOW()&gt;$N28+$O28+(Dashboard!$B$7/24),"Overdue","Checked Out"))),"")</f>
        <v/>
      </c>
      <c r="W28" s="28">
        <f>IFERROR(IF($L28="","",MAX(0,24*((IF($P28&lt;&gt;"",$P28+$Q28,NOW()))-($L28+$M28)))),"")</f>
        <v/>
      </c>
      <c r="X28" s="29">
        <f>IFERROR(IF($B28="","",INDEX('Key Inventory'!$I$5:$I$104,MATCH($B28,'Key Inventory'!$A$5:$A$104,0))),"")</f>
        <v/>
      </c>
      <c r="Y28" s="25">
        <f>IFERROR(IF(AND(OR($V28="Checked Out",$V28="Overdue"),$X28&gt;=Dashboard!$B$9),"Review",""),"")</f>
        <v/>
      </c>
      <c r="Z28" s="24" t="n"/>
      <c r="AA28" s="25">
        <f>IFERROR(IF(OR($V28="Checked Out",$V28="Overdue"),$B28,""),"")</f>
        <v/>
      </c>
    </row>
    <row r="29">
      <c r="A29" s="24" t="n"/>
      <c r="B29" s="24" t="n"/>
      <c r="C29" s="25">
        <f>IFERROR(IF($B29="","",INDEX('Key Inventory'!$B$5:$B$104,MATCH($B29,'Key Inventory'!$A$5:$A$104,0))),"")</f>
        <v/>
      </c>
      <c r="D29" s="25">
        <f>IFERROR(IF($B29="","",INDEX('Key Inventory'!$C$5:$C$104,MATCH($B29,'Key Inventory'!$A$5:$A$104,0))),"")</f>
        <v/>
      </c>
      <c r="E29" s="25">
        <f>IFERROR(IF($B29="","",INDEX('Key Inventory'!$D$5:$D$104,MATCH($B29,'Key Inventory'!$A$5:$A$104,0))),"")</f>
        <v/>
      </c>
      <c r="F29" s="24" t="n"/>
      <c r="G29" s="24" t="n"/>
      <c r="H29" s="24" t="n"/>
      <c r="I29" s="24" t="n"/>
      <c r="J29" s="24" t="n"/>
      <c r="K29" s="24" t="n"/>
      <c r="L29" s="26" t="n"/>
      <c r="M29" s="27" t="n"/>
      <c r="N29" s="26" t="n"/>
      <c r="O29" s="27" t="n"/>
      <c r="P29" s="26" t="n"/>
      <c r="Q29" s="27" t="n"/>
      <c r="R29" s="24" t="n"/>
      <c r="S29" s="24" t="n"/>
      <c r="T29" s="24" t="n"/>
      <c r="U29" s="24" t="n"/>
      <c r="V29" s="25">
        <f>IFERROR(IF(OR($A29="",$B29=""),"",IF($P29&lt;&gt;"","Returned",IF(NOW()&gt;$N29+$O29+(Dashboard!$B$7/24),"Overdue","Checked Out"))),"")</f>
        <v/>
      </c>
      <c r="W29" s="28">
        <f>IFERROR(IF($L29="","",MAX(0,24*((IF($P29&lt;&gt;"",$P29+$Q29,NOW()))-($L29+$M29)))),"")</f>
        <v/>
      </c>
      <c r="X29" s="29">
        <f>IFERROR(IF($B29="","",INDEX('Key Inventory'!$I$5:$I$104,MATCH($B29,'Key Inventory'!$A$5:$A$104,0))),"")</f>
        <v/>
      </c>
      <c r="Y29" s="25">
        <f>IFERROR(IF(AND(OR($V29="Checked Out",$V29="Overdue"),$X29&gt;=Dashboard!$B$9),"Review",""),"")</f>
        <v/>
      </c>
      <c r="Z29" s="24" t="n"/>
      <c r="AA29" s="25">
        <f>IFERROR(IF(OR($V29="Checked Out",$V29="Overdue"),$B29,""),"")</f>
        <v/>
      </c>
    </row>
    <row r="30">
      <c r="A30" s="24" t="n"/>
      <c r="B30" s="24" t="n"/>
      <c r="C30" s="25">
        <f>IFERROR(IF($B30="","",INDEX('Key Inventory'!$B$5:$B$104,MATCH($B30,'Key Inventory'!$A$5:$A$104,0))),"")</f>
        <v/>
      </c>
      <c r="D30" s="25">
        <f>IFERROR(IF($B30="","",INDEX('Key Inventory'!$C$5:$C$104,MATCH($B30,'Key Inventory'!$A$5:$A$104,0))),"")</f>
        <v/>
      </c>
      <c r="E30" s="25">
        <f>IFERROR(IF($B30="","",INDEX('Key Inventory'!$D$5:$D$104,MATCH($B30,'Key Inventory'!$A$5:$A$104,0))),"")</f>
        <v/>
      </c>
      <c r="F30" s="24" t="n"/>
      <c r="G30" s="24" t="n"/>
      <c r="H30" s="24" t="n"/>
      <c r="I30" s="24" t="n"/>
      <c r="J30" s="24" t="n"/>
      <c r="K30" s="24" t="n"/>
      <c r="L30" s="26" t="n"/>
      <c r="M30" s="27" t="n"/>
      <c r="N30" s="26" t="n"/>
      <c r="O30" s="27" t="n"/>
      <c r="P30" s="26" t="n"/>
      <c r="Q30" s="27" t="n"/>
      <c r="R30" s="24" t="n"/>
      <c r="S30" s="24" t="n"/>
      <c r="T30" s="24" t="n"/>
      <c r="U30" s="24" t="n"/>
      <c r="V30" s="25">
        <f>IFERROR(IF(OR($A30="",$B30=""),"",IF($P30&lt;&gt;"","Returned",IF(NOW()&gt;$N30+$O30+(Dashboard!$B$7/24),"Overdue","Checked Out"))),"")</f>
        <v/>
      </c>
      <c r="W30" s="28">
        <f>IFERROR(IF($L30="","",MAX(0,24*((IF($P30&lt;&gt;"",$P30+$Q30,NOW()))-($L30+$M30)))),"")</f>
        <v/>
      </c>
      <c r="X30" s="29">
        <f>IFERROR(IF($B30="","",INDEX('Key Inventory'!$I$5:$I$104,MATCH($B30,'Key Inventory'!$A$5:$A$104,0))),"")</f>
        <v/>
      </c>
      <c r="Y30" s="25">
        <f>IFERROR(IF(AND(OR($V30="Checked Out",$V30="Overdue"),$X30&gt;=Dashboard!$B$9),"Review",""),"")</f>
        <v/>
      </c>
      <c r="Z30" s="24" t="n"/>
      <c r="AA30" s="25">
        <f>IFERROR(IF(OR($V30="Checked Out",$V30="Overdue"),$B30,""),"")</f>
        <v/>
      </c>
    </row>
    <row r="31">
      <c r="A31" s="24" t="n"/>
      <c r="B31" s="24" t="n"/>
      <c r="C31" s="25">
        <f>IFERROR(IF($B31="","",INDEX('Key Inventory'!$B$5:$B$104,MATCH($B31,'Key Inventory'!$A$5:$A$104,0))),"")</f>
        <v/>
      </c>
      <c r="D31" s="25">
        <f>IFERROR(IF($B31="","",INDEX('Key Inventory'!$C$5:$C$104,MATCH($B31,'Key Inventory'!$A$5:$A$104,0))),"")</f>
        <v/>
      </c>
      <c r="E31" s="25">
        <f>IFERROR(IF($B31="","",INDEX('Key Inventory'!$D$5:$D$104,MATCH($B31,'Key Inventory'!$A$5:$A$104,0))),"")</f>
        <v/>
      </c>
      <c r="F31" s="24" t="n"/>
      <c r="G31" s="24" t="n"/>
      <c r="H31" s="24" t="n"/>
      <c r="I31" s="24" t="n"/>
      <c r="J31" s="24" t="n"/>
      <c r="K31" s="24" t="n"/>
      <c r="L31" s="26" t="n"/>
      <c r="M31" s="27" t="n"/>
      <c r="N31" s="26" t="n"/>
      <c r="O31" s="27" t="n"/>
      <c r="P31" s="26" t="n"/>
      <c r="Q31" s="27" t="n"/>
      <c r="R31" s="24" t="n"/>
      <c r="S31" s="24" t="n"/>
      <c r="T31" s="24" t="n"/>
      <c r="U31" s="24" t="n"/>
      <c r="V31" s="25">
        <f>IFERROR(IF(OR($A31="",$B31=""),"",IF($P31&lt;&gt;"","Returned",IF(NOW()&gt;$N31+$O31+(Dashboard!$B$7/24),"Overdue","Checked Out"))),"")</f>
        <v/>
      </c>
      <c r="W31" s="28">
        <f>IFERROR(IF($L31="","",MAX(0,24*((IF($P31&lt;&gt;"",$P31+$Q31,NOW()))-($L31+$M31)))),"")</f>
        <v/>
      </c>
      <c r="X31" s="29">
        <f>IFERROR(IF($B31="","",INDEX('Key Inventory'!$I$5:$I$104,MATCH($B31,'Key Inventory'!$A$5:$A$104,0))),"")</f>
        <v/>
      </c>
      <c r="Y31" s="25">
        <f>IFERROR(IF(AND(OR($V31="Checked Out",$V31="Overdue"),$X31&gt;=Dashboard!$B$9),"Review",""),"")</f>
        <v/>
      </c>
      <c r="Z31" s="24" t="n"/>
      <c r="AA31" s="25">
        <f>IFERROR(IF(OR($V31="Checked Out",$V31="Overdue"),$B31,""),"")</f>
        <v/>
      </c>
    </row>
    <row r="32">
      <c r="A32" s="24" t="n"/>
      <c r="B32" s="24" t="n"/>
      <c r="C32" s="25">
        <f>IFERROR(IF($B32="","",INDEX('Key Inventory'!$B$5:$B$104,MATCH($B32,'Key Inventory'!$A$5:$A$104,0))),"")</f>
        <v/>
      </c>
      <c r="D32" s="25">
        <f>IFERROR(IF($B32="","",INDEX('Key Inventory'!$C$5:$C$104,MATCH($B32,'Key Inventory'!$A$5:$A$104,0))),"")</f>
        <v/>
      </c>
      <c r="E32" s="25">
        <f>IFERROR(IF($B32="","",INDEX('Key Inventory'!$D$5:$D$104,MATCH($B32,'Key Inventory'!$A$5:$A$104,0))),"")</f>
        <v/>
      </c>
      <c r="F32" s="24" t="n"/>
      <c r="G32" s="24" t="n"/>
      <c r="H32" s="24" t="n"/>
      <c r="I32" s="24" t="n"/>
      <c r="J32" s="24" t="n"/>
      <c r="K32" s="24" t="n"/>
      <c r="L32" s="26" t="n"/>
      <c r="M32" s="27" t="n"/>
      <c r="N32" s="26" t="n"/>
      <c r="O32" s="27" t="n"/>
      <c r="P32" s="26" t="n"/>
      <c r="Q32" s="27" t="n"/>
      <c r="R32" s="24" t="n"/>
      <c r="S32" s="24" t="n"/>
      <c r="T32" s="24" t="n"/>
      <c r="U32" s="24" t="n"/>
      <c r="V32" s="25">
        <f>IFERROR(IF(OR($A32="",$B32=""),"",IF($P32&lt;&gt;"","Returned",IF(NOW()&gt;$N32+$O32+(Dashboard!$B$7/24),"Overdue","Checked Out"))),"")</f>
        <v/>
      </c>
      <c r="W32" s="28">
        <f>IFERROR(IF($L32="","",MAX(0,24*((IF($P32&lt;&gt;"",$P32+$Q32,NOW()))-($L32+$M32)))),"")</f>
        <v/>
      </c>
      <c r="X32" s="29">
        <f>IFERROR(IF($B32="","",INDEX('Key Inventory'!$I$5:$I$104,MATCH($B32,'Key Inventory'!$A$5:$A$104,0))),"")</f>
        <v/>
      </c>
      <c r="Y32" s="25">
        <f>IFERROR(IF(AND(OR($V32="Checked Out",$V32="Overdue"),$X32&gt;=Dashboard!$B$9),"Review",""),"")</f>
        <v/>
      </c>
      <c r="Z32" s="24" t="n"/>
      <c r="AA32" s="25">
        <f>IFERROR(IF(OR($V32="Checked Out",$V32="Overdue"),$B32,""),"")</f>
        <v/>
      </c>
    </row>
    <row r="33">
      <c r="A33" s="24" t="n"/>
      <c r="B33" s="24" t="n"/>
      <c r="C33" s="25">
        <f>IFERROR(IF($B33="","",INDEX('Key Inventory'!$B$5:$B$104,MATCH($B33,'Key Inventory'!$A$5:$A$104,0))),"")</f>
        <v/>
      </c>
      <c r="D33" s="25">
        <f>IFERROR(IF($B33="","",INDEX('Key Inventory'!$C$5:$C$104,MATCH($B33,'Key Inventory'!$A$5:$A$104,0))),"")</f>
        <v/>
      </c>
      <c r="E33" s="25">
        <f>IFERROR(IF($B33="","",INDEX('Key Inventory'!$D$5:$D$104,MATCH($B33,'Key Inventory'!$A$5:$A$104,0))),"")</f>
        <v/>
      </c>
      <c r="F33" s="24" t="n"/>
      <c r="G33" s="24" t="n"/>
      <c r="H33" s="24" t="n"/>
      <c r="I33" s="24" t="n"/>
      <c r="J33" s="24" t="n"/>
      <c r="K33" s="24" t="n"/>
      <c r="L33" s="26" t="n"/>
      <c r="M33" s="27" t="n"/>
      <c r="N33" s="26" t="n"/>
      <c r="O33" s="27" t="n"/>
      <c r="P33" s="26" t="n"/>
      <c r="Q33" s="27" t="n"/>
      <c r="R33" s="24" t="n"/>
      <c r="S33" s="24" t="n"/>
      <c r="T33" s="24" t="n"/>
      <c r="U33" s="24" t="n"/>
      <c r="V33" s="25">
        <f>IFERROR(IF(OR($A33="",$B33=""),"",IF($P33&lt;&gt;"","Returned",IF(NOW()&gt;$N33+$O33+(Dashboard!$B$7/24),"Overdue","Checked Out"))),"")</f>
        <v/>
      </c>
      <c r="W33" s="28">
        <f>IFERROR(IF($L33="","",MAX(0,24*((IF($P33&lt;&gt;"",$P33+$Q33,NOW()))-($L33+$M33)))),"")</f>
        <v/>
      </c>
      <c r="X33" s="29">
        <f>IFERROR(IF($B33="","",INDEX('Key Inventory'!$I$5:$I$104,MATCH($B33,'Key Inventory'!$A$5:$A$104,0))),"")</f>
        <v/>
      </c>
      <c r="Y33" s="25">
        <f>IFERROR(IF(AND(OR($V33="Checked Out",$V33="Overdue"),$X33&gt;=Dashboard!$B$9),"Review",""),"")</f>
        <v/>
      </c>
      <c r="Z33" s="24" t="n"/>
      <c r="AA33" s="25">
        <f>IFERROR(IF(OR($V33="Checked Out",$V33="Overdue"),$B33,""),"")</f>
        <v/>
      </c>
    </row>
    <row r="34">
      <c r="A34" s="24" t="n"/>
      <c r="B34" s="24" t="n"/>
      <c r="C34" s="25">
        <f>IFERROR(IF($B34="","",INDEX('Key Inventory'!$B$5:$B$104,MATCH($B34,'Key Inventory'!$A$5:$A$104,0))),"")</f>
        <v/>
      </c>
      <c r="D34" s="25">
        <f>IFERROR(IF($B34="","",INDEX('Key Inventory'!$C$5:$C$104,MATCH($B34,'Key Inventory'!$A$5:$A$104,0))),"")</f>
        <v/>
      </c>
      <c r="E34" s="25">
        <f>IFERROR(IF($B34="","",INDEX('Key Inventory'!$D$5:$D$104,MATCH($B34,'Key Inventory'!$A$5:$A$104,0))),"")</f>
        <v/>
      </c>
      <c r="F34" s="24" t="n"/>
      <c r="G34" s="24" t="n"/>
      <c r="H34" s="24" t="n"/>
      <c r="I34" s="24" t="n"/>
      <c r="J34" s="24" t="n"/>
      <c r="K34" s="24" t="n"/>
      <c r="L34" s="26" t="n"/>
      <c r="M34" s="27" t="n"/>
      <c r="N34" s="26" t="n"/>
      <c r="O34" s="27" t="n"/>
      <c r="P34" s="26" t="n"/>
      <c r="Q34" s="27" t="n"/>
      <c r="R34" s="24" t="n"/>
      <c r="S34" s="24" t="n"/>
      <c r="T34" s="24" t="n"/>
      <c r="U34" s="24" t="n"/>
      <c r="V34" s="25">
        <f>IFERROR(IF(OR($A34="",$B34=""),"",IF($P34&lt;&gt;"","Returned",IF(NOW()&gt;$N34+$O34+(Dashboard!$B$7/24),"Overdue","Checked Out"))),"")</f>
        <v/>
      </c>
      <c r="W34" s="28">
        <f>IFERROR(IF($L34="","",MAX(0,24*((IF($P34&lt;&gt;"",$P34+$Q34,NOW()))-($L34+$M34)))),"")</f>
        <v/>
      </c>
      <c r="X34" s="29">
        <f>IFERROR(IF($B34="","",INDEX('Key Inventory'!$I$5:$I$104,MATCH($B34,'Key Inventory'!$A$5:$A$104,0))),"")</f>
        <v/>
      </c>
      <c r="Y34" s="25">
        <f>IFERROR(IF(AND(OR($V34="Checked Out",$V34="Overdue"),$X34&gt;=Dashboard!$B$9),"Review",""),"")</f>
        <v/>
      </c>
      <c r="Z34" s="24" t="n"/>
      <c r="AA34" s="25">
        <f>IFERROR(IF(OR($V34="Checked Out",$V34="Overdue"),$B34,""),"")</f>
        <v/>
      </c>
    </row>
    <row r="35">
      <c r="A35" s="24" t="n"/>
      <c r="B35" s="24" t="n"/>
      <c r="C35" s="25">
        <f>IFERROR(IF($B35="","",INDEX('Key Inventory'!$B$5:$B$104,MATCH($B35,'Key Inventory'!$A$5:$A$104,0))),"")</f>
        <v/>
      </c>
      <c r="D35" s="25">
        <f>IFERROR(IF($B35="","",INDEX('Key Inventory'!$C$5:$C$104,MATCH($B35,'Key Inventory'!$A$5:$A$104,0))),"")</f>
        <v/>
      </c>
      <c r="E35" s="25">
        <f>IFERROR(IF($B35="","",INDEX('Key Inventory'!$D$5:$D$104,MATCH($B35,'Key Inventory'!$A$5:$A$104,0))),"")</f>
        <v/>
      </c>
      <c r="F35" s="24" t="n"/>
      <c r="G35" s="24" t="n"/>
      <c r="H35" s="24" t="n"/>
      <c r="I35" s="24" t="n"/>
      <c r="J35" s="24" t="n"/>
      <c r="K35" s="24" t="n"/>
      <c r="L35" s="26" t="n"/>
      <c r="M35" s="27" t="n"/>
      <c r="N35" s="26" t="n"/>
      <c r="O35" s="27" t="n"/>
      <c r="P35" s="26" t="n"/>
      <c r="Q35" s="27" t="n"/>
      <c r="R35" s="24" t="n"/>
      <c r="S35" s="24" t="n"/>
      <c r="T35" s="24" t="n"/>
      <c r="U35" s="24" t="n"/>
      <c r="V35" s="25">
        <f>IFERROR(IF(OR($A35="",$B35=""),"",IF($P35&lt;&gt;"","Returned",IF(NOW()&gt;$N35+$O35+(Dashboard!$B$7/24),"Overdue","Checked Out"))),"")</f>
        <v/>
      </c>
      <c r="W35" s="28">
        <f>IFERROR(IF($L35="","",MAX(0,24*((IF($P35&lt;&gt;"",$P35+$Q35,NOW()))-($L35+$M35)))),"")</f>
        <v/>
      </c>
      <c r="X35" s="29">
        <f>IFERROR(IF($B35="","",INDEX('Key Inventory'!$I$5:$I$104,MATCH($B35,'Key Inventory'!$A$5:$A$104,0))),"")</f>
        <v/>
      </c>
      <c r="Y35" s="25">
        <f>IFERROR(IF(AND(OR($V35="Checked Out",$V35="Overdue"),$X35&gt;=Dashboard!$B$9),"Review",""),"")</f>
        <v/>
      </c>
      <c r="Z35" s="24" t="n"/>
      <c r="AA35" s="25">
        <f>IFERROR(IF(OR($V35="Checked Out",$V35="Overdue"),$B35,""),"")</f>
        <v/>
      </c>
    </row>
    <row r="36">
      <c r="A36" s="24" t="n"/>
      <c r="B36" s="24" t="n"/>
      <c r="C36" s="25">
        <f>IFERROR(IF($B36="","",INDEX('Key Inventory'!$B$5:$B$104,MATCH($B36,'Key Inventory'!$A$5:$A$104,0))),"")</f>
        <v/>
      </c>
      <c r="D36" s="25">
        <f>IFERROR(IF($B36="","",INDEX('Key Inventory'!$C$5:$C$104,MATCH($B36,'Key Inventory'!$A$5:$A$104,0))),"")</f>
        <v/>
      </c>
      <c r="E36" s="25">
        <f>IFERROR(IF($B36="","",INDEX('Key Inventory'!$D$5:$D$104,MATCH($B36,'Key Inventory'!$A$5:$A$104,0))),"")</f>
        <v/>
      </c>
      <c r="F36" s="24" t="n"/>
      <c r="G36" s="24" t="n"/>
      <c r="H36" s="24" t="n"/>
      <c r="I36" s="24" t="n"/>
      <c r="J36" s="24" t="n"/>
      <c r="K36" s="24" t="n"/>
      <c r="L36" s="26" t="n"/>
      <c r="M36" s="27" t="n"/>
      <c r="N36" s="26" t="n"/>
      <c r="O36" s="27" t="n"/>
      <c r="P36" s="26" t="n"/>
      <c r="Q36" s="27" t="n"/>
      <c r="R36" s="24" t="n"/>
      <c r="S36" s="24" t="n"/>
      <c r="T36" s="24" t="n"/>
      <c r="U36" s="24" t="n"/>
      <c r="V36" s="25">
        <f>IFERROR(IF(OR($A36="",$B36=""),"",IF($P36&lt;&gt;"","Returned",IF(NOW()&gt;$N36+$O36+(Dashboard!$B$7/24),"Overdue","Checked Out"))),"")</f>
        <v/>
      </c>
      <c r="W36" s="28">
        <f>IFERROR(IF($L36="","",MAX(0,24*((IF($P36&lt;&gt;"",$P36+$Q36,NOW()))-($L36+$M36)))),"")</f>
        <v/>
      </c>
      <c r="X36" s="29">
        <f>IFERROR(IF($B36="","",INDEX('Key Inventory'!$I$5:$I$104,MATCH($B36,'Key Inventory'!$A$5:$A$104,0))),"")</f>
        <v/>
      </c>
      <c r="Y36" s="25">
        <f>IFERROR(IF(AND(OR($V36="Checked Out",$V36="Overdue"),$X36&gt;=Dashboard!$B$9),"Review",""),"")</f>
        <v/>
      </c>
      <c r="Z36" s="24" t="n"/>
      <c r="AA36" s="25">
        <f>IFERROR(IF(OR($V36="Checked Out",$V36="Overdue"),$B36,""),"")</f>
        <v/>
      </c>
    </row>
    <row r="37">
      <c r="A37" s="24" t="n"/>
      <c r="B37" s="24" t="n"/>
      <c r="C37" s="25">
        <f>IFERROR(IF($B37="","",INDEX('Key Inventory'!$B$5:$B$104,MATCH($B37,'Key Inventory'!$A$5:$A$104,0))),"")</f>
        <v/>
      </c>
      <c r="D37" s="25">
        <f>IFERROR(IF($B37="","",INDEX('Key Inventory'!$C$5:$C$104,MATCH($B37,'Key Inventory'!$A$5:$A$104,0))),"")</f>
        <v/>
      </c>
      <c r="E37" s="25">
        <f>IFERROR(IF($B37="","",INDEX('Key Inventory'!$D$5:$D$104,MATCH($B37,'Key Inventory'!$A$5:$A$104,0))),"")</f>
        <v/>
      </c>
      <c r="F37" s="24" t="n"/>
      <c r="G37" s="24" t="n"/>
      <c r="H37" s="24" t="n"/>
      <c r="I37" s="24" t="n"/>
      <c r="J37" s="24" t="n"/>
      <c r="K37" s="24" t="n"/>
      <c r="L37" s="26" t="n"/>
      <c r="M37" s="27" t="n"/>
      <c r="N37" s="26" t="n"/>
      <c r="O37" s="27" t="n"/>
      <c r="P37" s="26" t="n"/>
      <c r="Q37" s="27" t="n"/>
      <c r="R37" s="24" t="n"/>
      <c r="S37" s="24" t="n"/>
      <c r="T37" s="24" t="n"/>
      <c r="U37" s="24" t="n"/>
      <c r="V37" s="25">
        <f>IFERROR(IF(OR($A37="",$B37=""),"",IF($P37&lt;&gt;"","Returned",IF(NOW()&gt;$N37+$O37+(Dashboard!$B$7/24),"Overdue","Checked Out"))),"")</f>
        <v/>
      </c>
      <c r="W37" s="28">
        <f>IFERROR(IF($L37="","",MAX(0,24*((IF($P37&lt;&gt;"",$P37+$Q37,NOW()))-($L37+$M37)))),"")</f>
        <v/>
      </c>
      <c r="X37" s="29">
        <f>IFERROR(IF($B37="","",INDEX('Key Inventory'!$I$5:$I$104,MATCH($B37,'Key Inventory'!$A$5:$A$104,0))),"")</f>
        <v/>
      </c>
      <c r="Y37" s="25">
        <f>IFERROR(IF(AND(OR($V37="Checked Out",$V37="Overdue"),$X37&gt;=Dashboard!$B$9),"Review",""),"")</f>
        <v/>
      </c>
      <c r="Z37" s="24" t="n"/>
      <c r="AA37" s="25">
        <f>IFERROR(IF(OR($V37="Checked Out",$V37="Overdue"),$B37,""),"")</f>
        <v/>
      </c>
    </row>
    <row r="38">
      <c r="A38" s="24" t="n"/>
      <c r="B38" s="24" t="n"/>
      <c r="C38" s="25">
        <f>IFERROR(IF($B38="","",INDEX('Key Inventory'!$B$5:$B$104,MATCH($B38,'Key Inventory'!$A$5:$A$104,0))),"")</f>
        <v/>
      </c>
      <c r="D38" s="25">
        <f>IFERROR(IF($B38="","",INDEX('Key Inventory'!$C$5:$C$104,MATCH($B38,'Key Inventory'!$A$5:$A$104,0))),"")</f>
        <v/>
      </c>
      <c r="E38" s="25">
        <f>IFERROR(IF($B38="","",INDEX('Key Inventory'!$D$5:$D$104,MATCH($B38,'Key Inventory'!$A$5:$A$104,0))),"")</f>
        <v/>
      </c>
      <c r="F38" s="24" t="n"/>
      <c r="G38" s="24" t="n"/>
      <c r="H38" s="24" t="n"/>
      <c r="I38" s="24" t="n"/>
      <c r="J38" s="24" t="n"/>
      <c r="K38" s="24" t="n"/>
      <c r="L38" s="26" t="n"/>
      <c r="M38" s="27" t="n"/>
      <c r="N38" s="26" t="n"/>
      <c r="O38" s="27" t="n"/>
      <c r="P38" s="26" t="n"/>
      <c r="Q38" s="27" t="n"/>
      <c r="R38" s="24" t="n"/>
      <c r="S38" s="24" t="n"/>
      <c r="T38" s="24" t="n"/>
      <c r="U38" s="24" t="n"/>
      <c r="V38" s="25">
        <f>IFERROR(IF(OR($A38="",$B38=""),"",IF($P38&lt;&gt;"","Returned",IF(NOW()&gt;$N38+$O38+(Dashboard!$B$7/24),"Overdue","Checked Out"))),"")</f>
        <v/>
      </c>
      <c r="W38" s="28">
        <f>IFERROR(IF($L38="","",MAX(0,24*((IF($P38&lt;&gt;"",$P38+$Q38,NOW()))-($L38+$M38)))),"")</f>
        <v/>
      </c>
      <c r="X38" s="29">
        <f>IFERROR(IF($B38="","",INDEX('Key Inventory'!$I$5:$I$104,MATCH($B38,'Key Inventory'!$A$5:$A$104,0))),"")</f>
        <v/>
      </c>
      <c r="Y38" s="25">
        <f>IFERROR(IF(AND(OR($V38="Checked Out",$V38="Overdue"),$X38&gt;=Dashboard!$B$9),"Review",""),"")</f>
        <v/>
      </c>
      <c r="Z38" s="24" t="n"/>
      <c r="AA38" s="25">
        <f>IFERROR(IF(OR($V38="Checked Out",$V38="Overdue"),$B38,""),"")</f>
        <v/>
      </c>
    </row>
    <row r="39">
      <c r="A39" s="24" t="n"/>
      <c r="B39" s="24" t="n"/>
      <c r="C39" s="25">
        <f>IFERROR(IF($B39="","",INDEX('Key Inventory'!$B$5:$B$104,MATCH($B39,'Key Inventory'!$A$5:$A$104,0))),"")</f>
        <v/>
      </c>
      <c r="D39" s="25">
        <f>IFERROR(IF($B39="","",INDEX('Key Inventory'!$C$5:$C$104,MATCH($B39,'Key Inventory'!$A$5:$A$104,0))),"")</f>
        <v/>
      </c>
      <c r="E39" s="25">
        <f>IFERROR(IF($B39="","",INDEX('Key Inventory'!$D$5:$D$104,MATCH($B39,'Key Inventory'!$A$5:$A$104,0))),"")</f>
        <v/>
      </c>
      <c r="F39" s="24" t="n"/>
      <c r="G39" s="24" t="n"/>
      <c r="H39" s="24" t="n"/>
      <c r="I39" s="24" t="n"/>
      <c r="J39" s="24" t="n"/>
      <c r="K39" s="24" t="n"/>
      <c r="L39" s="26" t="n"/>
      <c r="M39" s="27" t="n"/>
      <c r="N39" s="26" t="n"/>
      <c r="O39" s="27" t="n"/>
      <c r="P39" s="26" t="n"/>
      <c r="Q39" s="27" t="n"/>
      <c r="R39" s="24" t="n"/>
      <c r="S39" s="24" t="n"/>
      <c r="T39" s="24" t="n"/>
      <c r="U39" s="24" t="n"/>
      <c r="V39" s="25">
        <f>IFERROR(IF(OR($A39="",$B39=""),"",IF($P39&lt;&gt;"","Returned",IF(NOW()&gt;$N39+$O39+(Dashboard!$B$7/24),"Overdue","Checked Out"))),"")</f>
        <v/>
      </c>
      <c r="W39" s="28">
        <f>IFERROR(IF($L39="","",MAX(0,24*((IF($P39&lt;&gt;"",$P39+$Q39,NOW()))-($L39+$M39)))),"")</f>
        <v/>
      </c>
      <c r="X39" s="29">
        <f>IFERROR(IF($B39="","",INDEX('Key Inventory'!$I$5:$I$104,MATCH($B39,'Key Inventory'!$A$5:$A$104,0))),"")</f>
        <v/>
      </c>
      <c r="Y39" s="25">
        <f>IFERROR(IF(AND(OR($V39="Checked Out",$V39="Overdue"),$X39&gt;=Dashboard!$B$9),"Review",""),"")</f>
        <v/>
      </c>
      <c r="Z39" s="24" t="n"/>
      <c r="AA39" s="25">
        <f>IFERROR(IF(OR($V39="Checked Out",$V39="Overdue"),$B39,""),"")</f>
        <v/>
      </c>
    </row>
    <row r="40">
      <c r="A40" s="24" t="n"/>
      <c r="B40" s="24" t="n"/>
      <c r="C40" s="25">
        <f>IFERROR(IF($B40="","",INDEX('Key Inventory'!$B$5:$B$104,MATCH($B40,'Key Inventory'!$A$5:$A$104,0))),"")</f>
        <v/>
      </c>
      <c r="D40" s="25">
        <f>IFERROR(IF($B40="","",INDEX('Key Inventory'!$C$5:$C$104,MATCH($B40,'Key Inventory'!$A$5:$A$104,0))),"")</f>
        <v/>
      </c>
      <c r="E40" s="25">
        <f>IFERROR(IF($B40="","",INDEX('Key Inventory'!$D$5:$D$104,MATCH($B40,'Key Inventory'!$A$5:$A$104,0))),"")</f>
        <v/>
      </c>
      <c r="F40" s="24" t="n"/>
      <c r="G40" s="24" t="n"/>
      <c r="H40" s="24" t="n"/>
      <c r="I40" s="24" t="n"/>
      <c r="J40" s="24" t="n"/>
      <c r="K40" s="24" t="n"/>
      <c r="L40" s="26" t="n"/>
      <c r="M40" s="27" t="n"/>
      <c r="N40" s="26" t="n"/>
      <c r="O40" s="27" t="n"/>
      <c r="P40" s="26" t="n"/>
      <c r="Q40" s="27" t="n"/>
      <c r="R40" s="24" t="n"/>
      <c r="S40" s="24" t="n"/>
      <c r="T40" s="24" t="n"/>
      <c r="U40" s="24" t="n"/>
      <c r="V40" s="25">
        <f>IFERROR(IF(OR($A40="",$B40=""),"",IF($P40&lt;&gt;"","Returned",IF(NOW()&gt;$N40+$O40+(Dashboard!$B$7/24),"Overdue","Checked Out"))),"")</f>
        <v/>
      </c>
      <c r="W40" s="28">
        <f>IFERROR(IF($L40="","",MAX(0,24*((IF($P40&lt;&gt;"",$P40+$Q40,NOW()))-($L40+$M40)))),"")</f>
        <v/>
      </c>
      <c r="X40" s="29">
        <f>IFERROR(IF($B40="","",INDEX('Key Inventory'!$I$5:$I$104,MATCH($B40,'Key Inventory'!$A$5:$A$104,0))),"")</f>
        <v/>
      </c>
      <c r="Y40" s="25">
        <f>IFERROR(IF(AND(OR($V40="Checked Out",$V40="Overdue"),$X40&gt;=Dashboard!$B$9),"Review",""),"")</f>
        <v/>
      </c>
      <c r="Z40" s="24" t="n"/>
      <c r="AA40" s="25">
        <f>IFERROR(IF(OR($V40="Checked Out",$V40="Overdue"),$B40,""),"")</f>
        <v/>
      </c>
    </row>
    <row r="41">
      <c r="A41" s="24" t="n"/>
      <c r="B41" s="24" t="n"/>
      <c r="C41" s="25">
        <f>IFERROR(IF($B41="","",INDEX('Key Inventory'!$B$5:$B$104,MATCH($B41,'Key Inventory'!$A$5:$A$104,0))),"")</f>
        <v/>
      </c>
      <c r="D41" s="25">
        <f>IFERROR(IF($B41="","",INDEX('Key Inventory'!$C$5:$C$104,MATCH($B41,'Key Inventory'!$A$5:$A$104,0))),"")</f>
        <v/>
      </c>
      <c r="E41" s="25">
        <f>IFERROR(IF($B41="","",INDEX('Key Inventory'!$D$5:$D$104,MATCH($B41,'Key Inventory'!$A$5:$A$104,0))),"")</f>
        <v/>
      </c>
      <c r="F41" s="24" t="n"/>
      <c r="G41" s="24" t="n"/>
      <c r="H41" s="24" t="n"/>
      <c r="I41" s="24" t="n"/>
      <c r="J41" s="24" t="n"/>
      <c r="K41" s="24" t="n"/>
      <c r="L41" s="26" t="n"/>
      <c r="M41" s="27" t="n"/>
      <c r="N41" s="26" t="n"/>
      <c r="O41" s="27" t="n"/>
      <c r="P41" s="26" t="n"/>
      <c r="Q41" s="27" t="n"/>
      <c r="R41" s="24" t="n"/>
      <c r="S41" s="24" t="n"/>
      <c r="T41" s="24" t="n"/>
      <c r="U41" s="24" t="n"/>
      <c r="V41" s="25">
        <f>IFERROR(IF(OR($A41="",$B41=""),"",IF($P41&lt;&gt;"","Returned",IF(NOW()&gt;$N41+$O41+(Dashboard!$B$7/24),"Overdue","Checked Out"))),"")</f>
        <v/>
      </c>
      <c r="W41" s="28">
        <f>IFERROR(IF($L41="","",MAX(0,24*((IF($P41&lt;&gt;"",$P41+$Q41,NOW()))-($L41+$M41)))),"")</f>
        <v/>
      </c>
      <c r="X41" s="29">
        <f>IFERROR(IF($B41="","",INDEX('Key Inventory'!$I$5:$I$104,MATCH($B41,'Key Inventory'!$A$5:$A$104,0))),"")</f>
        <v/>
      </c>
      <c r="Y41" s="25">
        <f>IFERROR(IF(AND(OR($V41="Checked Out",$V41="Overdue"),$X41&gt;=Dashboard!$B$9),"Review",""),"")</f>
        <v/>
      </c>
      <c r="Z41" s="24" t="n"/>
      <c r="AA41" s="25">
        <f>IFERROR(IF(OR($V41="Checked Out",$V41="Overdue"),$B41,""),"")</f>
        <v/>
      </c>
    </row>
    <row r="42">
      <c r="A42" s="24" t="n"/>
      <c r="B42" s="24" t="n"/>
      <c r="C42" s="25">
        <f>IFERROR(IF($B42="","",INDEX('Key Inventory'!$B$5:$B$104,MATCH($B42,'Key Inventory'!$A$5:$A$104,0))),"")</f>
        <v/>
      </c>
      <c r="D42" s="25">
        <f>IFERROR(IF($B42="","",INDEX('Key Inventory'!$C$5:$C$104,MATCH($B42,'Key Inventory'!$A$5:$A$104,0))),"")</f>
        <v/>
      </c>
      <c r="E42" s="25">
        <f>IFERROR(IF($B42="","",INDEX('Key Inventory'!$D$5:$D$104,MATCH($B42,'Key Inventory'!$A$5:$A$104,0))),"")</f>
        <v/>
      </c>
      <c r="F42" s="24" t="n"/>
      <c r="G42" s="24" t="n"/>
      <c r="H42" s="24" t="n"/>
      <c r="I42" s="24" t="n"/>
      <c r="J42" s="24" t="n"/>
      <c r="K42" s="24" t="n"/>
      <c r="L42" s="26" t="n"/>
      <c r="M42" s="27" t="n"/>
      <c r="N42" s="26" t="n"/>
      <c r="O42" s="27" t="n"/>
      <c r="P42" s="26" t="n"/>
      <c r="Q42" s="27" t="n"/>
      <c r="R42" s="24" t="n"/>
      <c r="S42" s="24" t="n"/>
      <c r="T42" s="24" t="n"/>
      <c r="U42" s="24" t="n"/>
      <c r="V42" s="25">
        <f>IFERROR(IF(OR($A42="",$B42=""),"",IF($P42&lt;&gt;"","Returned",IF(NOW()&gt;$N42+$O42+(Dashboard!$B$7/24),"Overdue","Checked Out"))),"")</f>
        <v/>
      </c>
      <c r="W42" s="28">
        <f>IFERROR(IF($L42="","",MAX(0,24*((IF($P42&lt;&gt;"",$P42+$Q42,NOW()))-($L42+$M42)))),"")</f>
        <v/>
      </c>
      <c r="X42" s="29">
        <f>IFERROR(IF($B42="","",INDEX('Key Inventory'!$I$5:$I$104,MATCH($B42,'Key Inventory'!$A$5:$A$104,0))),"")</f>
        <v/>
      </c>
      <c r="Y42" s="25">
        <f>IFERROR(IF(AND(OR($V42="Checked Out",$V42="Overdue"),$X42&gt;=Dashboard!$B$9),"Review",""),"")</f>
        <v/>
      </c>
      <c r="Z42" s="24" t="n"/>
      <c r="AA42" s="25">
        <f>IFERROR(IF(OR($V42="Checked Out",$V42="Overdue"),$B42,""),"")</f>
        <v/>
      </c>
    </row>
    <row r="43">
      <c r="A43" s="24" t="n"/>
      <c r="B43" s="24" t="n"/>
      <c r="C43" s="25">
        <f>IFERROR(IF($B43="","",INDEX('Key Inventory'!$B$5:$B$104,MATCH($B43,'Key Inventory'!$A$5:$A$104,0))),"")</f>
        <v/>
      </c>
      <c r="D43" s="25">
        <f>IFERROR(IF($B43="","",INDEX('Key Inventory'!$C$5:$C$104,MATCH($B43,'Key Inventory'!$A$5:$A$104,0))),"")</f>
        <v/>
      </c>
      <c r="E43" s="25">
        <f>IFERROR(IF($B43="","",INDEX('Key Inventory'!$D$5:$D$104,MATCH($B43,'Key Inventory'!$A$5:$A$104,0))),"")</f>
        <v/>
      </c>
      <c r="F43" s="24" t="n"/>
      <c r="G43" s="24" t="n"/>
      <c r="H43" s="24" t="n"/>
      <c r="I43" s="24" t="n"/>
      <c r="J43" s="24" t="n"/>
      <c r="K43" s="24" t="n"/>
      <c r="L43" s="26" t="n"/>
      <c r="M43" s="27" t="n"/>
      <c r="N43" s="26" t="n"/>
      <c r="O43" s="27" t="n"/>
      <c r="P43" s="26" t="n"/>
      <c r="Q43" s="27" t="n"/>
      <c r="R43" s="24" t="n"/>
      <c r="S43" s="24" t="n"/>
      <c r="T43" s="24" t="n"/>
      <c r="U43" s="24" t="n"/>
      <c r="V43" s="25">
        <f>IFERROR(IF(OR($A43="",$B43=""),"",IF($P43&lt;&gt;"","Returned",IF(NOW()&gt;$N43+$O43+(Dashboard!$B$7/24),"Overdue","Checked Out"))),"")</f>
        <v/>
      </c>
      <c r="W43" s="28">
        <f>IFERROR(IF($L43="","",MAX(0,24*((IF($P43&lt;&gt;"",$P43+$Q43,NOW()))-($L43+$M43)))),"")</f>
        <v/>
      </c>
      <c r="X43" s="29">
        <f>IFERROR(IF($B43="","",INDEX('Key Inventory'!$I$5:$I$104,MATCH($B43,'Key Inventory'!$A$5:$A$104,0))),"")</f>
        <v/>
      </c>
      <c r="Y43" s="25">
        <f>IFERROR(IF(AND(OR($V43="Checked Out",$V43="Overdue"),$X43&gt;=Dashboard!$B$9),"Review",""),"")</f>
        <v/>
      </c>
      <c r="Z43" s="24" t="n"/>
      <c r="AA43" s="25">
        <f>IFERROR(IF(OR($V43="Checked Out",$V43="Overdue"),$B43,""),"")</f>
        <v/>
      </c>
    </row>
    <row r="44">
      <c r="A44" s="24" t="n"/>
      <c r="B44" s="24" t="n"/>
      <c r="C44" s="25">
        <f>IFERROR(IF($B44="","",INDEX('Key Inventory'!$B$5:$B$104,MATCH($B44,'Key Inventory'!$A$5:$A$104,0))),"")</f>
        <v/>
      </c>
      <c r="D44" s="25">
        <f>IFERROR(IF($B44="","",INDEX('Key Inventory'!$C$5:$C$104,MATCH($B44,'Key Inventory'!$A$5:$A$104,0))),"")</f>
        <v/>
      </c>
      <c r="E44" s="25">
        <f>IFERROR(IF($B44="","",INDEX('Key Inventory'!$D$5:$D$104,MATCH($B44,'Key Inventory'!$A$5:$A$104,0))),"")</f>
        <v/>
      </c>
      <c r="F44" s="24" t="n"/>
      <c r="G44" s="24" t="n"/>
      <c r="H44" s="24" t="n"/>
      <c r="I44" s="24" t="n"/>
      <c r="J44" s="24" t="n"/>
      <c r="K44" s="24" t="n"/>
      <c r="L44" s="26" t="n"/>
      <c r="M44" s="27" t="n"/>
      <c r="N44" s="26" t="n"/>
      <c r="O44" s="27" t="n"/>
      <c r="P44" s="26" t="n"/>
      <c r="Q44" s="27" t="n"/>
      <c r="R44" s="24" t="n"/>
      <c r="S44" s="24" t="n"/>
      <c r="T44" s="24" t="n"/>
      <c r="U44" s="24" t="n"/>
      <c r="V44" s="25">
        <f>IFERROR(IF(OR($A44="",$B44=""),"",IF($P44&lt;&gt;"","Returned",IF(NOW()&gt;$N44+$O44+(Dashboard!$B$7/24),"Overdue","Checked Out"))),"")</f>
        <v/>
      </c>
      <c r="W44" s="28">
        <f>IFERROR(IF($L44="","",MAX(0,24*((IF($P44&lt;&gt;"",$P44+$Q44,NOW()))-($L44+$M44)))),"")</f>
        <v/>
      </c>
      <c r="X44" s="29">
        <f>IFERROR(IF($B44="","",INDEX('Key Inventory'!$I$5:$I$104,MATCH($B44,'Key Inventory'!$A$5:$A$104,0))),"")</f>
        <v/>
      </c>
      <c r="Y44" s="25">
        <f>IFERROR(IF(AND(OR($V44="Checked Out",$V44="Overdue"),$X44&gt;=Dashboard!$B$9),"Review",""),"")</f>
        <v/>
      </c>
      <c r="Z44" s="24" t="n"/>
      <c r="AA44" s="25">
        <f>IFERROR(IF(OR($V44="Checked Out",$V44="Overdue"),$B44,""),"")</f>
        <v/>
      </c>
    </row>
    <row r="45">
      <c r="A45" s="24" t="n"/>
      <c r="B45" s="24" t="n"/>
      <c r="C45" s="25">
        <f>IFERROR(IF($B45="","",INDEX('Key Inventory'!$B$5:$B$104,MATCH($B45,'Key Inventory'!$A$5:$A$104,0))),"")</f>
        <v/>
      </c>
      <c r="D45" s="25">
        <f>IFERROR(IF($B45="","",INDEX('Key Inventory'!$C$5:$C$104,MATCH($B45,'Key Inventory'!$A$5:$A$104,0))),"")</f>
        <v/>
      </c>
      <c r="E45" s="25">
        <f>IFERROR(IF($B45="","",INDEX('Key Inventory'!$D$5:$D$104,MATCH($B45,'Key Inventory'!$A$5:$A$104,0))),"")</f>
        <v/>
      </c>
      <c r="F45" s="24" t="n"/>
      <c r="G45" s="24" t="n"/>
      <c r="H45" s="24" t="n"/>
      <c r="I45" s="24" t="n"/>
      <c r="J45" s="24" t="n"/>
      <c r="K45" s="24" t="n"/>
      <c r="L45" s="26" t="n"/>
      <c r="M45" s="27" t="n"/>
      <c r="N45" s="26" t="n"/>
      <c r="O45" s="27" t="n"/>
      <c r="P45" s="26" t="n"/>
      <c r="Q45" s="27" t="n"/>
      <c r="R45" s="24" t="n"/>
      <c r="S45" s="24" t="n"/>
      <c r="T45" s="24" t="n"/>
      <c r="U45" s="24" t="n"/>
      <c r="V45" s="25">
        <f>IFERROR(IF(OR($A45="",$B45=""),"",IF($P45&lt;&gt;"","Returned",IF(NOW()&gt;$N45+$O45+(Dashboard!$B$7/24),"Overdue","Checked Out"))),"")</f>
        <v/>
      </c>
      <c r="W45" s="28">
        <f>IFERROR(IF($L45="","",MAX(0,24*((IF($P45&lt;&gt;"",$P45+$Q45,NOW()))-($L45+$M45)))),"")</f>
        <v/>
      </c>
      <c r="X45" s="29">
        <f>IFERROR(IF($B45="","",INDEX('Key Inventory'!$I$5:$I$104,MATCH($B45,'Key Inventory'!$A$5:$A$104,0))),"")</f>
        <v/>
      </c>
      <c r="Y45" s="25">
        <f>IFERROR(IF(AND(OR($V45="Checked Out",$V45="Overdue"),$X45&gt;=Dashboard!$B$9),"Review",""),"")</f>
        <v/>
      </c>
      <c r="Z45" s="24" t="n"/>
      <c r="AA45" s="25">
        <f>IFERROR(IF(OR($V45="Checked Out",$V45="Overdue"),$B45,""),"")</f>
        <v/>
      </c>
    </row>
    <row r="46">
      <c r="A46" s="24" t="n"/>
      <c r="B46" s="24" t="n"/>
      <c r="C46" s="25">
        <f>IFERROR(IF($B46="","",INDEX('Key Inventory'!$B$5:$B$104,MATCH($B46,'Key Inventory'!$A$5:$A$104,0))),"")</f>
        <v/>
      </c>
      <c r="D46" s="25">
        <f>IFERROR(IF($B46="","",INDEX('Key Inventory'!$C$5:$C$104,MATCH($B46,'Key Inventory'!$A$5:$A$104,0))),"")</f>
        <v/>
      </c>
      <c r="E46" s="25">
        <f>IFERROR(IF($B46="","",INDEX('Key Inventory'!$D$5:$D$104,MATCH($B46,'Key Inventory'!$A$5:$A$104,0))),"")</f>
        <v/>
      </c>
      <c r="F46" s="24" t="n"/>
      <c r="G46" s="24" t="n"/>
      <c r="H46" s="24" t="n"/>
      <c r="I46" s="24" t="n"/>
      <c r="J46" s="24" t="n"/>
      <c r="K46" s="24" t="n"/>
      <c r="L46" s="26" t="n"/>
      <c r="M46" s="27" t="n"/>
      <c r="N46" s="26" t="n"/>
      <c r="O46" s="27" t="n"/>
      <c r="P46" s="26" t="n"/>
      <c r="Q46" s="27" t="n"/>
      <c r="R46" s="24" t="n"/>
      <c r="S46" s="24" t="n"/>
      <c r="T46" s="24" t="n"/>
      <c r="U46" s="24" t="n"/>
      <c r="V46" s="25">
        <f>IFERROR(IF(OR($A46="",$B46=""),"",IF($P46&lt;&gt;"","Returned",IF(NOW()&gt;$N46+$O46+(Dashboard!$B$7/24),"Overdue","Checked Out"))),"")</f>
        <v/>
      </c>
      <c r="W46" s="28">
        <f>IFERROR(IF($L46="","",MAX(0,24*((IF($P46&lt;&gt;"",$P46+$Q46,NOW()))-($L46+$M46)))),"")</f>
        <v/>
      </c>
      <c r="X46" s="29">
        <f>IFERROR(IF($B46="","",INDEX('Key Inventory'!$I$5:$I$104,MATCH($B46,'Key Inventory'!$A$5:$A$104,0))),"")</f>
        <v/>
      </c>
      <c r="Y46" s="25">
        <f>IFERROR(IF(AND(OR($V46="Checked Out",$V46="Overdue"),$X46&gt;=Dashboard!$B$9),"Review",""),"")</f>
        <v/>
      </c>
      <c r="Z46" s="24" t="n"/>
      <c r="AA46" s="25">
        <f>IFERROR(IF(OR($V46="Checked Out",$V46="Overdue"),$B46,""),"")</f>
        <v/>
      </c>
    </row>
    <row r="47">
      <c r="A47" s="24" t="n"/>
      <c r="B47" s="24" t="n"/>
      <c r="C47" s="25">
        <f>IFERROR(IF($B47="","",INDEX('Key Inventory'!$B$5:$B$104,MATCH($B47,'Key Inventory'!$A$5:$A$104,0))),"")</f>
        <v/>
      </c>
      <c r="D47" s="25">
        <f>IFERROR(IF($B47="","",INDEX('Key Inventory'!$C$5:$C$104,MATCH($B47,'Key Inventory'!$A$5:$A$104,0))),"")</f>
        <v/>
      </c>
      <c r="E47" s="25">
        <f>IFERROR(IF($B47="","",INDEX('Key Inventory'!$D$5:$D$104,MATCH($B47,'Key Inventory'!$A$5:$A$104,0))),"")</f>
        <v/>
      </c>
      <c r="F47" s="24" t="n"/>
      <c r="G47" s="24" t="n"/>
      <c r="H47" s="24" t="n"/>
      <c r="I47" s="24" t="n"/>
      <c r="J47" s="24" t="n"/>
      <c r="K47" s="24" t="n"/>
      <c r="L47" s="26" t="n"/>
      <c r="M47" s="27" t="n"/>
      <c r="N47" s="26" t="n"/>
      <c r="O47" s="27" t="n"/>
      <c r="P47" s="26" t="n"/>
      <c r="Q47" s="27" t="n"/>
      <c r="R47" s="24" t="n"/>
      <c r="S47" s="24" t="n"/>
      <c r="T47" s="24" t="n"/>
      <c r="U47" s="24" t="n"/>
      <c r="V47" s="25">
        <f>IFERROR(IF(OR($A47="",$B47=""),"",IF($P47&lt;&gt;"","Returned",IF(NOW()&gt;$N47+$O47+(Dashboard!$B$7/24),"Overdue","Checked Out"))),"")</f>
        <v/>
      </c>
      <c r="W47" s="28">
        <f>IFERROR(IF($L47="","",MAX(0,24*((IF($P47&lt;&gt;"",$P47+$Q47,NOW()))-($L47+$M47)))),"")</f>
        <v/>
      </c>
      <c r="X47" s="29">
        <f>IFERROR(IF($B47="","",INDEX('Key Inventory'!$I$5:$I$104,MATCH($B47,'Key Inventory'!$A$5:$A$104,0))),"")</f>
        <v/>
      </c>
      <c r="Y47" s="25">
        <f>IFERROR(IF(AND(OR($V47="Checked Out",$V47="Overdue"),$X47&gt;=Dashboard!$B$9),"Review",""),"")</f>
        <v/>
      </c>
      <c r="Z47" s="24" t="n"/>
      <c r="AA47" s="25">
        <f>IFERROR(IF(OR($V47="Checked Out",$V47="Overdue"),$B47,""),"")</f>
        <v/>
      </c>
    </row>
    <row r="48">
      <c r="A48" s="24" t="n"/>
      <c r="B48" s="24" t="n"/>
      <c r="C48" s="25">
        <f>IFERROR(IF($B48="","",INDEX('Key Inventory'!$B$5:$B$104,MATCH($B48,'Key Inventory'!$A$5:$A$104,0))),"")</f>
        <v/>
      </c>
      <c r="D48" s="25">
        <f>IFERROR(IF($B48="","",INDEX('Key Inventory'!$C$5:$C$104,MATCH($B48,'Key Inventory'!$A$5:$A$104,0))),"")</f>
        <v/>
      </c>
      <c r="E48" s="25">
        <f>IFERROR(IF($B48="","",INDEX('Key Inventory'!$D$5:$D$104,MATCH($B48,'Key Inventory'!$A$5:$A$104,0))),"")</f>
        <v/>
      </c>
      <c r="F48" s="24" t="n"/>
      <c r="G48" s="24" t="n"/>
      <c r="H48" s="24" t="n"/>
      <c r="I48" s="24" t="n"/>
      <c r="J48" s="24" t="n"/>
      <c r="K48" s="24" t="n"/>
      <c r="L48" s="26" t="n"/>
      <c r="M48" s="27" t="n"/>
      <c r="N48" s="26" t="n"/>
      <c r="O48" s="27" t="n"/>
      <c r="P48" s="26" t="n"/>
      <c r="Q48" s="27" t="n"/>
      <c r="R48" s="24" t="n"/>
      <c r="S48" s="24" t="n"/>
      <c r="T48" s="24" t="n"/>
      <c r="U48" s="24" t="n"/>
      <c r="V48" s="25">
        <f>IFERROR(IF(OR($A48="",$B48=""),"",IF($P48&lt;&gt;"","Returned",IF(NOW()&gt;$N48+$O48+(Dashboard!$B$7/24),"Overdue","Checked Out"))),"")</f>
        <v/>
      </c>
      <c r="W48" s="28">
        <f>IFERROR(IF($L48="","",MAX(0,24*((IF($P48&lt;&gt;"",$P48+$Q48,NOW()))-($L48+$M48)))),"")</f>
        <v/>
      </c>
      <c r="X48" s="29">
        <f>IFERROR(IF($B48="","",INDEX('Key Inventory'!$I$5:$I$104,MATCH($B48,'Key Inventory'!$A$5:$A$104,0))),"")</f>
        <v/>
      </c>
      <c r="Y48" s="25">
        <f>IFERROR(IF(AND(OR($V48="Checked Out",$V48="Overdue"),$X48&gt;=Dashboard!$B$9),"Review",""),"")</f>
        <v/>
      </c>
      <c r="Z48" s="24" t="n"/>
      <c r="AA48" s="25">
        <f>IFERROR(IF(OR($V48="Checked Out",$V48="Overdue"),$B48,""),"")</f>
        <v/>
      </c>
    </row>
    <row r="49">
      <c r="A49" s="24" t="n"/>
      <c r="B49" s="24" t="n"/>
      <c r="C49" s="25">
        <f>IFERROR(IF($B49="","",INDEX('Key Inventory'!$B$5:$B$104,MATCH($B49,'Key Inventory'!$A$5:$A$104,0))),"")</f>
        <v/>
      </c>
      <c r="D49" s="25">
        <f>IFERROR(IF($B49="","",INDEX('Key Inventory'!$C$5:$C$104,MATCH($B49,'Key Inventory'!$A$5:$A$104,0))),"")</f>
        <v/>
      </c>
      <c r="E49" s="25">
        <f>IFERROR(IF($B49="","",INDEX('Key Inventory'!$D$5:$D$104,MATCH($B49,'Key Inventory'!$A$5:$A$104,0))),"")</f>
        <v/>
      </c>
      <c r="F49" s="24" t="n"/>
      <c r="G49" s="24" t="n"/>
      <c r="H49" s="24" t="n"/>
      <c r="I49" s="24" t="n"/>
      <c r="J49" s="24" t="n"/>
      <c r="K49" s="24" t="n"/>
      <c r="L49" s="26" t="n"/>
      <c r="M49" s="27" t="n"/>
      <c r="N49" s="26" t="n"/>
      <c r="O49" s="27" t="n"/>
      <c r="P49" s="26" t="n"/>
      <c r="Q49" s="27" t="n"/>
      <c r="R49" s="24" t="n"/>
      <c r="S49" s="24" t="n"/>
      <c r="T49" s="24" t="n"/>
      <c r="U49" s="24" t="n"/>
      <c r="V49" s="25">
        <f>IFERROR(IF(OR($A49="",$B49=""),"",IF($P49&lt;&gt;"","Returned",IF(NOW()&gt;$N49+$O49+(Dashboard!$B$7/24),"Overdue","Checked Out"))),"")</f>
        <v/>
      </c>
      <c r="W49" s="28">
        <f>IFERROR(IF($L49="","",MAX(0,24*((IF($P49&lt;&gt;"",$P49+$Q49,NOW()))-($L49+$M49)))),"")</f>
        <v/>
      </c>
      <c r="X49" s="29">
        <f>IFERROR(IF($B49="","",INDEX('Key Inventory'!$I$5:$I$104,MATCH($B49,'Key Inventory'!$A$5:$A$104,0))),"")</f>
        <v/>
      </c>
      <c r="Y49" s="25">
        <f>IFERROR(IF(AND(OR($V49="Checked Out",$V49="Overdue"),$X49&gt;=Dashboard!$B$9),"Review",""),"")</f>
        <v/>
      </c>
      <c r="Z49" s="24" t="n"/>
      <c r="AA49" s="25">
        <f>IFERROR(IF(OR($V49="Checked Out",$V49="Overdue"),$B49,""),"")</f>
        <v/>
      </c>
    </row>
    <row r="50">
      <c r="A50" s="24" t="n"/>
      <c r="B50" s="24" t="n"/>
      <c r="C50" s="25">
        <f>IFERROR(IF($B50="","",INDEX('Key Inventory'!$B$5:$B$104,MATCH($B50,'Key Inventory'!$A$5:$A$104,0))),"")</f>
        <v/>
      </c>
      <c r="D50" s="25">
        <f>IFERROR(IF($B50="","",INDEX('Key Inventory'!$C$5:$C$104,MATCH($B50,'Key Inventory'!$A$5:$A$104,0))),"")</f>
        <v/>
      </c>
      <c r="E50" s="25">
        <f>IFERROR(IF($B50="","",INDEX('Key Inventory'!$D$5:$D$104,MATCH($B50,'Key Inventory'!$A$5:$A$104,0))),"")</f>
        <v/>
      </c>
      <c r="F50" s="24" t="n"/>
      <c r="G50" s="24" t="n"/>
      <c r="H50" s="24" t="n"/>
      <c r="I50" s="24" t="n"/>
      <c r="J50" s="24" t="n"/>
      <c r="K50" s="24" t="n"/>
      <c r="L50" s="26" t="n"/>
      <c r="M50" s="27" t="n"/>
      <c r="N50" s="26" t="n"/>
      <c r="O50" s="27" t="n"/>
      <c r="P50" s="26" t="n"/>
      <c r="Q50" s="27" t="n"/>
      <c r="R50" s="24" t="n"/>
      <c r="S50" s="24" t="n"/>
      <c r="T50" s="24" t="n"/>
      <c r="U50" s="24" t="n"/>
      <c r="V50" s="25">
        <f>IFERROR(IF(OR($A50="",$B50=""),"",IF($P50&lt;&gt;"","Returned",IF(NOW()&gt;$N50+$O50+(Dashboard!$B$7/24),"Overdue","Checked Out"))),"")</f>
        <v/>
      </c>
      <c r="W50" s="28">
        <f>IFERROR(IF($L50="","",MAX(0,24*((IF($P50&lt;&gt;"",$P50+$Q50,NOW()))-($L50+$M50)))),"")</f>
        <v/>
      </c>
      <c r="X50" s="29">
        <f>IFERROR(IF($B50="","",INDEX('Key Inventory'!$I$5:$I$104,MATCH($B50,'Key Inventory'!$A$5:$A$104,0))),"")</f>
        <v/>
      </c>
      <c r="Y50" s="25">
        <f>IFERROR(IF(AND(OR($V50="Checked Out",$V50="Overdue"),$X50&gt;=Dashboard!$B$9),"Review",""),"")</f>
        <v/>
      </c>
      <c r="Z50" s="24" t="n"/>
      <c r="AA50" s="25">
        <f>IFERROR(IF(OR($V50="Checked Out",$V50="Overdue"),$B50,""),"")</f>
        <v/>
      </c>
    </row>
    <row r="51">
      <c r="A51" s="24" t="n"/>
      <c r="B51" s="24" t="n"/>
      <c r="C51" s="25">
        <f>IFERROR(IF($B51="","",INDEX('Key Inventory'!$B$5:$B$104,MATCH($B51,'Key Inventory'!$A$5:$A$104,0))),"")</f>
        <v/>
      </c>
      <c r="D51" s="25">
        <f>IFERROR(IF($B51="","",INDEX('Key Inventory'!$C$5:$C$104,MATCH($B51,'Key Inventory'!$A$5:$A$104,0))),"")</f>
        <v/>
      </c>
      <c r="E51" s="25">
        <f>IFERROR(IF($B51="","",INDEX('Key Inventory'!$D$5:$D$104,MATCH($B51,'Key Inventory'!$A$5:$A$104,0))),"")</f>
        <v/>
      </c>
      <c r="F51" s="24" t="n"/>
      <c r="G51" s="24" t="n"/>
      <c r="H51" s="24" t="n"/>
      <c r="I51" s="24" t="n"/>
      <c r="J51" s="24" t="n"/>
      <c r="K51" s="24" t="n"/>
      <c r="L51" s="26" t="n"/>
      <c r="M51" s="27" t="n"/>
      <c r="N51" s="26" t="n"/>
      <c r="O51" s="27" t="n"/>
      <c r="P51" s="26" t="n"/>
      <c r="Q51" s="27" t="n"/>
      <c r="R51" s="24" t="n"/>
      <c r="S51" s="24" t="n"/>
      <c r="T51" s="24" t="n"/>
      <c r="U51" s="24" t="n"/>
      <c r="V51" s="25">
        <f>IFERROR(IF(OR($A51="",$B51=""),"",IF($P51&lt;&gt;"","Returned",IF(NOW()&gt;$N51+$O51+(Dashboard!$B$7/24),"Overdue","Checked Out"))),"")</f>
        <v/>
      </c>
      <c r="W51" s="28">
        <f>IFERROR(IF($L51="","",MAX(0,24*((IF($P51&lt;&gt;"",$P51+$Q51,NOW()))-($L51+$M51)))),"")</f>
        <v/>
      </c>
      <c r="X51" s="29">
        <f>IFERROR(IF($B51="","",INDEX('Key Inventory'!$I$5:$I$104,MATCH($B51,'Key Inventory'!$A$5:$A$104,0))),"")</f>
        <v/>
      </c>
      <c r="Y51" s="25">
        <f>IFERROR(IF(AND(OR($V51="Checked Out",$V51="Overdue"),$X51&gt;=Dashboard!$B$9),"Review",""),"")</f>
        <v/>
      </c>
      <c r="Z51" s="24" t="n"/>
      <c r="AA51" s="25">
        <f>IFERROR(IF(OR($V51="Checked Out",$V51="Overdue"),$B51,""),"")</f>
        <v/>
      </c>
    </row>
    <row r="52">
      <c r="A52" s="24" t="n"/>
      <c r="B52" s="24" t="n"/>
      <c r="C52" s="25">
        <f>IFERROR(IF($B52="","",INDEX('Key Inventory'!$B$5:$B$104,MATCH($B52,'Key Inventory'!$A$5:$A$104,0))),"")</f>
        <v/>
      </c>
      <c r="D52" s="25">
        <f>IFERROR(IF($B52="","",INDEX('Key Inventory'!$C$5:$C$104,MATCH($B52,'Key Inventory'!$A$5:$A$104,0))),"")</f>
        <v/>
      </c>
      <c r="E52" s="25">
        <f>IFERROR(IF($B52="","",INDEX('Key Inventory'!$D$5:$D$104,MATCH($B52,'Key Inventory'!$A$5:$A$104,0))),"")</f>
        <v/>
      </c>
      <c r="F52" s="24" t="n"/>
      <c r="G52" s="24" t="n"/>
      <c r="H52" s="24" t="n"/>
      <c r="I52" s="24" t="n"/>
      <c r="J52" s="24" t="n"/>
      <c r="K52" s="24" t="n"/>
      <c r="L52" s="26" t="n"/>
      <c r="M52" s="27" t="n"/>
      <c r="N52" s="26" t="n"/>
      <c r="O52" s="27" t="n"/>
      <c r="P52" s="26" t="n"/>
      <c r="Q52" s="27" t="n"/>
      <c r="R52" s="24" t="n"/>
      <c r="S52" s="24" t="n"/>
      <c r="T52" s="24" t="n"/>
      <c r="U52" s="24" t="n"/>
      <c r="V52" s="25">
        <f>IFERROR(IF(OR($A52="",$B52=""),"",IF($P52&lt;&gt;"","Returned",IF(NOW()&gt;$N52+$O52+(Dashboard!$B$7/24),"Overdue","Checked Out"))),"")</f>
        <v/>
      </c>
      <c r="W52" s="28">
        <f>IFERROR(IF($L52="","",MAX(0,24*((IF($P52&lt;&gt;"",$P52+$Q52,NOW()))-($L52+$M52)))),"")</f>
        <v/>
      </c>
      <c r="X52" s="29">
        <f>IFERROR(IF($B52="","",INDEX('Key Inventory'!$I$5:$I$104,MATCH($B52,'Key Inventory'!$A$5:$A$104,0))),"")</f>
        <v/>
      </c>
      <c r="Y52" s="25">
        <f>IFERROR(IF(AND(OR($V52="Checked Out",$V52="Overdue"),$X52&gt;=Dashboard!$B$9),"Review",""),"")</f>
        <v/>
      </c>
      <c r="Z52" s="24" t="n"/>
      <c r="AA52" s="25">
        <f>IFERROR(IF(OR($V52="Checked Out",$V52="Overdue"),$B52,""),"")</f>
        <v/>
      </c>
    </row>
    <row r="53">
      <c r="A53" s="24" t="n"/>
      <c r="B53" s="24" t="n"/>
      <c r="C53" s="25">
        <f>IFERROR(IF($B53="","",INDEX('Key Inventory'!$B$5:$B$104,MATCH($B53,'Key Inventory'!$A$5:$A$104,0))),"")</f>
        <v/>
      </c>
      <c r="D53" s="25">
        <f>IFERROR(IF($B53="","",INDEX('Key Inventory'!$C$5:$C$104,MATCH($B53,'Key Inventory'!$A$5:$A$104,0))),"")</f>
        <v/>
      </c>
      <c r="E53" s="25">
        <f>IFERROR(IF($B53="","",INDEX('Key Inventory'!$D$5:$D$104,MATCH($B53,'Key Inventory'!$A$5:$A$104,0))),"")</f>
        <v/>
      </c>
      <c r="F53" s="24" t="n"/>
      <c r="G53" s="24" t="n"/>
      <c r="H53" s="24" t="n"/>
      <c r="I53" s="24" t="n"/>
      <c r="J53" s="24" t="n"/>
      <c r="K53" s="24" t="n"/>
      <c r="L53" s="26" t="n"/>
      <c r="M53" s="27" t="n"/>
      <c r="N53" s="26" t="n"/>
      <c r="O53" s="27" t="n"/>
      <c r="P53" s="26" t="n"/>
      <c r="Q53" s="27" t="n"/>
      <c r="R53" s="24" t="n"/>
      <c r="S53" s="24" t="n"/>
      <c r="T53" s="24" t="n"/>
      <c r="U53" s="24" t="n"/>
      <c r="V53" s="25">
        <f>IFERROR(IF(OR($A53="",$B53=""),"",IF($P53&lt;&gt;"","Returned",IF(NOW()&gt;$N53+$O53+(Dashboard!$B$7/24),"Overdue","Checked Out"))),"")</f>
        <v/>
      </c>
      <c r="W53" s="28">
        <f>IFERROR(IF($L53="","",MAX(0,24*((IF($P53&lt;&gt;"",$P53+$Q53,NOW()))-($L53+$M53)))),"")</f>
        <v/>
      </c>
      <c r="X53" s="29">
        <f>IFERROR(IF($B53="","",INDEX('Key Inventory'!$I$5:$I$104,MATCH($B53,'Key Inventory'!$A$5:$A$104,0))),"")</f>
        <v/>
      </c>
      <c r="Y53" s="25">
        <f>IFERROR(IF(AND(OR($V53="Checked Out",$V53="Overdue"),$X53&gt;=Dashboard!$B$9),"Review",""),"")</f>
        <v/>
      </c>
      <c r="Z53" s="24" t="n"/>
      <c r="AA53" s="25">
        <f>IFERROR(IF(OR($V53="Checked Out",$V53="Overdue"),$B53,""),"")</f>
        <v/>
      </c>
    </row>
    <row r="54">
      <c r="A54" s="24" t="n"/>
      <c r="B54" s="24" t="n"/>
      <c r="C54" s="25">
        <f>IFERROR(IF($B54="","",INDEX('Key Inventory'!$B$5:$B$104,MATCH($B54,'Key Inventory'!$A$5:$A$104,0))),"")</f>
        <v/>
      </c>
      <c r="D54" s="25">
        <f>IFERROR(IF($B54="","",INDEX('Key Inventory'!$C$5:$C$104,MATCH($B54,'Key Inventory'!$A$5:$A$104,0))),"")</f>
        <v/>
      </c>
      <c r="E54" s="25">
        <f>IFERROR(IF($B54="","",INDEX('Key Inventory'!$D$5:$D$104,MATCH($B54,'Key Inventory'!$A$5:$A$104,0))),"")</f>
        <v/>
      </c>
      <c r="F54" s="24" t="n"/>
      <c r="G54" s="24" t="n"/>
      <c r="H54" s="24" t="n"/>
      <c r="I54" s="24" t="n"/>
      <c r="J54" s="24" t="n"/>
      <c r="K54" s="24" t="n"/>
      <c r="L54" s="26" t="n"/>
      <c r="M54" s="27" t="n"/>
      <c r="N54" s="26" t="n"/>
      <c r="O54" s="27" t="n"/>
      <c r="P54" s="26" t="n"/>
      <c r="Q54" s="27" t="n"/>
      <c r="R54" s="24" t="n"/>
      <c r="S54" s="24" t="n"/>
      <c r="T54" s="24" t="n"/>
      <c r="U54" s="24" t="n"/>
      <c r="V54" s="25">
        <f>IFERROR(IF(OR($A54="",$B54=""),"",IF($P54&lt;&gt;"","Returned",IF(NOW()&gt;$N54+$O54+(Dashboard!$B$7/24),"Overdue","Checked Out"))),"")</f>
        <v/>
      </c>
      <c r="W54" s="28">
        <f>IFERROR(IF($L54="","",MAX(0,24*((IF($P54&lt;&gt;"",$P54+$Q54,NOW()))-($L54+$M54)))),"")</f>
        <v/>
      </c>
      <c r="X54" s="29">
        <f>IFERROR(IF($B54="","",INDEX('Key Inventory'!$I$5:$I$104,MATCH($B54,'Key Inventory'!$A$5:$A$104,0))),"")</f>
        <v/>
      </c>
      <c r="Y54" s="25">
        <f>IFERROR(IF(AND(OR($V54="Checked Out",$V54="Overdue"),$X54&gt;=Dashboard!$B$9),"Review",""),"")</f>
        <v/>
      </c>
      <c r="Z54" s="24" t="n"/>
      <c r="AA54" s="25">
        <f>IFERROR(IF(OR($V54="Checked Out",$V54="Overdue"),$B54,""),"")</f>
        <v/>
      </c>
    </row>
    <row r="55">
      <c r="A55" s="24" t="n"/>
      <c r="B55" s="24" t="n"/>
      <c r="C55" s="25">
        <f>IFERROR(IF($B55="","",INDEX('Key Inventory'!$B$5:$B$104,MATCH($B55,'Key Inventory'!$A$5:$A$104,0))),"")</f>
        <v/>
      </c>
      <c r="D55" s="25">
        <f>IFERROR(IF($B55="","",INDEX('Key Inventory'!$C$5:$C$104,MATCH($B55,'Key Inventory'!$A$5:$A$104,0))),"")</f>
        <v/>
      </c>
      <c r="E55" s="25">
        <f>IFERROR(IF($B55="","",INDEX('Key Inventory'!$D$5:$D$104,MATCH($B55,'Key Inventory'!$A$5:$A$104,0))),"")</f>
        <v/>
      </c>
      <c r="F55" s="24" t="n"/>
      <c r="G55" s="24" t="n"/>
      <c r="H55" s="24" t="n"/>
      <c r="I55" s="24" t="n"/>
      <c r="J55" s="24" t="n"/>
      <c r="K55" s="24" t="n"/>
      <c r="L55" s="26" t="n"/>
      <c r="M55" s="27" t="n"/>
      <c r="N55" s="26" t="n"/>
      <c r="O55" s="27" t="n"/>
      <c r="P55" s="26" t="n"/>
      <c r="Q55" s="27" t="n"/>
      <c r="R55" s="24" t="n"/>
      <c r="S55" s="24" t="n"/>
      <c r="T55" s="24" t="n"/>
      <c r="U55" s="24" t="n"/>
      <c r="V55" s="25">
        <f>IFERROR(IF(OR($A55="",$B55=""),"",IF($P55&lt;&gt;"","Returned",IF(NOW()&gt;$N55+$O55+(Dashboard!$B$7/24),"Overdue","Checked Out"))),"")</f>
        <v/>
      </c>
      <c r="W55" s="28">
        <f>IFERROR(IF($L55="","",MAX(0,24*((IF($P55&lt;&gt;"",$P55+$Q55,NOW()))-($L55+$M55)))),"")</f>
        <v/>
      </c>
      <c r="X55" s="29">
        <f>IFERROR(IF($B55="","",INDEX('Key Inventory'!$I$5:$I$104,MATCH($B55,'Key Inventory'!$A$5:$A$104,0))),"")</f>
        <v/>
      </c>
      <c r="Y55" s="25">
        <f>IFERROR(IF(AND(OR($V55="Checked Out",$V55="Overdue"),$X55&gt;=Dashboard!$B$9),"Review",""),"")</f>
        <v/>
      </c>
      <c r="Z55" s="24" t="n"/>
      <c r="AA55" s="25">
        <f>IFERROR(IF(OR($V55="Checked Out",$V55="Overdue"),$B55,""),"")</f>
        <v/>
      </c>
    </row>
    <row r="56">
      <c r="A56" s="24" t="n"/>
      <c r="B56" s="24" t="n"/>
      <c r="C56" s="25">
        <f>IFERROR(IF($B56="","",INDEX('Key Inventory'!$B$5:$B$104,MATCH($B56,'Key Inventory'!$A$5:$A$104,0))),"")</f>
        <v/>
      </c>
      <c r="D56" s="25">
        <f>IFERROR(IF($B56="","",INDEX('Key Inventory'!$C$5:$C$104,MATCH($B56,'Key Inventory'!$A$5:$A$104,0))),"")</f>
        <v/>
      </c>
      <c r="E56" s="25">
        <f>IFERROR(IF($B56="","",INDEX('Key Inventory'!$D$5:$D$104,MATCH($B56,'Key Inventory'!$A$5:$A$104,0))),"")</f>
        <v/>
      </c>
      <c r="F56" s="24" t="n"/>
      <c r="G56" s="24" t="n"/>
      <c r="H56" s="24" t="n"/>
      <c r="I56" s="24" t="n"/>
      <c r="J56" s="24" t="n"/>
      <c r="K56" s="24" t="n"/>
      <c r="L56" s="26" t="n"/>
      <c r="M56" s="27" t="n"/>
      <c r="N56" s="26" t="n"/>
      <c r="O56" s="27" t="n"/>
      <c r="P56" s="26" t="n"/>
      <c r="Q56" s="27" t="n"/>
      <c r="R56" s="24" t="n"/>
      <c r="S56" s="24" t="n"/>
      <c r="T56" s="24" t="n"/>
      <c r="U56" s="24" t="n"/>
      <c r="V56" s="25">
        <f>IFERROR(IF(OR($A56="",$B56=""),"",IF($P56&lt;&gt;"","Returned",IF(NOW()&gt;$N56+$O56+(Dashboard!$B$7/24),"Overdue","Checked Out"))),"")</f>
        <v/>
      </c>
      <c r="W56" s="28">
        <f>IFERROR(IF($L56="","",MAX(0,24*((IF($P56&lt;&gt;"",$P56+$Q56,NOW()))-($L56+$M56)))),"")</f>
        <v/>
      </c>
      <c r="X56" s="29">
        <f>IFERROR(IF($B56="","",INDEX('Key Inventory'!$I$5:$I$104,MATCH($B56,'Key Inventory'!$A$5:$A$104,0))),"")</f>
        <v/>
      </c>
      <c r="Y56" s="25">
        <f>IFERROR(IF(AND(OR($V56="Checked Out",$V56="Overdue"),$X56&gt;=Dashboard!$B$9),"Review",""),"")</f>
        <v/>
      </c>
      <c r="Z56" s="24" t="n"/>
      <c r="AA56" s="25">
        <f>IFERROR(IF(OR($V56="Checked Out",$V56="Overdue"),$B56,""),"")</f>
        <v/>
      </c>
    </row>
    <row r="57">
      <c r="A57" s="24" t="n"/>
      <c r="B57" s="24" t="n"/>
      <c r="C57" s="25">
        <f>IFERROR(IF($B57="","",INDEX('Key Inventory'!$B$5:$B$104,MATCH($B57,'Key Inventory'!$A$5:$A$104,0))),"")</f>
        <v/>
      </c>
      <c r="D57" s="25">
        <f>IFERROR(IF($B57="","",INDEX('Key Inventory'!$C$5:$C$104,MATCH($B57,'Key Inventory'!$A$5:$A$104,0))),"")</f>
        <v/>
      </c>
      <c r="E57" s="25">
        <f>IFERROR(IF($B57="","",INDEX('Key Inventory'!$D$5:$D$104,MATCH($B57,'Key Inventory'!$A$5:$A$104,0))),"")</f>
        <v/>
      </c>
      <c r="F57" s="24" t="n"/>
      <c r="G57" s="24" t="n"/>
      <c r="H57" s="24" t="n"/>
      <c r="I57" s="24" t="n"/>
      <c r="J57" s="24" t="n"/>
      <c r="K57" s="24" t="n"/>
      <c r="L57" s="26" t="n"/>
      <c r="M57" s="27" t="n"/>
      <c r="N57" s="26" t="n"/>
      <c r="O57" s="27" t="n"/>
      <c r="P57" s="26" t="n"/>
      <c r="Q57" s="27" t="n"/>
      <c r="R57" s="24" t="n"/>
      <c r="S57" s="24" t="n"/>
      <c r="T57" s="24" t="n"/>
      <c r="U57" s="24" t="n"/>
      <c r="V57" s="25">
        <f>IFERROR(IF(OR($A57="",$B57=""),"",IF($P57&lt;&gt;"","Returned",IF(NOW()&gt;$N57+$O57+(Dashboard!$B$7/24),"Overdue","Checked Out"))),"")</f>
        <v/>
      </c>
      <c r="W57" s="28">
        <f>IFERROR(IF($L57="","",MAX(0,24*((IF($P57&lt;&gt;"",$P57+$Q57,NOW()))-($L57+$M57)))),"")</f>
        <v/>
      </c>
      <c r="X57" s="29">
        <f>IFERROR(IF($B57="","",INDEX('Key Inventory'!$I$5:$I$104,MATCH($B57,'Key Inventory'!$A$5:$A$104,0))),"")</f>
        <v/>
      </c>
      <c r="Y57" s="25">
        <f>IFERROR(IF(AND(OR($V57="Checked Out",$V57="Overdue"),$X57&gt;=Dashboard!$B$9),"Review",""),"")</f>
        <v/>
      </c>
      <c r="Z57" s="24" t="n"/>
      <c r="AA57" s="25">
        <f>IFERROR(IF(OR($V57="Checked Out",$V57="Overdue"),$B57,""),"")</f>
        <v/>
      </c>
    </row>
    <row r="58">
      <c r="A58" s="24" t="n"/>
      <c r="B58" s="24" t="n"/>
      <c r="C58" s="25">
        <f>IFERROR(IF($B58="","",INDEX('Key Inventory'!$B$5:$B$104,MATCH($B58,'Key Inventory'!$A$5:$A$104,0))),"")</f>
        <v/>
      </c>
      <c r="D58" s="25">
        <f>IFERROR(IF($B58="","",INDEX('Key Inventory'!$C$5:$C$104,MATCH($B58,'Key Inventory'!$A$5:$A$104,0))),"")</f>
        <v/>
      </c>
      <c r="E58" s="25">
        <f>IFERROR(IF($B58="","",INDEX('Key Inventory'!$D$5:$D$104,MATCH($B58,'Key Inventory'!$A$5:$A$104,0))),"")</f>
        <v/>
      </c>
      <c r="F58" s="24" t="n"/>
      <c r="G58" s="24" t="n"/>
      <c r="H58" s="24" t="n"/>
      <c r="I58" s="24" t="n"/>
      <c r="J58" s="24" t="n"/>
      <c r="K58" s="24" t="n"/>
      <c r="L58" s="26" t="n"/>
      <c r="M58" s="27" t="n"/>
      <c r="N58" s="26" t="n"/>
      <c r="O58" s="27" t="n"/>
      <c r="P58" s="26" t="n"/>
      <c r="Q58" s="27" t="n"/>
      <c r="R58" s="24" t="n"/>
      <c r="S58" s="24" t="n"/>
      <c r="T58" s="24" t="n"/>
      <c r="U58" s="24" t="n"/>
      <c r="V58" s="25">
        <f>IFERROR(IF(OR($A58="",$B58=""),"",IF($P58&lt;&gt;"","Returned",IF(NOW()&gt;$N58+$O58+(Dashboard!$B$7/24),"Overdue","Checked Out"))),"")</f>
        <v/>
      </c>
      <c r="W58" s="28">
        <f>IFERROR(IF($L58="","",MAX(0,24*((IF($P58&lt;&gt;"",$P58+$Q58,NOW()))-($L58+$M58)))),"")</f>
        <v/>
      </c>
      <c r="X58" s="29">
        <f>IFERROR(IF($B58="","",INDEX('Key Inventory'!$I$5:$I$104,MATCH($B58,'Key Inventory'!$A$5:$A$104,0))),"")</f>
        <v/>
      </c>
      <c r="Y58" s="25">
        <f>IFERROR(IF(AND(OR($V58="Checked Out",$V58="Overdue"),$X58&gt;=Dashboard!$B$9),"Review",""),"")</f>
        <v/>
      </c>
      <c r="Z58" s="24" t="n"/>
      <c r="AA58" s="25">
        <f>IFERROR(IF(OR($V58="Checked Out",$V58="Overdue"),$B58,""),"")</f>
        <v/>
      </c>
    </row>
    <row r="59">
      <c r="A59" s="24" t="n"/>
      <c r="B59" s="24" t="n"/>
      <c r="C59" s="25">
        <f>IFERROR(IF($B59="","",INDEX('Key Inventory'!$B$5:$B$104,MATCH($B59,'Key Inventory'!$A$5:$A$104,0))),"")</f>
        <v/>
      </c>
      <c r="D59" s="25">
        <f>IFERROR(IF($B59="","",INDEX('Key Inventory'!$C$5:$C$104,MATCH($B59,'Key Inventory'!$A$5:$A$104,0))),"")</f>
        <v/>
      </c>
      <c r="E59" s="25">
        <f>IFERROR(IF($B59="","",INDEX('Key Inventory'!$D$5:$D$104,MATCH($B59,'Key Inventory'!$A$5:$A$104,0))),"")</f>
        <v/>
      </c>
      <c r="F59" s="24" t="n"/>
      <c r="G59" s="24" t="n"/>
      <c r="H59" s="24" t="n"/>
      <c r="I59" s="24" t="n"/>
      <c r="J59" s="24" t="n"/>
      <c r="K59" s="24" t="n"/>
      <c r="L59" s="26" t="n"/>
      <c r="M59" s="27" t="n"/>
      <c r="N59" s="26" t="n"/>
      <c r="O59" s="27" t="n"/>
      <c r="P59" s="26" t="n"/>
      <c r="Q59" s="27" t="n"/>
      <c r="R59" s="24" t="n"/>
      <c r="S59" s="24" t="n"/>
      <c r="T59" s="24" t="n"/>
      <c r="U59" s="24" t="n"/>
      <c r="V59" s="25">
        <f>IFERROR(IF(OR($A59="",$B59=""),"",IF($P59&lt;&gt;"","Returned",IF(NOW()&gt;$N59+$O59+(Dashboard!$B$7/24),"Overdue","Checked Out"))),"")</f>
        <v/>
      </c>
      <c r="W59" s="28">
        <f>IFERROR(IF($L59="","",MAX(0,24*((IF($P59&lt;&gt;"",$P59+$Q59,NOW()))-($L59+$M59)))),"")</f>
        <v/>
      </c>
      <c r="X59" s="29">
        <f>IFERROR(IF($B59="","",INDEX('Key Inventory'!$I$5:$I$104,MATCH($B59,'Key Inventory'!$A$5:$A$104,0))),"")</f>
        <v/>
      </c>
      <c r="Y59" s="25">
        <f>IFERROR(IF(AND(OR($V59="Checked Out",$V59="Overdue"),$X59&gt;=Dashboard!$B$9),"Review",""),"")</f>
        <v/>
      </c>
      <c r="Z59" s="24" t="n"/>
      <c r="AA59" s="25">
        <f>IFERROR(IF(OR($V59="Checked Out",$V59="Overdue"),$B59,""),"")</f>
        <v/>
      </c>
    </row>
    <row r="60">
      <c r="A60" s="24" t="n"/>
      <c r="B60" s="24" t="n"/>
      <c r="C60" s="25">
        <f>IFERROR(IF($B60="","",INDEX('Key Inventory'!$B$5:$B$104,MATCH($B60,'Key Inventory'!$A$5:$A$104,0))),"")</f>
        <v/>
      </c>
      <c r="D60" s="25">
        <f>IFERROR(IF($B60="","",INDEX('Key Inventory'!$C$5:$C$104,MATCH($B60,'Key Inventory'!$A$5:$A$104,0))),"")</f>
        <v/>
      </c>
      <c r="E60" s="25">
        <f>IFERROR(IF($B60="","",INDEX('Key Inventory'!$D$5:$D$104,MATCH($B60,'Key Inventory'!$A$5:$A$104,0))),"")</f>
        <v/>
      </c>
      <c r="F60" s="24" t="n"/>
      <c r="G60" s="24" t="n"/>
      <c r="H60" s="24" t="n"/>
      <c r="I60" s="24" t="n"/>
      <c r="J60" s="24" t="n"/>
      <c r="K60" s="24" t="n"/>
      <c r="L60" s="26" t="n"/>
      <c r="M60" s="27" t="n"/>
      <c r="N60" s="26" t="n"/>
      <c r="O60" s="27" t="n"/>
      <c r="P60" s="26" t="n"/>
      <c r="Q60" s="27" t="n"/>
      <c r="R60" s="24" t="n"/>
      <c r="S60" s="24" t="n"/>
      <c r="T60" s="24" t="n"/>
      <c r="U60" s="24" t="n"/>
      <c r="V60" s="25">
        <f>IFERROR(IF(OR($A60="",$B60=""),"",IF($P60&lt;&gt;"","Returned",IF(NOW()&gt;$N60+$O60+(Dashboard!$B$7/24),"Overdue","Checked Out"))),"")</f>
        <v/>
      </c>
      <c r="W60" s="28">
        <f>IFERROR(IF($L60="","",MAX(0,24*((IF($P60&lt;&gt;"",$P60+$Q60,NOW()))-($L60+$M60)))),"")</f>
        <v/>
      </c>
      <c r="X60" s="29">
        <f>IFERROR(IF($B60="","",INDEX('Key Inventory'!$I$5:$I$104,MATCH($B60,'Key Inventory'!$A$5:$A$104,0))),"")</f>
        <v/>
      </c>
      <c r="Y60" s="25">
        <f>IFERROR(IF(AND(OR($V60="Checked Out",$V60="Overdue"),$X60&gt;=Dashboard!$B$9),"Review",""),"")</f>
        <v/>
      </c>
      <c r="Z60" s="24" t="n"/>
      <c r="AA60" s="25">
        <f>IFERROR(IF(OR($V60="Checked Out",$V60="Overdue"),$B60,""),"")</f>
        <v/>
      </c>
    </row>
    <row r="61">
      <c r="A61" s="24" t="n"/>
      <c r="B61" s="24" t="n"/>
      <c r="C61" s="25">
        <f>IFERROR(IF($B61="","",INDEX('Key Inventory'!$B$5:$B$104,MATCH($B61,'Key Inventory'!$A$5:$A$104,0))),"")</f>
        <v/>
      </c>
      <c r="D61" s="25">
        <f>IFERROR(IF($B61="","",INDEX('Key Inventory'!$C$5:$C$104,MATCH($B61,'Key Inventory'!$A$5:$A$104,0))),"")</f>
        <v/>
      </c>
      <c r="E61" s="25">
        <f>IFERROR(IF($B61="","",INDEX('Key Inventory'!$D$5:$D$104,MATCH($B61,'Key Inventory'!$A$5:$A$104,0))),"")</f>
        <v/>
      </c>
      <c r="F61" s="24" t="n"/>
      <c r="G61" s="24" t="n"/>
      <c r="H61" s="24" t="n"/>
      <c r="I61" s="24" t="n"/>
      <c r="J61" s="24" t="n"/>
      <c r="K61" s="24" t="n"/>
      <c r="L61" s="26" t="n"/>
      <c r="M61" s="27" t="n"/>
      <c r="N61" s="26" t="n"/>
      <c r="O61" s="27" t="n"/>
      <c r="P61" s="26" t="n"/>
      <c r="Q61" s="27" t="n"/>
      <c r="R61" s="24" t="n"/>
      <c r="S61" s="24" t="n"/>
      <c r="T61" s="24" t="n"/>
      <c r="U61" s="24" t="n"/>
      <c r="V61" s="25">
        <f>IFERROR(IF(OR($A61="",$B61=""),"",IF($P61&lt;&gt;"","Returned",IF(NOW()&gt;$N61+$O61+(Dashboard!$B$7/24),"Overdue","Checked Out"))),"")</f>
        <v/>
      </c>
      <c r="W61" s="28">
        <f>IFERROR(IF($L61="","",MAX(0,24*((IF($P61&lt;&gt;"",$P61+$Q61,NOW()))-($L61+$M61)))),"")</f>
        <v/>
      </c>
      <c r="X61" s="29">
        <f>IFERROR(IF($B61="","",INDEX('Key Inventory'!$I$5:$I$104,MATCH($B61,'Key Inventory'!$A$5:$A$104,0))),"")</f>
        <v/>
      </c>
      <c r="Y61" s="25">
        <f>IFERROR(IF(AND(OR($V61="Checked Out",$V61="Overdue"),$X61&gt;=Dashboard!$B$9),"Review",""),"")</f>
        <v/>
      </c>
      <c r="Z61" s="24" t="n"/>
      <c r="AA61" s="25">
        <f>IFERROR(IF(OR($V61="Checked Out",$V61="Overdue"),$B61,""),"")</f>
        <v/>
      </c>
    </row>
    <row r="62">
      <c r="A62" s="24" t="n"/>
      <c r="B62" s="24" t="n"/>
      <c r="C62" s="25">
        <f>IFERROR(IF($B62="","",INDEX('Key Inventory'!$B$5:$B$104,MATCH($B62,'Key Inventory'!$A$5:$A$104,0))),"")</f>
        <v/>
      </c>
      <c r="D62" s="25">
        <f>IFERROR(IF($B62="","",INDEX('Key Inventory'!$C$5:$C$104,MATCH($B62,'Key Inventory'!$A$5:$A$104,0))),"")</f>
        <v/>
      </c>
      <c r="E62" s="25">
        <f>IFERROR(IF($B62="","",INDEX('Key Inventory'!$D$5:$D$104,MATCH($B62,'Key Inventory'!$A$5:$A$104,0))),"")</f>
        <v/>
      </c>
      <c r="F62" s="24" t="n"/>
      <c r="G62" s="24" t="n"/>
      <c r="H62" s="24" t="n"/>
      <c r="I62" s="24" t="n"/>
      <c r="J62" s="24" t="n"/>
      <c r="K62" s="24" t="n"/>
      <c r="L62" s="26" t="n"/>
      <c r="M62" s="27" t="n"/>
      <c r="N62" s="26" t="n"/>
      <c r="O62" s="27" t="n"/>
      <c r="P62" s="26" t="n"/>
      <c r="Q62" s="27" t="n"/>
      <c r="R62" s="24" t="n"/>
      <c r="S62" s="24" t="n"/>
      <c r="T62" s="24" t="n"/>
      <c r="U62" s="24" t="n"/>
      <c r="V62" s="25">
        <f>IFERROR(IF(OR($A62="",$B62=""),"",IF($P62&lt;&gt;"","Returned",IF(NOW()&gt;$N62+$O62+(Dashboard!$B$7/24),"Overdue","Checked Out"))),"")</f>
        <v/>
      </c>
      <c r="W62" s="28">
        <f>IFERROR(IF($L62="","",MAX(0,24*((IF($P62&lt;&gt;"",$P62+$Q62,NOW()))-($L62+$M62)))),"")</f>
        <v/>
      </c>
      <c r="X62" s="29">
        <f>IFERROR(IF($B62="","",INDEX('Key Inventory'!$I$5:$I$104,MATCH($B62,'Key Inventory'!$A$5:$A$104,0))),"")</f>
        <v/>
      </c>
      <c r="Y62" s="25">
        <f>IFERROR(IF(AND(OR($V62="Checked Out",$V62="Overdue"),$X62&gt;=Dashboard!$B$9),"Review",""),"")</f>
        <v/>
      </c>
      <c r="Z62" s="24" t="n"/>
      <c r="AA62" s="25">
        <f>IFERROR(IF(OR($V62="Checked Out",$V62="Overdue"),$B62,""),"")</f>
        <v/>
      </c>
    </row>
    <row r="63">
      <c r="A63" s="24" t="n"/>
      <c r="B63" s="24" t="n"/>
      <c r="C63" s="25">
        <f>IFERROR(IF($B63="","",INDEX('Key Inventory'!$B$5:$B$104,MATCH($B63,'Key Inventory'!$A$5:$A$104,0))),"")</f>
        <v/>
      </c>
      <c r="D63" s="25">
        <f>IFERROR(IF($B63="","",INDEX('Key Inventory'!$C$5:$C$104,MATCH($B63,'Key Inventory'!$A$5:$A$104,0))),"")</f>
        <v/>
      </c>
      <c r="E63" s="25">
        <f>IFERROR(IF($B63="","",INDEX('Key Inventory'!$D$5:$D$104,MATCH($B63,'Key Inventory'!$A$5:$A$104,0))),"")</f>
        <v/>
      </c>
      <c r="F63" s="24" t="n"/>
      <c r="G63" s="24" t="n"/>
      <c r="H63" s="24" t="n"/>
      <c r="I63" s="24" t="n"/>
      <c r="J63" s="24" t="n"/>
      <c r="K63" s="24" t="n"/>
      <c r="L63" s="26" t="n"/>
      <c r="M63" s="27" t="n"/>
      <c r="N63" s="26" t="n"/>
      <c r="O63" s="27" t="n"/>
      <c r="P63" s="26" t="n"/>
      <c r="Q63" s="27" t="n"/>
      <c r="R63" s="24" t="n"/>
      <c r="S63" s="24" t="n"/>
      <c r="T63" s="24" t="n"/>
      <c r="U63" s="24" t="n"/>
      <c r="V63" s="25">
        <f>IFERROR(IF(OR($A63="",$B63=""),"",IF($P63&lt;&gt;"","Returned",IF(NOW()&gt;$N63+$O63+(Dashboard!$B$7/24),"Overdue","Checked Out"))),"")</f>
        <v/>
      </c>
      <c r="W63" s="28">
        <f>IFERROR(IF($L63="","",MAX(0,24*((IF($P63&lt;&gt;"",$P63+$Q63,NOW()))-($L63+$M63)))),"")</f>
        <v/>
      </c>
      <c r="X63" s="29">
        <f>IFERROR(IF($B63="","",INDEX('Key Inventory'!$I$5:$I$104,MATCH($B63,'Key Inventory'!$A$5:$A$104,0))),"")</f>
        <v/>
      </c>
      <c r="Y63" s="25">
        <f>IFERROR(IF(AND(OR($V63="Checked Out",$V63="Overdue"),$X63&gt;=Dashboard!$B$9),"Review",""),"")</f>
        <v/>
      </c>
      <c r="Z63" s="24" t="n"/>
      <c r="AA63" s="25">
        <f>IFERROR(IF(OR($V63="Checked Out",$V63="Overdue"),$B63,""),"")</f>
        <v/>
      </c>
    </row>
    <row r="64">
      <c r="A64" s="24" t="n"/>
      <c r="B64" s="24" t="n"/>
      <c r="C64" s="25">
        <f>IFERROR(IF($B64="","",INDEX('Key Inventory'!$B$5:$B$104,MATCH($B64,'Key Inventory'!$A$5:$A$104,0))),"")</f>
        <v/>
      </c>
      <c r="D64" s="25">
        <f>IFERROR(IF($B64="","",INDEX('Key Inventory'!$C$5:$C$104,MATCH($B64,'Key Inventory'!$A$5:$A$104,0))),"")</f>
        <v/>
      </c>
      <c r="E64" s="25">
        <f>IFERROR(IF($B64="","",INDEX('Key Inventory'!$D$5:$D$104,MATCH($B64,'Key Inventory'!$A$5:$A$104,0))),"")</f>
        <v/>
      </c>
      <c r="F64" s="24" t="n"/>
      <c r="G64" s="24" t="n"/>
      <c r="H64" s="24" t="n"/>
      <c r="I64" s="24" t="n"/>
      <c r="J64" s="24" t="n"/>
      <c r="K64" s="24" t="n"/>
      <c r="L64" s="26" t="n"/>
      <c r="M64" s="27" t="n"/>
      <c r="N64" s="26" t="n"/>
      <c r="O64" s="27" t="n"/>
      <c r="P64" s="26" t="n"/>
      <c r="Q64" s="27" t="n"/>
      <c r="R64" s="24" t="n"/>
      <c r="S64" s="24" t="n"/>
      <c r="T64" s="24" t="n"/>
      <c r="U64" s="24" t="n"/>
      <c r="V64" s="25">
        <f>IFERROR(IF(OR($A64="",$B64=""),"",IF($P64&lt;&gt;"","Returned",IF(NOW()&gt;$N64+$O64+(Dashboard!$B$7/24),"Overdue","Checked Out"))),"")</f>
        <v/>
      </c>
      <c r="W64" s="28">
        <f>IFERROR(IF($L64="","",MAX(0,24*((IF($P64&lt;&gt;"",$P64+$Q64,NOW()))-($L64+$M64)))),"")</f>
        <v/>
      </c>
      <c r="X64" s="29">
        <f>IFERROR(IF($B64="","",INDEX('Key Inventory'!$I$5:$I$104,MATCH($B64,'Key Inventory'!$A$5:$A$104,0))),"")</f>
        <v/>
      </c>
      <c r="Y64" s="25">
        <f>IFERROR(IF(AND(OR($V64="Checked Out",$V64="Overdue"),$X64&gt;=Dashboard!$B$9),"Review",""),"")</f>
        <v/>
      </c>
      <c r="Z64" s="24" t="n"/>
      <c r="AA64" s="25">
        <f>IFERROR(IF(OR($V64="Checked Out",$V64="Overdue"),$B64,""),"")</f>
        <v/>
      </c>
    </row>
    <row r="65">
      <c r="A65" s="24" t="n"/>
      <c r="B65" s="24" t="n"/>
      <c r="C65" s="25">
        <f>IFERROR(IF($B65="","",INDEX('Key Inventory'!$B$5:$B$104,MATCH($B65,'Key Inventory'!$A$5:$A$104,0))),"")</f>
        <v/>
      </c>
      <c r="D65" s="25">
        <f>IFERROR(IF($B65="","",INDEX('Key Inventory'!$C$5:$C$104,MATCH($B65,'Key Inventory'!$A$5:$A$104,0))),"")</f>
        <v/>
      </c>
      <c r="E65" s="25">
        <f>IFERROR(IF($B65="","",INDEX('Key Inventory'!$D$5:$D$104,MATCH($B65,'Key Inventory'!$A$5:$A$104,0))),"")</f>
        <v/>
      </c>
      <c r="F65" s="24" t="n"/>
      <c r="G65" s="24" t="n"/>
      <c r="H65" s="24" t="n"/>
      <c r="I65" s="24" t="n"/>
      <c r="J65" s="24" t="n"/>
      <c r="K65" s="24" t="n"/>
      <c r="L65" s="26" t="n"/>
      <c r="M65" s="27" t="n"/>
      <c r="N65" s="26" t="n"/>
      <c r="O65" s="27" t="n"/>
      <c r="P65" s="26" t="n"/>
      <c r="Q65" s="27" t="n"/>
      <c r="R65" s="24" t="n"/>
      <c r="S65" s="24" t="n"/>
      <c r="T65" s="24" t="n"/>
      <c r="U65" s="24" t="n"/>
      <c r="V65" s="25">
        <f>IFERROR(IF(OR($A65="",$B65=""),"",IF($P65&lt;&gt;"","Returned",IF(NOW()&gt;$N65+$O65+(Dashboard!$B$7/24),"Overdue","Checked Out"))),"")</f>
        <v/>
      </c>
      <c r="W65" s="28">
        <f>IFERROR(IF($L65="","",MAX(0,24*((IF($P65&lt;&gt;"",$P65+$Q65,NOW()))-($L65+$M65)))),"")</f>
        <v/>
      </c>
      <c r="X65" s="29">
        <f>IFERROR(IF($B65="","",INDEX('Key Inventory'!$I$5:$I$104,MATCH($B65,'Key Inventory'!$A$5:$A$104,0))),"")</f>
        <v/>
      </c>
      <c r="Y65" s="25">
        <f>IFERROR(IF(AND(OR($V65="Checked Out",$V65="Overdue"),$X65&gt;=Dashboard!$B$9),"Review",""),"")</f>
        <v/>
      </c>
      <c r="Z65" s="24" t="n"/>
      <c r="AA65" s="25">
        <f>IFERROR(IF(OR($V65="Checked Out",$V65="Overdue"),$B65,""),"")</f>
        <v/>
      </c>
    </row>
    <row r="66">
      <c r="A66" s="24" t="n"/>
      <c r="B66" s="24" t="n"/>
      <c r="C66" s="25">
        <f>IFERROR(IF($B66="","",INDEX('Key Inventory'!$B$5:$B$104,MATCH($B66,'Key Inventory'!$A$5:$A$104,0))),"")</f>
        <v/>
      </c>
      <c r="D66" s="25">
        <f>IFERROR(IF($B66="","",INDEX('Key Inventory'!$C$5:$C$104,MATCH($B66,'Key Inventory'!$A$5:$A$104,0))),"")</f>
        <v/>
      </c>
      <c r="E66" s="25">
        <f>IFERROR(IF($B66="","",INDEX('Key Inventory'!$D$5:$D$104,MATCH($B66,'Key Inventory'!$A$5:$A$104,0))),"")</f>
        <v/>
      </c>
      <c r="F66" s="24" t="n"/>
      <c r="G66" s="24" t="n"/>
      <c r="H66" s="24" t="n"/>
      <c r="I66" s="24" t="n"/>
      <c r="J66" s="24" t="n"/>
      <c r="K66" s="24" t="n"/>
      <c r="L66" s="26" t="n"/>
      <c r="M66" s="27" t="n"/>
      <c r="N66" s="26" t="n"/>
      <c r="O66" s="27" t="n"/>
      <c r="P66" s="26" t="n"/>
      <c r="Q66" s="27" t="n"/>
      <c r="R66" s="24" t="n"/>
      <c r="S66" s="24" t="n"/>
      <c r="T66" s="24" t="n"/>
      <c r="U66" s="24" t="n"/>
      <c r="V66" s="25">
        <f>IFERROR(IF(OR($A66="",$B66=""),"",IF($P66&lt;&gt;"","Returned",IF(NOW()&gt;$N66+$O66+(Dashboard!$B$7/24),"Overdue","Checked Out"))),"")</f>
        <v/>
      </c>
      <c r="W66" s="28">
        <f>IFERROR(IF($L66="","",MAX(0,24*((IF($P66&lt;&gt;"",$P66+$Q66,NOW()))-($L66+$M66)))),"")</f>
        <v/>
      </c>
      <c r="X66" s="29">
        <f>IFERROR(IF($B66="","",INDEX('Key Inventory'!$I$5:$I$104,MATCH($B66,'Key Inventory'!$A$5:$A$104,0))),"")</f>
        <v/>
      </c>
      <c r="Y66" s="25">
        <f>IFERROR(IF(AND(OR($V66="Checked Out",$V66="Overdue"),$X66&gt;=Dashboard!$B$9),"Review",""),"")</f>
        <v/>
      </c>
      <c r="Z66" s="24" t="n"/>
      <c r="AA66" s="25">
        <f>IFERROR(IF(OR($V66="Checked Out",$V66="Overdue"),$B66,""),"")</f>
        <v/>
      </c>
    </row>
    <row r="67">
      <c r="A67" s="24" t="n"/>
      <c r="B67" s="24" t="n"/>
      <c r="C67" s="25">
        <f>IFERROR(IF($B67="","",INDEX('Key Inventory'!$B$5:$B$104,MATCH($B67,'Key Inventory'!$A$5:$A$104,0))),"")</f>
        <v/>
      </c>
      <c r="D67" s="25">
        <f>IFERROR(IF($B67="","",INDEX('Key Inventory'!$C$5:$C$104,MATCH($B67,'Key Inventory'!$A$5:$A$104,0))),"")</f>
        <v/>
      </c>
      <c r="E67" s="25">
        <f>IFERROR(IF($B67="","",INDEX('Key Inventory'!$D$5:$D$104,MATCH($B67,'Key Inventory'!$A$5:$A$104,0))),"")</f>
        <v/>
      </c>
      <c r="F67" s="24" t="n"/>
      <c r="G67" s="24" t="n"/>
      <c r="H67" s="24" t="n"/>
      <c r="I67" s="24" t="n"/>
      <c r="J67" s="24" t="n"/>
      <c r="K67" s="24" t="n"/>
      <c r="L67" s="26" t="n"/>
      <c r="M67" s="27" t="n"/>
      <c r="N67" s="26" t="n"/>
      <c r="O67" s="27" t="n"/>
      <c r="P67" s="26" t="n"/>
      <c r="Q67" s="27" t="n"/>
      <c r="R67" s="24" t="n"/>
      <c r="S67" s="24" t="n"/>
      <c r="T67" s="24" t="n"/>
      <c r="U67" s="24" t="n"/>
      <c r="V67" s="25">
        <f>IFERROR(IF(OR($A67="",$B67=""),"",IF($P67&lt;&gt;"","Returned",IF(NOW()&gt;$N67+$O67+(Dashboard!$B$7/24),"Overdue","Checked Out"))),"")</f>
        <v/>
      </c>
      <c r="W67" s="28">
        <f>IFERROR(IF($L67="","",MAX(0,24*((IF($P67&lt;&gt;"",$P67+$Q67,NOW()))-($L67+$M67)))),"")</f>
        <v/>
      </c>
      <c r="X67" s="29">
        <f>IFERROR(IF($B67="","",INDEX('Key Inventory'!$I$5:$I$104,MATCH($B67,'Key Inventory'!$A$5:$A$104,0))),"")</f>
        <v/>
      </c>
      <c r="Y67" s="25">
        <f>IFERROR(IF(AND(OR($V67="Checked Out",$V67="Overdue"),$X67&gt;=Dashboard!$B$9),"Review",""),"")</f>
        <v/>
      </c>
      <c r="Z67" s="24" t="n"/>
      <c r="AA67" s="25">
        <f>IFERROR(IF(OR($V67="Checked Out",$V67="Overdue"),$B67,""),"")</f>
        <v/>
      </c>
    </row>
    <row r="68">
      <c r="A68" s="24" t="n"/>
      <c r="B68" s="24" t="n"/>
      <c r="C68" s="25">
        <f>IFERROR(IF($B68="","",INDEX('Key Inventory'!$B$5:$B$104,MATCH($B68,'Key Inventory'!$A$5:$A$104,0))),"")</f>
        <v/>
      </c>
      <c r="D68" s="25">
        <f>IFERROR(IF($B68="","",INDEX('Key Inventory'!$C$5:$C$104,MATCH($B68,'Key Inventory'!$A$5:$A$104,0))),"")</f>
        <v/>
      </c>
      <c r="E68" s="25">
        <f>IFERROR(IF($B68="","",INDEX('Key Inventory'!$D$5:$D$104,MATCH($B68,'Key Inventory'!$A$5:$A$104,0))),"")</f>
        <v/>
      </c>
      <c r="F68" s="24" t="n"/>
      <c r="G68" s="24" t="n"/>
      <c r="H68" s="24" t="n"/>
      <c r="I68" s="24" t="n"/>
      <c r="J68" s="24" t="n"/>
      <c r="K68" s="24" t="n"/>
      <c r="L68" s="26" t="n"/>
      <c r="M68" s="27" t="n"/>
      <c r="N68" s="26" t="n"/>
      <c r="O68" s="27" t="n"/>
      <c r="P68" s="26" t="n"/>
      <c r="Q68" s="27" t="n"/>
      <c r="R68" s="24" t="n"/>
      <c r="S68" s="24" t="n"/>
      <c r="T68" s="24" t="n"/>
      <c r="U68" s="24" t="n"/>
      <c r="V68" s="25">
        <f>IFERROR(IF(OR($A68="",$B68=""),"",IF($P68&lt;&gt;"","Returned",IF(NOW()&gt;$N68+$O68+(Dashboard!$B$7/24),"Overdue","Checked Out"))),"")</f>
        <v/>
      </c>
      <c r="W68" s="28">
        <f>IFERROR(IF($L68="","",MAX(0,24*((IF($P68&lt;&gt;"",$P68+$Q68,NOW()))-($L68+$M68)))),"")</f>
        <v/>
      </c>
      <c r="X68" s="29">
        <f>IFERROR(IF($B68="","",INDEX('Key Inventory'!$I$5:$I$104,MATCH($B68,'Key Inventory'!$A$5:$A$104,0))),"")</f>
        <v/>
      </c>
      <c r="Y68" s="25">
        <f>IFERROR(IF(AND(OR($V68="Checked Out",$V68="Overdue"),$X68&gt;=Dashboard!$B$9),"Review",""),"")</f>
        <v/>
      </c>
      <c r="Z68" s="24" t="n"/>
      <c r="AA68" s="25">
        <f>IFERROR(IF(OR($V68="Checked Out",$V68="Overdue"),$B68,""),"")</f>
        <v/>
      </c>
    </row>
    <row r="69">
      <c r="A69" s="24" t="n"/>
      <c r="B69" s="24" t="n"/>
      <c r="C69" s="25">
        <f>IFERROR(IF($B69="","",INDEX('Key Inventory'!$B$5:$B$104,MATCH($B69,'Key Inventory'!$A$5:$A$104,0))),"")</f>
        <v/>
      </c>
      <c r="D69" s="25">
        <f>IFERROR(IF($B69="","",INDEX('Key Inventory'!$C$5:$C$104,MATCH($B69,'Key Inventory'!$A$5:$A$104,0))),"")</f>
        <v/>
      </c>
      <c r="E69" s="25">
        <f>IFERROR(IF($B69="","",INDEX('Key Inventory'!$D$5:$D$104,MATCH($B69,'Key Inventory'!$A$5:$A$104,0))),"")</f>
        <v/>
      </c>
      <c r="F69" s="24" t="n"/>
      <c r="G69" s="24" t="n"/>
      <c r="H69" s="24" t="n"/>
      <c r="I69" s="24" t="n"/>
      <c r="J69" s="24" t="n"/>
      <c r="K69" s="24" t="n"/>
      <c r="L69" s="26" t="n"/>
      <c r="M69" s="27" t="n"/>
      <c r="N69" s="26" t="n"/>
      <c r="O69" s="27" t="n"/>
      <c r="P69" s="26" t="n"/>
      <c r="Q69" s="27" t="n"/>
      <c r="R69" s="24" t="n"/>
      <c r="S69" s="24" t="n"/>
      <c r="T69" s="24" t="n"/>
      <c r="U69" s="24" t="n"/>
      <c r="V69" s="25">
        <f>IFERROR(IF(OR($A69="",$B69=""),"",IF($P69&lt;&gt;"","Returned",IF(NOW()&gt;$N69+$O69+(Dashboard!$B$7/24),"Overdue","Checked Out"))),"")</f>
        <v/>
      </c>
      <c r="W69" s="28">
        <f>IFERROR(IF($L69="","",MAX(0,24*((IF($P69&lt;&gt;"",$P69+$Q69,NOW()))-($L69+$M69)))),"")</f>
        <v/>
      </c>
      <c r="X69" s="29">
        <f>IFERROR(IF($B69="","",INDEX('Key Inventory'!$I$5:$I$104,MATCH($B69,'Key Inventory'!$A$5:$A$104,0))),"")</f>
        <v/>
      </c>
      <c r="Y69" s="25">
        <f>IFERROR(IF(AND(OR($V69="Checked Out",$V69="Overdue"),$X69&gt;=Dashboard!$B$9),"Review",""),"")</f>
        <v/>
      </c>
      <c r="Z69" s="24" t="n"/>
      <c r="AA69" s="25">
        <f>IFERROR(IF(OR($V69="Checked Out",$V69="Overdue"),$B69,""),"")</f>
        <v/>
      </c>
    </row>
    <row r="70">
      <c r="A70" s="24" t="n"/>
      <c r="B70" s="24" t="n"/>
      <c r="C70" s="25">
        <f>IFERROR(IF($B70="","",INDEX('Key Inventory'!$B$5:$B$104,MATCH($B70,'Key Inventory'!$A$5:$A$104,0))),"")</f>
        <v/>
      </c>
      <c r="D70" s="25">
        <f>IFERROR(IF($B70="","",INDEX('Key Inventory'!$C$5:$C$104,MATCH($B70,'Key Inventory'!$A$5:$A$104,0))),"")</f>
        <v/>
      </c>
      <c r="E70" s="25">
        <f>IFERROR(IF($B70="","",INDEX('Key Inventory'!$D$5:$D$104,MATCH($B70,'Key Inventory'!$A$5:$A$104,0))),"")</f>
        <v/>
      </c>
      <c r="F70" s="24" t="n"/>
      <c r="G70" s="24" t="n"/>
      <c r="H70" s="24" t="n"/>
      <c r="I70" s="24" t="n"/>
      <c r="J70" s="24" t="n"/>
      <c r="K70" s="24" t="n"/>
      <c r="L70" s="26" t="n"/>
      <c r="M70" s="27" t="n"/>
      <c r="N70" s="26" t="n"/>
      <c r="O70" s="27" t="n"/>
      <c r="P70" s="26" t="n"/>
      <c r="Q70" s="27" t="n"/>
      <c r="R70" s="24" t="n"/>
      <c r="S70" s="24" t="n"/>
      <c r="T70" s="24" t="n"/>
      <c r="U70" s="24" t="n"/>
      <c r="V70" s="25">
        <f>IFERROR(IF(OR($A70="",$B70=""),"",IF($P70&lt;&gt;"","Returned",IF(NOW()&gt;$N70+$O70+(Dashboard!$B$7/24),"Overdue","Checked Out"))),"")</f>
        <v/>
      </c>
      <c r="W70" s="28">
        <f>IFERROR(IF($L70="","",MAX(0,24*((IF($P70&lt;&gt;"",$P70+$Q70,NOW()))-($L70+$M70)))),"")</f>
        <v/>
      </c>
      <c r="X70" s="29">
        <f>IFERROR(IF($B70="","",INDEX('Key Inventory'!$I$5:$I$104,MATCH($B70,'Key Inventory'!$A$5:$A$104,0))),"")</f>
        <v/>
      </c>
      <c r="Y70" s="25">
        <f>IFERROR(IF(AND(OR($V70="Checked Out",$V70="Overdue"),$X70&gt;=Dashboard!$B$9),"Review",""),"")</f>
        <v/>
      </c>
      <c r="Z70" s="24" t="n"/>
      <c r="AA70" s="25">
        <f>IFERROR(IF(OR($V70="Checked Out",$V70="Overdue"),$B70,""),"")</f>
        <v/>
      </c>
    </row>
    <row r="71">
      <c r="A71" s="24" t="n"/>
      <c r="B71" s="24" t="n"/>
      <c r="C71" s="25">
        <f>IFERROR(IF($B71="","",INDEX('Key Inventory'!$B$5:$B$104,MATCH($B71,'Key Inventory'!$A$5:$A$104,0))),"")</f>
        <v/>
      </c>
      <c r="D71" s="25">
        <f>IFERROR(IF($B71="","",INDEX('Key Inventory'!$C$5:$C$104,MATCH($B71,'Key Inventory'!$A$5:$A$104,0))),"")</f>
        <v/>
      </c>
      <c r="E71" s="25">
        <f>IFERROR(IF($B71="","",INDEX('Key Inventory'!$D$5:$D$104,MATCH($B71,'Key Inventory'!$A$5:$A$104,0))),"")</f>
        <v/>
      </c>
      <c r="F71" s="24" t="n"/>
      <c r="G71" s="24" t="n"/>
      <c r="H71" s="24" t="n"/>
      <c r="I71" s="24" t="n"/>
      <c r="J71" s="24" t="n"/>
      <c r="K71" s="24" t="n"/>
      <c r="L71" s="26" t="n"/>
      <c r="M71" s="27" t="n"/>
      <c r="N71" s="26" t="n"/>
      <c r="O71" s="27" t="n"/>
      <c r="P71" s="26" t="n"/>
      <c r="Q71" s="27" t="n"/>
      <c r="R71" s="24" t="n"/>
      <c r="S71" s="24" t="n"/>
      <c r="T71" s="24" t="n"/>
      <c r="U71" s="24" t="n"/>
      <c r="V71" s="25">
        <f>IFERROR(IF(OR($A71="",$B71=""),"",IF($P71&lt;&gt;"","Returned",IF(NOW()&gt;$N71+$O71+(Dashboard!$B$7/24),"Overdue","Checked Out"))),"")</f>
        <v/>
      </c>
      <c r="W71" s="28">
        <f>IFERROR(IF($L71="","",MAX(0,24*((IF($P71&lt;&gt;"",$P71+$Q71,NOW()))-($L71+$M71)))),"")</f>
        <v/>
      </c>
      <c r="X71" s="29">
        <f>IFERROR(IF($B71="","",INDEX('Key Inventory'!$I$5:$I$104,MATCH($B71,'Key Inventory'!$A$5:$A$104,0))),"")</f>
        <v/>
      </c>
      <c r="Y71" s="25">
        <f>IFERROR(IF(AND(OR($V71="Checked Out",$V71="Overdue"),$X71&gt;=Dashboard!$B$9),"Review",""),"")</f>
        <v/>
      </c>
      <c r="Z71" s="24" t="n"/>
      <c r="AA71" s="25">
        <f>IFERROR(IF(OR($V71="Checked Out",$V71="Overdue"),$B71,""),"")</f>
        <v/>
      </c>
    </row>
    <row r="72">
      <c r="A72" s="24" t="n"/>
      <c r="B72" s="24" t="n"/>
      <c r="C72" s="25">
        <f>IFERROR(IF($B72="","",INDEX('Key Inventory'!$B$5:$B$104,MATCH($B72,'Key Inventory'!$A$5:$A$104,0))),"")</f>
        <v/>
      </c>
      <c r="D72" s="25">
        <f>IFERROR(IF($B72="","",INDEX('Key Inventory'!$C$5:$C$104,MATCH($B72,'Key Inventory'!$A$5:$A$104,0))),"")</f>
        <v/>
      </c>
      <c r="E72" s="25">
        <f>IFERROR(IF($B72="","",INDEX('Key Inventory'!$D$5:$D$104,MATCH($B72,'Key Inventory'!$A$5:$A$104,0))),"")</f>
        <v/>
      </c>
      <c r="F72" s="24" t="n"/>
      <c r="G72" s="24" t="n"/>
      <c r="H72" s="24" t="n"/>
      <c r="I72" s="24" t="n"/>
      <c r="J72" s="24" t="n"/>
      <c r="K72" s="24" t="n"/>
      <c r="L72" s="26" t="n"/>
      <c r="M72" s="27" t="n"/>
      <c r="N72" s="26" t="n"/>
      <c r="O72" s="27" t="n"/>
      <c r="P72" s="26" t="n"/>
      <c r="Q72" s="27" t="n"/>
      <c r="R72" s="24" t="n"/>
      <c r="S72" s="24" t="n"/>
      <c r="T72" s="24" t="n"/>
      <c r="U72" s="24" t="n"/>
      <c r="V72" s="25">
        <f>IFERROR(IF(OR($A72="",$B72=""),"",IF($P72&lt;&gt;"","Returned",IF(NOW()&gt;$N72+$O72+(Dashboard!$B$7/24),"Overdue","Checked Out"))),"")</f>
        <v/>
      </c>
      <c r="W72" s="28">
        <f>IFERROR(IF($L72="","",MAX(0,24*((IF($P72&lt;&gt;"",$P72+$Q72,NOW()))-($L72+$M72)))),"")</f>
        <v/>
      </c>
      <c r="X72" s="29">
        <f>IFERROR(IF($B72="","",INDEX('Key Inventory'!$I$5:$I$104,MATCH($B72,'Key Inventory'!$A$5:$A$104,0))),"")</f>
        <v/>
      </c>
      <c r="Y72" s="25">
        <f>IFERROR(IF(AND(OR($V72="Checked Out",$V72="Overdue"),$X72&gt;=Dashboard!$B$9),"Review",""),"")</f>
        <v/>
      </c>
      <c r="Z72" s="24" t="n"/>
      <c r="AA72" s="25">
        <f>IFERROR(IF(OR($V72="Checked Out",$V72="Overdue"),$B72,""),"")</f>
        <v/>
      </c>
    </row>
    <row r="73">
      <c r="A73" s="24" t="n"/>
      <c r="B73" s="24" t="n"/>
      <c r="C73" s="25">
        <f>IFERROR(IF($B73="","",INDEX('Key Inventory'!$B$5:$B$104,MATCH($B73,'Key Inventory'!$A$5:$A$104,0))),"")</f>
        <v/>
      </c>
      <c r="D73" s="25">
        <f>IFERROR(IF($B73="","",INDEX('Key Inventory'!$C$5:$C$104,MATCH($B73,'Key Inventory'!$A$5:$A$104,0))),"")</f>
        <v/>
      </c>
      <c r="E73" s="25">
        <f>IFERROR(IF($B73="","",INDEX('Key Inventory'!$D$5:$D$104,MATCH($B73,'Key Inventory'!$A$5:$A$104,0))),"")</f>
        <v/>
      </c>
      <c r="F73" s="24" t="n"/>
      <c r="G73" s="24" t="n"/>
      <c r="H73" s="24" t="n"/>
      <c r="I73" s="24" t="n"/>
      <c r="J73" s="24" t="n"/>
      <c r="K73" s="24" t="n"/>
      <c r="L73" s="26" t="n"/>
      <c r="M73" s="27" t="n"/>
      <c r="N73" s="26" t="n"/>
      <c r="O73" s="27" t="n"/>
      <c r="P73" s="26" t="n"/>
      <c r="Q73" s="27" t="n"/>
      <c r="R73" s="24" t="n"/>
      <c r="S73" s="24" t="n"/>
      <c r="T73" s="24" t="n"/>
      <c r="U73" s="24" t="n"/>
      <c r="V73" s="25">
        <f>IFERROR(IF(OR($A73="",$B73=""),"",IF($P73&lt;&gt;"","Returned",IF(NOW()&gt;$N73+$O73+(Dashboard!$B$7/24),"Overdue","Checked Out"))),"")</f>
        <v/>
      </c>
      <c r="W73" s="28">
        <f>IFERROR(IF($L73="","",MAX(0,24*((IF($P73&lt;&gt;"",$P73+$Q73,NOW()))-($L73+$M73)))),"")</f>
        <v/>
      </c>
      <c r="X73" s="29">
        <f>IFERROR(IF($B73="","",INDEX('Key Inventory'!$I$5:$I$104,MATCH($B73,'Key Inventory'!$A$5:$A$104,0))),"")</f>
        <v/>
      </c>
      <c r="Y73" s="25">
        <f>IFERROR(IF(AND(OR($V73="Checked Out",$V73="Overdue"),$X73&gt;=Dashboard!$B$9),"Review",""),"")</f>
        <v/>
      </c>
      <c r="Z73" s="24" t="n"/>
      <c r="AA73" s="25">
        <f>IFERROR(IF(OR($V73="Checked Out",$V73="Overdue"),$B73,""),"")</f>
        <v/>
      </c>
    </row>
    <row r="74">
      <c r="A74" s="24" t="n"/>
      <c r="B74" s="24" t="n"/>
      <c r="C74" s="25">
        <f>IFERROR(IF($B74="","",INDEX('Key Inventory'!$B$5:$B$104,MATCH($B74,'Key Inventory'!$A$5:$A$104,0))),"")</f>
        <v/>
      </c>
      <c r="D74" s="25">
        <f>IFERROR(IF($B74="","",INDEX('Key Inventory'!$C$5:$C$104,MATCH($B74,'Key Inventory'!$A$5:$A$104,0))),"")</f>
        <v/>
      </c>
      <c r="E74" s="25">
        <f>IFERROR(IF($B74="","",INDEX('Key Inventory'!$D$5:$D$104,MATCH($B74,'Key Inventory'!$A$5:$A$104,0))),"")</f>
        <v/>
      </c>
      <c r="F74" s="24" t="n"/>
      <c r="G74" s="24" t="n"/>
      <c r="H74" s="24" t="n"/>
      <c r="I74" s="24" t="n"/>
      <c r="J74" s="24" t="n"/>
      <c r="K74" s="24" t="n"/>
      <c r="L74" s="26" t="n"/>
      <c r="M74" s="27" t="n"/>
      <c r="N74" s="26" t="n"/>
      <c r="O74" s="27" t="n"/>
      <c r="P74" s="26" t="n"/>
      <c r="Q74" s="27" t="n"/>
      <c r="R74" s="24" t="n"/>
      <c r="S74" s="24" t="n"/>
      <c r="T74" s="24" t="n"/>
      <c r="U74" s="24" t="n"/>
      <c r="V74" s="25">
        <f>IFERROR(IF(OR($A74="",$B74=""),"",IF($P74&lt;&gt;"","Returned",IF(NOW()&gt;$N74+$O74+(Dashboard!$B$7/24),"Overdue","Checked Out"))),"")</f>
        <v/>
      </c>
      <c r="W74" s="28">
        <f>IFERROR(IF($L74="","",MAX(0,24*((IF($P74&lt;&gt;"",$P74+$Q74,NOW()))-($L74+$M74)))),"")</f>
        <v/>
      </c>
      <c r="X74" s="29">
        <f>IFERROR(IF($B74="","",INDEX('Key Inventory'!$I$5:$I$104,MATCH($B74,'Key Inventory'!$A$5:$A$104,0))),"")</f>
        <v/>
      </c>
      <c r="Y74" s="25">
        <f>IFERROR(IF(AND(OR($V74="Checked Out",$V74="Overdue"),$X74&gt;=Dashboard!$B$9),"Review",""),"")</f>
        <v/>
      </c>
      <c r="Z74" s="24" t="n"/>
      <c r="AA74" s="25">
        <f>IFERROR(IF(OR($V74="Checked Out",$V74="Overdue"),$B74,""),"")</f>
        <v/>
      </c>
    </row>
    <row r="75">
      <c r="A75" s="24" t="n"/>
      <c r="B75" s="24" t="n"/>
      <c r="C75" s="25">
        <f>IFERROR(IF($B75="","",INDEX('Key Inventory'!$B$5:$B$104,MATCH($B75,'Key Inventory'!$A$5:$A$104,0))),"")</f>
        <v/>
      </c>
      <c r="D75" s="25">
        <f>IFERROR(IF($B75="","",INDEX('Key Inventory'!$C$5:$C$104,MATCH($B75,'Key Inventory'!$A$5:$A$104,0))),"")</f>
        <v/>
      </c>
      <c r="E75" s="25">
        <f>IFERROR(IF($B75="","",INDEX('Key Inventory'!$D$5:$D$104,MATCH($B75,'Key Inventory'!$A$5:$A$104,0))),"")</f>
        <v/>
      </c>
      <c r="F75" s="24" t="n"/>
      <c r="G75" s="24" t="n"/>
      <c r="H75" s="24" t="n"/>
      <c r="I75" s="24" t="n"/>
      <c r="J75" s="24" t="n"/>
      <c r="K75" s="24" t="n"/>
      <c r="L75" s="26" t="n"/>
      <c r="M75" s="27" t="n"/>
      <c r="N75" s="26" t="n"/>
      <c r="O75" s="27" t="n"/>
      <c r="P75" s="26" t="n"/>
      <c r="Q75" s="27" t="n"/>
      <c r="R75" s="24" t="n"/>
      <c r="S75" s="24" t="n"/>
      <c r="T75" s="24" t="n"/>
      <c r="U75" s="24" t="n"/>
      <c r="V75" s="25">
        <f>IFERROR(IF(OR($A75="",$B75=""),"",IF($P75&lt;&gt;"","Returned",IF(NOW()&gt;$N75+$O75+(Dashboard!$B$7/24),"Overdue","Checked Out"))),"")</f>
        <v/>
      </c>
      <c r="W75" s="28">
        <f>IFERROR(IF($L75="","",MAX(0,24*((IF($P75&lt;&gt;"",$P75+$Q75,NOW()))-($L75+$M75)))),"")</f>
        <v/>
      </c>
      <c r="X75" s="29">
        <f>IFERROR(IF($B75="","",INDEX('Key Inventory'!$I$5:$I$104,MATCH($B75,'Key Inventory'!$A$5:$A$104,0))),"")</f>
        <v/>
      </c>
      <c r="Y75" s="25">
        <f>IFERROR(IF(AND(OR($V75="Checked Out",$V75="Overdue"),$X75&gt;=Dashboard!$B$9),"Review",""),"")</f>
        <v/>
      </c>
      <c r="Z75" s="24" t="n"/>
      <c r="AA75" s="25">
        <f>IFERROR(IF(OR($V75="Checked Out",$V75="Overdue"),$B75,""),"")</f>
        <v/>
      </c>
    </row>
    <row r="76">
      <c r="A76" s="24" t="n"/>
      <c r="B76" s="24" t="n"/>
      <c r="C76" s="25">
        <f>IFERROR(IF($B76="","",INDEX('Key Inventory'!$B$5:$B$104,MATCH($B76,'Key Inventory'!$A$5:$A$104,0))),"")</f>
        <v/>
      </c>
      <c r="D76" s="25">
        <f>IFERROR(IF($B76="","",INDEX('Key Inventory'!$C$5:$C$104,MATCH($B76,'Key Inventory'!$A$5:$A$104,0))),"")</f>
        <v/>
      </c>
      <c r="E76" s="25">
        <f>IFERROR(IF($B76="","",INDEX('Key Inventory'!$D$5:$D$104,MATCH($B76,'Key Inventory'!$A$5:$A$104,0))),"")</f>
        <v/>
      </c>
      <c r="F76" s="24" t="n"/>
      <c r="G76" s="24" t="n"/>
      <c r="H76" s="24" t="n"/>
      <c r="I76" s="24" t="n"/>
      <c r="J76" s="24" t="n"/>
      <c r="K76" s="24" t="n"/>
      <c r="L76" s="26" t="n"/>
      <c r="M76" s="27" t="n"/>
      <c r="N76" s="26" t="n"/>
      <c r="O76" s="27" t="n"/>
      <c r="P76" s="26" t="n"/>
      <c r="Q76" s="27" t="n"/>
      <c r="R76" s="24" t="n"/>
      <c r="S76" s="24" t="n"/>
      <c r="T76" s="24" t="n"/>
      <c r="U76" s="24" t="n"/>
      <c r="V76" s="25">
        <f>IFERROR(IF(OR($A76="",$B76=""),"",IF($P76&lt;&gt;"","Returned",IF(NOW()&gt;$N76+$O76+(Dashboard!$B$7/24),"Overdue","Checked Out"))),"")</f>
        <v/>
      </c>
      <c r="W76" s="28">
        <f>IFERROR(IF($L76="","",MAX(0,24*((IF($P76&lt;&gt;"",$P76+$Q76,NOW()))-($L76+$M76)))),"")</f>
        <v/>
      </c>
      <c r="X76" s="29">
        <f>IFERROR(IF($B76="","",INDEX('Key Inventory'!$I$5:$I$104,MATCH($B76,'Key Inventory'!$A$5:$A$104,0))),"")</f>
        <v/>
      </c>
      <c r="Y76" s="25">
        <f>IFERROR(IF(AND(OR($V76="Checked Out",$V76="Overdue"),$X76&gt;=Dashboard!$B$9),"Review",""),"")</f>
        <v/>
      </c>
      <c r="Z76" s="24" t="n"/>
      <c r="AA76" s="25">
        <f>IFERROR(IF(OR($V76="Checked Out",$V76="Overdue"),$B76,""),"")</f>
        <v/>
      </c>
    </row>
    <row r="77">
      <c r="A77" s="24" t="n"/>
      <c r="B77" s="24" t="n"/>
      <c r="C77" s="25">
        <f>IFERROR(IF($B77="","",INDEX('Key Inventory'!$B$5:$B$104,MATCH($B77,'Key Inventory'!$A$5:$A$104,0))),"")</f>
        <v/>
      </c>
      <c r="D77" s="25">
        <f>IFERROR(IF($B77="","",INDEX('Key Inventory'!$C$5:$C$104,MATCH($B77,'Key Inventory'!$A$5:$A$104,0))),"")</f>
        <v/>
      </c>
      <c r="E77" s="25">
        <f>IFERROR(IF($B77="","",INDEX('Key Inventory'!$D$5:$D$104,MATCH($B77,'Key Inventory'!$A$5:$A$104,0))),"")</f>
        <v/>
      </c>
      <c r="F77" s="24" t="n"/>
      <c r="G77" s="24" t="n"/>
      <c r="H77" s="24" t="n"/>
      <c r="I77" s="24" t="n"/>
      <c r="J77" s="24" t="n"/>
      <c r="K77" s="24" t="n"/>
      <c r="L77" s="26" t="n"/>
      <c r="M77" s="27" t="n"/>
      <c r="N77" s="26" t="n"/>
      <c r="O77" s="27" t="n"/>
      <c r="P77" s="26" t="n"/>
      <c r="Q77" s="27" t="n"/>
      <c r="R77" s="24" t="n"/>
      <c r="S77" s="24" t="n"/>
      <c r="T77" s="24" t="n"/>
      <c r="U77" s="24" t="n"/>
      <c r="V77" s="25">
        <f>IFERROR(IF(OR($A77="",$B77=""),"",IF($P77&lt;&gt;"","Returned",IF(NOW()&gt;$N77+$O77+(Dashboard!$B$7/24),"Overdue","Checked Out"))),"")</f>
        <v/>
      </c>
      <c r="W77" s="28">
        <f>IFERROR(IF($L77="","",MAX(0,24*((IF($P77&lt;&gt;"",$P77+$Q77,NOW()))-($L77+$M77)))),"")</f>
        <v/>
      </c>
      <c r="X77" s="29">
        <f>IFERROR(IF($B77="","",INDEX('Key Inventory'!$I$5:$I$104,MATCH($B77,'Key Inventory'!$A$5:$A$104,0))),"")</f>
        <v/>
      </c>
      <c r="Y77" s="25">
        <f>IFERROR(IF(AND(OR($V77="Checked Out",$V77="Overdue"),$X77&gt;=Dashboard!$B$9),"Review",""),"")</f>
        <v/>
      </c>
      <c r="Z77" s="24" t="n"/>
      <c r="AA77" s="25">
        <f>IFERROR(IF(OR($V77="Checked Out",$V77="Overdue"),$B77,""),"")</f>
        <v/>
      </c>
    </row>
    <row r="78">
      <c r="A78" s="24" t="n"/>
      <c r="B78" s="24" t="n"/>
      <c r="C78" s="25">
        <f>IFERROR(IF($B78="","",INDEX('Key Inventory'!$B$5:$B$104,MATCH($B78,'Key Inventory'!$A$5:$A$104,0))),"")</f>
        <v/>
      </c>
      <c r="D78" s="25">
        <f>IFERROR(IF($B78="","",INDEX('Key Inventory'!$C$5:$C$104,MATCH($B78,'Key Inventory'!$A$5:$A$104,0))),"")</f>
        <v/>
      </c>
      <c r="E78" s="25">
        <f>IFERROR(IF($B78="","",INDEX('Key Inventory'!$D$5:$D$104,MATCH($B78,'Key Inventory'!$A$5:$A$104,0))),"")</f>
        <v/>
      </c>
      <c r="F78" s="24" t="n"/>
      <c r="G78" s="24" t="n"/>
      <c r="H78" s="24" t="n"/>
      <c r="I78" s="24" t="n"/>
      <c r="J78" s="24" t="n"/>
      <c r="K78" s="24" t="n"/>
      <c r="L78" s="26" t="n"/>
      <c r="M78" s="27" t="n"/>
      <c r="N78" s="26" t="n"/>
      <c r="O78" s="27" t="n"/>
      <c r="P78" s="26" t="n"/>
      <c r="Q78" s="27" t="n"/>
      <c r="R78" s="24" t="n"/>
      <c r="S78" s="24" t="n"/>
      <c r="T78" s="24" t="n"/>
      <c r="U78" s="24" t="n"/>
      <c r="V78" s="25">
        <f>IFERROR(IF(OR($A78="",$B78=""),"",IF($P78&lt;&gt;"","Returned",IF(NOW()&gt;$N78+$O78+(Dashboard!$B$7/24),"Overdue","Checked Out"))),"")</f>
        <v/>
      </c>
      <c r="W78" s="28">
        <f>IFERROR(IF($L78="","",MAX(0,24*((IF($P78&lt;&gt;"",$P78+$Q78,NOW()))-($L78+$M78)))),"")</f>
        <v/>
      </c>
      <c r="X78" s="29">
        <f>IFERROR(IF($B78="","",INDEX('Key Inventory'!$I$5:$I$104,MATCH($B78,'Key Inventory'!$A$5:$A$104,0))),"")</f>
        <v/>
      </c>
      <c r="Y78" s="25">
        <f>IFERROR(IF(AND(OR($V78="Checked Out",$V78="Overdue"),$X78&gt;=Dashboard!$B$9),"Review",""),"")</f>
        <v/>
      </c>
      <c r="Z78" s="24" t="n"/>
      <c r="AA78" s="25">
        <f>IFERROR(IF(OR($V78="Checked Out",$V78="Overdue"),$B78,""),"")</f>
        <v/>
      </c>
    </row>
    <row r="79">
      <c r="A79" s="24" t="n"/>
      <c r="B79" s="24" t="n"/>
      <c r="C79" s="25">
        <f>IFERROR(IF($B79="","",INDEX('Key Inventory'!$B$5:$B$104,MATCH($B79,'Key Inventory'!$A$5:$A$104,0))),"")</f>
        <v/>
      </c>
      <c r="D79" s="25">
        <f>IFERROR(IF($B79="","",INDEX('Key Inventory'!$C$5:$C$104,MATCH($B79,'Key Inventory'!$A$5:$A$104,0))),"")</f>
        <v/>
      </c>
      <c r="E79" s="25">
        <f>IFERROR(IF($B79="","",INDEX('Key Inventory'!$D$5:$D$104,MATCH($B79,'Key Inventory'!$A$5:$A$104,0))),"")</f>
        <v/>
      </c>
      <c r="F79" s="24" t="n"/>
      <c r="G79" s="24" t="n"/>
      <c r="H79" s="24" t="n"/>
      <c r="I79" s="24" t="n"/>
      <c r="J79" s="24" t="n"/>
      <c r="K79" s="24" t="n"/>
      <c r="L79" s="26" t="n"/>
      <c r="M79" s="27" t="n"/>
      <c r="N79" s="26" t="n"/>
      <c r="O79" s="27" t="n"/>
      <c r="P79" s="26" t="n"/>
      <c r="Q79" s="27" t="n"/>
      <c r="R79" s="24" t="n"/>
      <c r="S79" s="24" t="n"/>
      <c r="T79" s="24" t="n"/>
      <c r="U79" s="24" t="n"/>
      <c r="V79" s="25">
        <f>IFERROR(IF(OR($A79="",$B79=""),"",IF($P79&lt;&gt;"","Returned",IF(NOW()&gt;$N79+$O79+(Dashboard!$B$7/24),"Overdue","Checked Out"))),"")</f>
        <v/>
      </c>
      <c r="W79" s="28">
        <f>IFERROR(IF($L79="","",MAX(0,24*((IF($P79&lt;&gt;"",$P79+$Q79,NOW()))-($L79+$M79)))),"")</f>
        <v/>
      </c>
      <c r="X79" s="29">
        <f>IFERROR(IF($B79="","",INDEX('Key Inventory'!$I$5:$I$104,MATCH($B79,'Key Inventory'!$A$5:$A$104,0))),"")</f>
        <v/>
      </c>
      <c r="Y79" s="25">
        <f>IFERROR(IF(AND(OR($V79="Checked Out",$V79="Overdue"),$X79&gt;=Dashboard!$B$9),"Review",""),"")</f>
        <v/>
      </c>
      <c r="Z79" s="24" t="n"/>
      <c r="AA79" s="25">
        <f>IFERROR(IF(OR($V79="Checked Out",$V79="Overdue"),$B79,""),"")</f>
        <v/>
      </c>
    </row>
    <row r="80">
      <c r="A80" s="24" t="n"/>
      <c r="B80" s="24" t="n"/>
      <c r="C80" s="25">
        <f>IFERROR(IF($B80="","",INDEX('Key Inventory'!$B$5:$B$104,MATCH($B80,'Key Inventory'!$A$5:$A$104,0))),"")</f>
        <v/>
      </c>
      <c r="D80" s="25">
        <f>IFERROR(IF($B80="","",INDEX('Key Inventory'!$C$5:$C$104,MATCH($B80,'Key Inventory'!$A$5:$A$104,0))),"")</f>
        <v/>
      </c>
      <c r="E80" s="25">
        <f>IFERROR(IF($B80="","",INDEX('Key Inventory'!$D$5:$D$104,MATCH($B80,'Key Inventory'!$A$5:$A$104,0))),"")</f>
        <v/>
      </c>
      <c r="F80" s="24" t="n"/>
      <c r="G80" s="24" t="n"/>
      <c r="H80" s="24" t="n"/>
      <c r="I80" s="24" t="n"/>
      <c r="J80" s="24" t="n"/>
      <c r="K80" s="24" t="n"/>
      <c r="L80" s="26" t="n"/>
      <c r="M80" s="27" t="n"/>
      <c r="N80" s="26" t="n"/>
      <c r="O80" s="27" t="n"/>
      <c r="P80" s="26" t="n"/>
      <c r="Q80" s="27" t="n"/>
      <c r="R80" s="24" t="n"/>
      <c r="S80" s="24" t="n"/>
      <c r="T80" s="24" t="n"/>
      <c r="U80" s="24" t="n"/>
      <c r="V80" s="25">
        <f>IFERROR(IF(OR($A80="",$B80=""),"",IF($P80&lt;&gt;"","Returned",IF(NOW()&gt;$N80+$O80+(Dashboard!$B$7/24),"Overdue","Checked Out"))),"")</f>
        <v/>
      </c>
      <c r="W80" s="28">
        <f>IFERROR(IF($L80="","",MAX(0,24*((IF($P80&lt;&gt;"",$P80+$Q80,NOW()))-($L80+$M80)))),"")</f>
        <v/>
      </c>
      <c r="X80" s="29">
        <f>IFERROR(IF($B80="","",INDEX('Key Inventory'!$I$5:$I$104,MATCH($B80,'Key Inventory'!$A$5:$A$104,0))),"")</f>
        <v/>
      </c>
      <c r="Y80" s="25">
        <f>IFERROR(IF(AND(OR($V80="Checked Out",$V80="Overdue"),$X80&gt;=Dashboard!$B$9),"Review",""),"")</f>
        <v/>
      </c>
      <c r="Z80" s="24" t="n"/>
      <c r="AA80" s="25">
        <f>IFERROR(IF(OR($V80="Checked Out",$V80="Overdue"),$B80,""),"")</f>
        <v/>
      </c>
    </row>
    <row r="81">
      <c r="A81" s="24" t="n"/>
      <c r="B81" s="24" t="n"/>
      <c r="C81" s="25">
        <f>IFERROR(IF($B81="","",INDEX('Key Inventory'!$B$5:$B$104,MATCH($B81,'Key Inventory'!$A$5:$A$104,0))),"")</f>
        <v/>
      </c>
      <c r="D81" s="25">
        <f>IFERROR(IF($B81="","",INDEX('Key Inventory'!$C$5:$C$104,MATCH($B81,'Key Inventory'!$A$5:$A$104,0))),"")</f>
        <v/>
      </c>
      <c r="E81" s="25">
        <f>IFERROR(IF($B81="","",INDEX('Key Inventory'!$D$5:$D$104,MATCH($B81,'Key Inventory'!$A$5:$A$104,0))),"")</f>
        <v/>
      </c>
      <c r="F81" s="24" t="n"/>
      <c r="G81" s="24" t="n"/>
      <c r="H81" s="24" t="n"/>
      <c r="I81" s="24" t="n"/>
      <c r="J81" s="24" t="n"/>
      <c r="K81" s="24" t="n"/>
      <c r="L81" s="26" t="n"/>
      <c r="M81" s="27" t="n"/>
      <c r="N81" s="26" t="n"/>
      <c r="O81" s="27" t="n"/>
      <c r="P81" s="26" t="n"/>
      <c r="Q81" s="27" t="n"/>
      <c r="R81" s="24" t="n"/>
      <c r="S81" s="24" t="n"/>
      <c r="T81" s="24" t="n"/>
      <c r="U81" s="24" t="n"/>
      <c r="V81" s="25">
        <f>IFERROR(IF(OR($A81="",$B81=""),"",IF($P81&lt;&gt;"","Returned",IF(NOW()&gt;$N81+$O81+(Dashboard!$B$7/24),"Overdue","Checked Out"))),"")</f>
        <v/>
      </c>
      <c r="W81" s="28">
        <f>IFERROR(IF($L81="","",MAX(0,24*((IF($P81&lt;&gt;"",$P81+$Q81,NOW()))-($L81+$M81)))),"")</f>
        <v/>
      </c>
      <c r="X81" s="29">
        <f>IFERROR(IF($B81="","",INDEX('Key Inventory'!$I$5:$I$104,MATCH($B81,'Key Inventory'!$A$5:$A$104,0))),"")</f>
        <v/>
      </c>
      <c r="Y81" s="25">
        <f>IFERROR(IF(AND(OR($V81="Checked Out",$V81="Overdue"),$X81&gt;=Dashboard!$B$9),"Review",""),"")</f>
        <v/>
      </c>
      <c r="Z81" s="24" t="n"/>
      <c r="AA81" s="25">
        <f>IFERROR(IF(OR($V81="Checked Out",$V81="Overdue"),$B81,""),"")</f>
        <v/>
      </c>
    </row>
    <row r="82">
      <c r="A82" s="24" t="n"/>
      <c r="B82" s="24" t="n"/>
      <c r="C82" s="25">
        <f>IFERROR(IF($B82="","",INDEX('Key Inventory'!$B$5:$B$104,MATCH($B82,'Key Inventory'!$A$5:$A$104,0))),"")</f>
        <v/>
      </c>
      <c r="D82" s="25">
        <f>IFERROR(IF($B82="","",INDEX('Key Inventory'!$C$5:$C$104,MATCH($B82,'Key Inventory'!$A$5:$A$104,0))),"")</f>
        <v/>
      </c>
      <c r="E82" s="25">
        <f>IFERROR(IF($B82="","",INDEX('Key Inventory'!$D$5:$D$104,MATCH($B82,'Key Inventory'!$A$5:$A$104,0))),"")</f>
        <v/>
      </c>
      <c r="F82" s="24" t="n"/>
      <c r="G82" s="24" t="n"/>
      <c r="H82" s="24" t="n"/>
      <c r="I82" s="24" t="n"/>
      <c r="J82" s="24" t="n"/>
      <c r="K82" s="24" t="n"/>
      <c r="L82" s="26" t="n"/>
      <c r="M82" s="27" t="n"/>
      <c r="N82" s="26" t="n"/>
      <c r="O82" s="27" t="n"/>
      <c r="P82" s="26" t="n"/>
      <c r="Q82" s="27" t="n"/>
      <c r="R82" s="24" t="n"/>
      <c r="S82" s="24" t="n"/>
      <c r="T82" s="24" t="n"/>
      <c r="U82" s="24" t="n"/>
      <c r="V82" s="25">
        <f>IFERROR(IF(OR($A82="",$B82=""),"",IF($P82&lt;&gt;"","Returned",IF(NOW()&gt;$N82+$O82+(Dashboard!$B$7/24),"Overdue","Checked Out"))),"")</f>
        <v/>
      </c>
      <c r="W82" s="28">
        <f>IFERROR(IF($L82="","",MAX(0,24*((IF($P82&lt;&gt;"",$P82+$Q82,NOW()))-($L82+$M82)))),"")</f>
        <v/>
      </c>
      <c r="X82" s="29">
        <f>IFERROR(IF($B82="","",INDEX('Key Inventory'!$I$5:$I$104,MATCH($B82,'Key Inventory'!$A$5:$A$104,0))),"")</f>
        <v/>
      </c>
      <c r="Y82" s="25">
        <f>IFERROR(IF(AND(OR($V82="Checked Out",$V82="Overdue"),$X82&gt;=Dashboard!$B$9),"Review",""),"")</f>
        <v/>
      </c>
      <c r="Z82" s="24" t="n"/>
      <c r="AA82" s="25">
        <f>IFERROR(IF(OR($V82="Checked Out",$V82="Overdue"),$B82,""),"")</f>
        <v/>
      </c>
    </row>
    <row r="83">
      <c r="A83" s="24" t="n"/>
      <c r="B83" s="24" t="n"/>
      <c r="C83" s="25">
        <f>IFERROR(IF($B83="","",INDEX('Key Inventory'!$B$5:$B$104,MATCH($B83,'Key Inventory'!$A$5:$A$104,0))),"")</f>
        <v/>
      </c>
      <c r="D83" s="25">
        <f>IFERROR(IF($B83="","",INDEX('Key Inventory'!$C$5:$C$104,MATCH($B83,'Key Inventory'!$A$5:$A$104,0))),"")</f>
        <v/>
      </c>
      <c r="E83" s="25">
        <f>IFERROR(IF($B83="","",INDEX('Key Inventory'!$D$5:$D$104,MATCH($B83,'Key Inventory'!$A$5:$A$104,0))),"")</f>
        <v/>
      </c>
      <c r="F83" s="24" t="n"/>
      <c r="G83" s="24" t="n"/>
      <c r="H83" s="24" t="n"/>
      <c r="I83" s="24" t="n"/>
      <c r="J83" s="24" t="n"/>
      <c r="K83" s="24" t="n"/>
      <c r="L83" s="26" t="n"/>
      <c r="M83" s="27" t="n"/>
      <c r="N83" s="26" t="n"/>
      <c r="O83" s="27" t="n"/>
      <c r="P83" s="26" t="n"/>
      <c r="Q83" s="27" t="n"/>
      <c r="R83" s="24" t="n"/>
      <c r="S83" s="24" t="n"/>
      <c r="T83" s="24" t="n"/>
      <c r="U83" s="24" t="n"/>
      <c r="V83" s="25">
        <f>IFERROR(IF(OR($A83="",$B83=""),"",IF($P83&lt;&gt;"","Returned",IF(NOW()&gt;$N83+$O83+(Dashboard!$B$7/24),"Overdue","Checked Out"))),"")</f>
        <v/>
      </c>
      <c r="W83" s="28">
        <f>IFERROR(IF($L83="","",MAX(0,24*((IF($P83&lt;&gt;"",$P83+$Q83,NOW()))-($L83+$M83)))),"")</f>
        <v/>
      </c>
      <c r="X83" s="29">
        <f>IFERROR(IF($B83="","",INDEX('Key Inventory'!$I$5:$I$104,MATCH($B83,'Key Inventory'!$A$5:$A$104,0))),"")</f>
        <v/>
      </c>
      <c r="Y83" s="25">
        <f>IFERROR(IF(AND(OR($V83="Checked Out",$V83="Overdue"),$X83&gt;=Dashboard!$B$9),"Review",""),"")</f>
        <v/>
      </c>
      <c r="Z83" s="24" t="n"/>
      <c r="AA83" s="25">
        <f>IFERROR(IF(OR($V83="Checked Out",$V83="Overdue"),$B83,""),"")</f>
        <v/>
      </c>
    </row>
    <row r="84">
      <c r="A84" s="24" t="n"/>
      <c r="B84" s="24" t="n"/>
      <c r="C84" s="25">
        <f>IFERROR(IF($B84="","",INDEX('Key Inventory'!$B$5:$B$104,MATCH($B84,'Key Inventory'!$A$5:$A$104,0))),"")</f>
        <v/>
      </c>
      <c r="D84" s="25">
        <f>IFERROR(IF($B84="","",INDEX('Key Inventory'!$C$5:$C$104,MATCH($B84,'Key Inventory'!$A$5:$A$104,0))),"")</f>
        <v/>
      </c>
      <c r="E84" s="25">
        <f>IFERROR(IF($B84="","",INDEX('Key Inventory'!$D$5:$D$104,MATCH($B84,'Key Inventory'!$A$5:$A$104,0))),"")</f>
        <v/>
      </c>
      <c r="F84" s="24" t="n"/>
      <c r="G84" s="24" t="n"/>
      <c r="H84" s="24" t="n"/>
      <c r="I84" s="24" t="n"/>
      <c r="J84" s="24" t="n"/>
      <c r="K84" s="24" t="n"/>
      <c r="L84" s="26" t="n"/>
      <c r="M84" s="27" t="n"/>
      <c r="N84" s="26" t="n"/>
      <c r="O84" s="27" t="n"/>
      <c r="P84" s="26" t="n"/>
      <c r="Q84" s="27" t="n"/>
      <c r="R84" s="24" t="n"/>
      <c r="S84" s="24" t="n"/>
      <c r="T84" s="24" t="n"/>
      <c r="U84" s="24" t="n"/>
      <c r="V84" s="25">
        <f>IFERROR(IF(OR($A84="",$B84=""),"",IF($P84&lt;&gt;"","Returned",IF(NOW()&gt;$N84+$O84+(Dashboard!$B$7/24),"Overdue","Checked Out"))),"")</f>
        <v/>
      </c>
      <c r="W84" s="28">
        <f>IFERROR(IF($L84="","",MAX(0,24*((IF($P84&lt;&gt;"",$P84+$Q84,NOW()))-($L84+$M84)))),"")</f>
        <v/>
      </c>
      <c r="X84" s="29">
        <f>IFERROR(IF($B84="","",INDEX('Key Inventory'!$I$5:$I$104,MATCH($B84,'Key Inventory'!$A$5:$A$104,0))),"")</f>
        <v/>
      </c>
      <c r="Y84" s="25">
        <f>IFERROR(IF(AND(OR($V84="Checked Out",$V84="Overdue"),$X84&gt;=Dashboard!$B$9),"Review",""),"")</f>
        <v/>
      </c>
      <c r="Z84" s="24" t="n"/>
      <c r="AA84" s="25">
        <f>IFERROR(IF(OR($V84="Checked Out",$V84="Overdue"),$B84,""),"")</f>
        <v/>
      </c>
    </row>
    <row r="85">
      <c r="A85" s="24" t="n"/>
      <c r="B85" s="24" t="n"/>
      <c r="C85" s="25">
        <f>IFERROR(IF($B85="","",INDEX('Key Inventory'!$B$5:$B$104,MATCH($B85,'Key Inventory'!$A$5:$A$104,0))),"")</f>
        <v/>
      </c>
      <c r="D85" s="25">
        <f>IFERROR(IF($B85="","",INDEX('Key Inventory'!$C$5:$C$104,MATCH($B85,'Key Inventory'!$A$5:$A$104,0))),"")</f>
        <v/>
      </c>
      <c r="E85" s="25">
        <f>IFERROR(IF($B85="","",INDEX('Key Inventory'!$D$5:$D$104,MATCH($B85,'Key Inventory'!$A$5:$A$104,0))),"")</f>
        <v/>
      </c>
      <c r="F85" s="24" t="n"/>
      <c r="G85" s="24" t="n"/>
      <c r="H85" s="24" t="n"/>
      <c r="I85" s="24" t="n"/>
      <c r="J85" s="24" t="n"/>
      <c r="K85" s="24" t="n"/>
      <c r="L85" s="26" t="n"/>
      <c r="M85" s="27" t="n"/>
      <c r="N85" s="26" t="n"/>
      <c r="O85" s="27" t="n"/>
      <c r="P85" s="26" t="n"/>
      <c r="Q85" s="27" t="n"/>
      <c r="R85" s="24" t="n"/>
      <c r="S85" s="24" t="n"/>
      <c r="T85" s="24" t="n"/>
      <c r="U85" s="24" t="n"/>
      <c r="V85" s="25">
        <f>IFERROR(IF(OR($A85="",$B85=""),"",IF($P85&lt;&gt;"","Returned",IF(NOW()&gt;$N85+$O85+(Dashboard!$B$7/24),"Overdue","Checked Out"))),"")</f>
        <v/>
      </c>
      <c r="W85" s="28">
        <f>IFERROR(IF($L85="","",MAX(0,24*((IF($P85&lt;&gt;"",$P85+$Q85,NOW()))-($L85+$M85)))),"")</f>
        <v/>
      </c>
      <c r="X85" s="29">
        <f>IFERROR(IF($B85="","",INDEX('Key Inventory'!$I$5:$I$104,MATCH($B85,'Key Inventory'!$A$5:$A$104,0))),"")</f>
        <v/>
      </c>
      <c r="Y85" s="25">
        <f>IFERROR(IF(AND(OR($V85="Checked Out",$V85="Overdue"),$X85&gt;=Dashboard!$B$9),"Review",""),"")</f>
        <v/>
      </c>
      <c r="Z85" s="24" t="n"/>
      <c r="AA85" s="25">
        <f>IFERROR(IF(OR($V85="Checked Out",$V85="Overdue"),$B85,""),"")</f>
        <v/>
      </c>
    </row>
    <row r="86">
      <c r="A86" s="24" t="n"/>
      <c r="B86" s="24" t="n"/>
      <c r="C86" s="25">
        <f>IFERROR(IF($B86="","",INDEX('Key Inventory'!$B$5:$B$104,MATCH($B86,'Key Inventory'!$A$5:$A$104,0))),"")</f>
        <v/>
      </c>
      <c r="D86" s="25">
        <f>IFERROR(IF($B86="","",INDEX('Key Inventory'!$C$5:$C$104,MATCH($B86,'Key Inventory'!$A$5:$A$104,0))),"")</f>
        <v/>
      </c>
      <c r="E86" s="25">
        <f>IFERROR(IF($B86="","",INDEX('Key Inventory'!$D$5:$D$104,MATCH($B86,'Key Inventory'!$A$5:$A$104,0))),"")</f>
        <v/>
      </c>
      <c r="F86" s="24" t="n"/>
      <c r="G86" s="24" t="n"/>
      <c r="H86" s="24" t="n"/>
      <c r="I86" s="24" t="n"/>
      <c r="J86" s="24" t="n"/>
      <c r="K86" s="24" t="n"/>
      <c r="L86" s="26" t="n"/>
      <c r="M86" s="27" t="n"/>
      <c r="N86" s="26" t="n"/>
      <c r="O86" s="27" t="n"/>
      <c r="P86" s="26" t="n"/>
      <c r="Q86" s="27" t="n"/>
      <c r="R86" s="24" t="n"/>
      <c r="S86" s="24" t="n"/>
      <c r="T86" s="24" t="n"/>
      <c r="U86" s="24" t="n"/>
      <c r="V86" s="25">
        <f>IFERROR(IF(OR($A86="",$B86=""),"",IF($P86&lt;&gt;"","Returned",IF(NOW()&gt;$N86+$O86+(Dashboard!$B$7/24),"Overdue","Checked Out"))),"")</f>
        <v/>
      </c>
      <c r="W86" s="28">
        <f>IFERROR(IF($L86="","",MAX(0,24*((IF($P86&lt;&gt;"",$P86+$Q86,NOW()))-($L86+$M86)))),"")</f>
        <v/>
      </c>
      <c r="X86" s="29">
        <f>IFERROR(IF($B86="","",INDEX('Key Inventory'!$I$5:$I$104,MATCH($B86,'Key Inventory'!$A$5:$A$104,0))),"")</f>
        <v/>
      </c>
      <c r="Y86" s="25">
        <f>IFERROR(IF(AND(OR($V86="Checked Out",$V86="Overdue"),$X86&gt;=Dashboard!$B$9),"Review",""),"")</f>
        <v/>
      </c>
      <c r="Z86" s="24" t="n"/>
      <c r="AA86" s="25">
        <f>IFERROR(IF(OR($V86="Checked Out",$V86="Overdue"),$B86,""),"")</f>
        <v/>
      </c>
    </row>
    <row r="87">
      <c r="A87" s="24" t="n"/>
      <c r="B87" s="24" t="n"/>
      <c r="C87" s="25">
        <f>IFERROR(IF($B87="","",INDEX('Key Inventory'!$B$5:$B$104,MATCH($B87,'Key Inventory'!$A$5:$A$104,0))),"")</f>
        <v/>
      </c>
      <c r="D87" s="25">
        <f>IFERROR(IF($B87="","",INDEX('Key Inventory'!$C$5:$C$104,MATCH($B87,'Key Inventory'!$A$5:$A$104,0))),"")</f>
        <v/>
      </c>
      <c r="E87" s="25">
        <f>IFERROR(IF($B87="","",INDEX('Key Inventory'!$D$5:$D$104,MATCH($B87,'Key Inventory'!$A$5:$A$104,0))),"")</f>
        <v/>
      </c>
      <c r="F87" s="24" t="n"/>
      <c r="G87" s="24" t="n"/>
      <c r="H87" s="24" t="n"/>
      <c r="I87" s="24" t="n"/>
      <c r="J87" s="24" t="n"/>
      <c r="K87" s="24" t="n"/>
      <c r="L87" s="26" t="n"/>
      <c r="M87" s="27" t="n"/>
      <c r="N87" s="26" t="n"/>
      <c r="O87" s="27" t="n"/>
      <c r="P87" s="26" t="n"/>
      <c r="Q87" s="27" t="n"/>
      <c r="R87" s="24" t="n"/>
      <c r="S87" s="24" t="n"/>
      <c r="T87" s="24" t="n"/>
      <c r="U87" s="24" t="n"/>
      <c r="V87" s="25">
        <f>IFERROR(IF(OR($A87="",$B87=""),"",IF($P87&lt;&gt;"","Returned",IF(NOW()&gt;$N87+$O87+(Dashboard!$B$7/24),"Overdue","Checked Out"))),"")</f>
        <v/>
      </c>
      <c r="W87" s="28">
        <f>IFERROR(IF($L87="","",MAX(0,24*((IF($P87&lt;&gt;"",$P87+$Q87,NOW()))-($L87+$M87)))),"")</f>
        <v/>
      </c>
      <c r="X87" s="29">
        <f>IFERROR(IF($B87="","",INDEX('Key Inventory'!$I$5:$I$104,MATCH($B87,'Key Inventory'!$A$5:$A$104,0))),"")</f>
        <v/>
      </c>
      <c r="Y87" s="25">
        <f>IFERROR(IF(AND(OR($V87="Checked Out",$V87="Overdue"),$X87&gt;=Dashboard!$B$9),"Review",""),"")</f>
        <v/>
      </c>
      <c r="Z87" s="24" t="n"/>
      <c r="AA87" s="25">
        <f>IFERROR(IF(OR($V87="Checked Out",$V87="Overdue"),$B87,""),"")</f>
        <v/>
      </c>
    </row>
    <row r="88">
      <c r="A88" s="24" t="n"/>
      <c r="B88" s="24" t="n"/>
      <c r="C88" s="25">
        <f>IFERROR(IF($B88="","",INDEX('Key Inventory'!$B$5:$B$104,MATCH($B88,'Key Inventory'!$A$5:$A$104,0))),"")</f>
        <v/>
      </c>
      <c r="D88" s="25">
        <f>IFERROR(IF($B88="","",INDEX('Key Inventory'!$C$5:$C$104,MATCH($B88,'Key Inventory'!$A$5:$A$104,0))),"")</f>
        <v/>
      </c>
      <c r="E88" s="25">
        <f>IFERROR(IF($B88="","",INDEX('Key Inventory'!$D$5:$D$104,MATCH($B88,'Key Inventory'!$A$5:$A$104,0))),"")</f>
        <v/>
      </c>
      <c r="F88" s="24" t="n"/>
      <c r="G88" s="24" t="n"/>
      <c r="H88" s="24" t="n"/>
      <c r="I88" s="24" t="n"/>
      <c r="J88" s="24" t="n"/>
      <c r="K88" s="24" t="n"/>
      <c r="L88" s="26" t="n"/>
      <c r="M88" s="27" t="n"/>
      <c r="N88" s="26" t="n"/>
      <c r="O88" s="27" t="n"/>
      <c r="P88" s="26" t="n"/>
      <c r="Q88" s="27" t="n"/>
      <c r="R88" s="24" t="n"/>
      <c r="S88" s="24" t="n"/>
      <c r="T88" s="24" t="n"/>
      <c r="U88" s="24" t="n"/>
      <c r="V88" s="25">
        <f>IFERROR(IF(OR($A88="",$B88=""),"",IF($P88&lt;&gt;"","Returned",IF(NOW()&gt;$N88+$O88+(Dashboard!$B$7/24),"Overdue","Checked Out"))),"")</f>
        <v/>
      </c>
      <c r="W88" s="28">
        <f>IFERROR(IF($L88="","",MAX(0,24*((IF($P88&lt;&gt;"",$P88+$Q88,NOW()))-($L88+$M88)))),"")</f>
        <v/>
      </c>
      <c r="X88" s="29">
        <f>IFERROR(IF($B88="","",INDEX('Key Inventory'!$I$5:$I$104,MATCH($B88,'Key Inventory'!$A$5:$A$104,0))),"")</f>
        <v/>
      </c>
      <c r="Y88" s="25">
        <f>IFERROR(IF(AND(OR($V88="Checked Out",$V88="Overdue"),$X88&gt;=Dashboard!$B$9),"Review",""),"")</f>
        <v/>
      </c>
      <c r="Z88" s="24" t="n"/>
      <c r="AA88" s="25">
        <f>IFERROR(IF(OR($V88="Checked Out",$V88="Overdue"),$B88,""),"")</f>
        <v/>
      </c>
    </row>
    <row r="89">
      <c r="A89" s="24" t="n"/>
      <c r="B89" s="24" t="n"/>
      <c r="C89" s="25">
        <f>IFERROR(IF($B89="","",INDEX('Key Inventory'!$B$5:$B$104,MATCH($B89,'Key Inventory'!$A$5:$A$104,0))),"")</f>
        <v/>
      </c>
      <c r="D89" s="25">
        <f>IFERROR(IF($B89="","",INDEX('Key Inventory'!$C$5:$C$104,MATCH($B89,'Key Inventory'!$A$5:$A$104,0))),"")</f>
        <v/>
      </c>
      <c r="E89" s="25">
        <f>IFERROR(IF($B89="","",INDEX('Key Inventory'!$D$5:$D$104,MATCH($B89,'Key Inventory'!$A$5:$A$104,0))),"")</f>
        <v/>
      </c>
      <c r="F89" s="24" t="n"/>
      <c r="G89" s="24" t="n"/>
      <c r="H89" s="24" t="n"/>
      <c r="I89" s="24" t="n"/>
      <c r="J89" s="24" t="n"/>
      <c r="K89" s="24" t="n"/>
      <c r="L89" s="26" t="n"/>
      <c r="M89" s="27" t="n"/>
      <c r="N89" s="26" t="n"/>
      <c r="O89" s="27" t="n"/>
      <c r="P89" s="26" t="n"/>
      <c r="Q89" s="27" t="n"/>
      <c r="R89" s="24" t="n"/>
      <c r="S89" s="24" t="n"/>
      <c r="T89" s="24" t="n"/>
      <c r="U89" s="24" t="n"/>
      <c r="V89" s="25">
        <f>IFERROR(IF(OR($A89="",$B89=""),"",IF($P89&lt;&gt;"","Returned",IF(NOW()&gt;$N89+$O89+(Dashboard!$B$7/24),"Overdue","Checked Out"))),"")</f>
        <v/>
      </c>
      <c r="W89" s="28">
        <f>IFERROR(IF($L89="","",MAX(0,24*((IF($P89&lt;&gt;"",$P89+$Q89,NOW()))-($L89+$M89)))),"")</f>
        <v/>
      </c>
      <c r="X89" s="29">
        <f>IFERROR(IF($B89="","",INDEX('Key Inventory'!$I$5:$I$104,MATCH($B89,'Key Inventory'!$A$5:$A$104,0))),"")</f>
        <v/>
      </c>
      <c r="Y89" s="25">
        <f>IFERROR(IF(AND(OR($V89="Checked Out",$V89="Overdue"),$X89&gt;=Dashboard!$B$9),"Review",""),"")</f>
        <v/>
      </c>
      <c r="Z89" s="24" t="n"/>
      <c r="AA89" s="25">
        <f>IFERROR(IF(OR($V89="Checked Out",$V89="Overdue"),$B89,""),"")</f>
        <v/>
      </c>
    </row>
    <row r="90">
      <c r="A90" s="24" t="n"/>
      <c r="B90" s="24" t="n"/>
      <c r="C90" s="25">
        <f>IFERROR(IF($B90="","",INDEX('Key Inventory'!$B$5:$B$104,MATCH($B90,'Key Inventory'!$A$5:$A$104,0))),"")</f>
        <v/>
      </c>
      <c r="D90" s="25">
        <f>IFERROR(IF($B90="","",INDEX('Key Inventory'!$C$5:$C$104,MATCH($B90,'Key Inventory'!$A$5:$A$104,0))),"")</f>
        <v/>
      </c>
      <c r="E90" s="25">
        <f>IFERROR(IF($B90="","",INDEX('Key Inventory'!$D$5:$D$104,MATCH($B90,'Key Inventory'!$A$5:$A$104,0))),"")</f>
        <v/>
      </c>
      <c r="F90" s="24" t="n"/>
      <c r="G90" s="24" t="n"/>
      <c r="H90" s="24" t="n"/>
      <c r="I90" s="24" t="n"/>
      <c r="J90" s="24" t="n"/>
      <c r="K90" s="24" t="n"/>
      <c r="L90" s="26" t="n"/>
      <c r="M90" s="27" t="n"/>
      <c r="N90" s="26" t="n"/>
      <c r="O90" s="27" t="n"/>
      <c r="P90" s="26" t="n"/>
      <c r="Q90" s="27" t="n"/>
      <c r="R90" s="24" t="n"/>
      <c r="S90" s="24" t="n"/>
      <c r="T90" s="24" t="n"/>
      <c r="U90" s="24" t="n"/>
      <c r="V90" s="25">
        <f>IFERROR(IF(OR($A90="",$B90=""),"",IF($P90&lt;&gt;"","Returned",IF(NOW()&gt;$N90+$O90+(Dashboard!$B$7/24),"Overdue","Checked Out"))),"")</f>
        <v/>
      </c>
      <c r="W90" s="28">
        <f>IFERROR(IF($L90="","",MAX(0,24*((IF($P90&lt;&gt;"",$P90+$Q90,NOW()))-($L90+$M90)))),"")</f>
        <v/>
      </c>
      <c r="X90" s="29">
        <f>IFERROR(IF($B90="","",INDEX('Key Inventory'!$I$5:$I$104,MATCH($B90,'Key Inventory'!$A$5:$A$104,0))),"")</f>
        <v/>
      </c>
      <c r="Y90" s="25">
        <f>IFERROR(IF(AND(OR($V90="Checked Out",$V90="Overdue"),$X90&gt;=Dashboard!$B$9),"Review",""),"")</f>
        <v/>
      </c>
      <c r="Z90" s="24" t="n"/>
      <c r="AA90" s="25">
        <f>IFERROR(IF(OR($V90="Checked Out",$V90="Overdue"),$B90,""),"")</f>
        <v/>
      </c>
    </row>
    <row r="91">
      <c r="A91" s="24" t="n"/>
      <c r="B91" s="24" t="n"/>
      <c r="C91" s="25">
        <f>IFERROR(IF($B91="","",INDEX('Key Inventory'!$B$5:$B$104,MATCH($B91,'Key Inventory'!$A$5:$A$104,0))),"")</f>
        <v/>
      </c>
      <c r="D91" s="25">
        <f>IFERROR(IF($B91="","",INDEX('Key Inventory'!$C$5:$C$104,MATCH($B91,'Key Inventory'!$A$5:$A$104,0))),"")</f>
        <v/>
      </c>
      <c r="E91" s="25">
        <f>IFERROR(IF($B91="","",INDEX('Key Inventory'!$D$5:$D$104,MATCH($B91,'Key Inventory'!$A$5:$A$104,0))),"")</f>
        <v/>
      </c>
      <c r="F91" s="24" t="n"/>
      <c r="G91" s="24" t="n"/>
      <c r="H91" s="24" t="n"/>
      <c r="I91" s="24" t="n"/>
      <c r="J91" s="24" t="n"/>
      <c r="K91" s="24" t="n"/>
      <c r="L91" s="26" t="n"/>
      <c r="M91" s="27" t="n"/>
      <c r="N91" s="26" t="n"/>
      <c r="O91" s="27" t="n"/>
      <c r="P91" s="26" t="n"/>
      <c r="Q91" s="27" t="n"/>
      <c r="R91" s="24" t="n"/>
      <c r="S91" s="24" t="n"/>
      <c r="T91" s="24" t="n"/>
      <c r="U91" s="24" t="n"/>
      <c r="V91" s="25">
        <f>IFERROR(IF(OR($A91="",$B91=""),"",IF($P91&lt;&gt;"","Returned",IF(NOW()&gt;$N91+$O91+(Dashboard!$B$7/24),"Overdue","Checked Out"))),"")</f>
        <v/>
      </c>
      <c r="W91" s="28">
        <f>IFERROR(IF($L91="","",MAX(0,24*((IF($P91&lt;&gt;"",$P91+$Q91,NOW()))-($L91+$M91)))),"")</f>
        <v/>
      </c>
      <c r="X91" s="29">
        <f>IFERROR(IF($B91="","",INDEX('Key Inventory'!$I$5:$I$104,MATCH($B91,'Key Inventory'!$A$5:$A$104,0))),"")</f>
        <v/>
      </c>
      <c r="Y91" s="25">
        <f>IFERROR(IF(AND(OR($V91="Checked Out",$V91="Overdue"),$X91&gt;=Dashboard!$B$9),"Review",""),"")</f>
        <v/>
      </c>
      <c r="Z91" s="24" t="n"/>
      <c r="AA91" s="25">
        <f>IFERROR(IF(OR($V91="Checked Out",$V91="Overdue"),$B91,""),"")</f>
        <v/>
      </c>
    </row>
    <row r="92">
      <c r="A92" s="24" t="n"/>
      <c r="B92" s="24" t="n"/>
      <c r="C92" s="25">
        <f>IFERROR(IF($B92="","",INDEX('Key Inventory'!$B$5:$B$104,MATCH($B92,'Key Inventory'!$A$5:$A$104,0))),"")</f>
        <v/>
      </c>
      <c r="D92" s="25">
        <f>IFERROR(IF($B92="","",INDEX('Key Inventory'!$C$5:$C$104,MATCH($B92,'Key Inventory'!$A$5:$A$104,0))),"")</f>
        <v/>
      </c>
      <c r="E92" s="25">
        <f>IFERROR(IF($B92="","",INDEX('Key Inventory'!$D$5:$D$104,MATCH($B92,'Key Inventory'!$A$5:$A$104,0))),"")</f>
        <v/>
      </c>
      <c r="F92" s="24" t="n"/>
      <c r="G92" s="24" t="n"/>
      <c r="H92" s="24" t="n"/>
      <c r="I92" s="24" t="n"/>
      <c r="J92" s="24" t="n"/>
      <c r="K92" s="24" t="n"/>
      <c r="L92" s="26" t="n"/>
      <c r="M92" s="27" t="n"/>
      <c r="N92" s="26" t="n"/>
      <c r="O92" s="27" t="n"/>
      <c r="P92" s="26" t="n"/>
      <c r="Q92" s="27" t="n"/>
      <c r="R92" s="24" t="n"/>
      <c r="S92" s="24" t="n"/>
      <c r="T92" s="24" t="n"/>
      <c r="U92" s="24" t="n"/>
      <c r="V92" s="25">
        <f>IFERROR(IF(OR($A92="",$B92=""),"",IF($P92&lt;&gt;"","Returned",IF(NOW()&gt;$N92+$O92+(Dashboard!$B$7/24),"Overdue","Checked Out"))),"")</f>
        <v/>
      </c>
      <c r="W92" s="28">
        <f>IFERROR(IF($L92="","",MAX(0,24*((IF($P92&lt;&gt;"",$P92+$Q92,NOW()))-($L92+$M92)))),"")</f>
        <v/>
      </c>
      <c r="X92" s="29">
        <f>IFERROR(IF($B92="","",INDEX('Key Inventory'!$I$5:$I$104,MATCH($B92,'Key Inventory'!$A$5:$A$104,0))),"")</f>
        <v/>
      </c>
      <c r="Y92" s="25">
        <f>IFERROR(IF(AND(OR($V92="Checked Out",$V92="Overdue"),$X92&gt;=Dashboard!$B$9),"Review",""),"")</f>
        <v/>
      </c>
      <c r="Z92" s="24" t="n"/>
      <c r="AA92" s="25">
        <f>IFERROR(IF(OR($V92="Checked Out",$V92="Overdue"),$B92,""),"")</f>
        <v/>
      </c>
    </row>
    <row r="93">
      <c r="A93" s="24" t="n"/>
      <c r="B93" s="24" t="n"/>
      <c r="C93" s="25">
        <f>IFERROR(IF($B93="","",INDEX('Key Inventory'!$B$5:$B$104,MATCH($B93,'Key Inventory'!$A$5:$A$104,0))),"")</f>
        <v/>
      </c>
      <c r="D93" s="25">
        <f>IFERROR(IF($B93="","",INDEX('Key Inventory'!$C$5:$C$104,MATCH($B93,'Key Inventory'!$A$5:$A$104,0))),"")</f>
        <v/>
      </c>
      <c r="E93" s="25">
        <f>IFERROR(IF($B93="","",INDEX('Key Inventory'!$D$5:$D$104,MATCH($B93,'Key Inventory'!$A$5:$A$104,0))),"")</f>
        <v/>
      </c>
      <c r="F93" s="24" t="n"/>
      <c r="G93" s="24" t="n"/>
      <c r="H93" s="24" t="n"/>
      <c r="I93" s="24" t="n"/>
      <c r="J93" s="24" t="n"/>
      <c r="K93" s="24" t="n"/>
      <c r="L93" s="26" t="n"/>
      <c r="M93" s="27" t="n"/>
      <c r="N93" s="26" t="n"/>
      <c r="O93" s="27" t="n"/>
      <c r="P93" s="26" t="n"/>
      <c r="Q93" s="27" t="n"/>
      <c r="R93" s="24" t="n"/>
      <c r="S93" s="24" t="n"/>
      <c r="T93" s="24" t="n"/>
      <c r="U93" s="24" t="n"/>
      <c r="V93" s="25">
        <f>IFERROR(IF(OR($A93="",$B93=""),"",IF($P93&lt;&gt;"","Returned",IF(NOW()&gt;$N93+$O93+(Dashboard!$B$7/24),"Overdue","Checked Out"))),"")</f>
        <v/>
      </c>
      <c r="W93" s="28">
        <f>IFERROR(IF($L93="","",MAX(0,24*((IF($P93&lt;&gt;"",$P93+$Q93,NOW()))-($L93+$M93)))),"")</f>
        <v/>
      </c>
      <c r="X93" s="29">
        <f>IFERROR(IF($B93="","",INDEX('Key Inventory'!$I$5:$I$104,MATCH($B93,'Key Inventory'!$A$5:$A$104,0))),"")</f>
        <v/>
      </c>
      <c r="Y93" s="25">
        <f>IFERROR(IF(AND(OR($V93="Checked Out",$V93="Overdue"),$X93&gt;=Dashboard!$B$9),"Review",""),"")</f>
        <v/>
      </c>
      <c r="Z93" s="24" t="n"/>
      <c r="AA93" s="25">
        <f>IFERROR(IF(OR($V93="Checked Out",$V93="Overdue"),$B93,""),"")</f>
        <v/>
      </c>
    </row>
    <row r="94">
      <c r="A94" s="24" t="n"/>
      <c r="B94" s="24" t="n"/>
      <c r="C94" s="25">
        <f>IFERROR(IF($B94="","",INDEX('Key Inventory'!$B$5:$B$104,MATCH($B94,'Key Inventory'!$A$5:$A$104,0))),"")</f>
        <v/>
      </c>
      <c r="D94" s="25">
        <f>IFERROR(IF($B94="","",INDEX('Key Inventory'!$C$5:$C$104,MATCH($B94,'Key Inventory'!$A$5:$A$104,0))),"")</f>
        <v/>
      </c>
      <c r="E94" s="25">
        <f>IFERROR(IF($B94="","",INDEX('Key Inventory'!$D$5:$D$104,MATCH($B94,'Key Inventory'!$A$5:$A$104,0))),"")</f>
        <v/>
      </c>
      <c r="F94" s="24" t="n"/>
      <c r="G94" s="24" t="n"/>
      <c r="H94" s="24" t="n"/>
      <c r="I94" s="24" t="n"/>
      <c r="J94" s="24" t="n"/>
      <c r="K94" s="24" t="n"/>
      <c r="L94" s="26" t="n"/>
      <c r="M94" s="27" t="n"/>
      <c r="N94" s="26" t="n"/>
      <c r="O94" s="27" t="n"/>
      <c r="P94" s="26" t="n"/>
      <c r="Q94" s="27" t="n"/>
      <c r="R94" s="24" t="n"/>
      <c r="S94" s="24" t="n"/>
      <c r="T94" s="24" t="n"/>
      <c r="U94" s="24" t="n"/>
      <c r="V94" s="25">
        <f>IFERROR(IF(OR($A94="",$B94=""),"",IF($P94&lt;&gt;"","Returned",IF(NOW()&gt;$N94+$O94+(Dashboard!$B$7/24),"Overdue","Checked Out"))),"")</f>
        <v/>
      </c>
      <c r="W94" s="28">
        <f>IFERROR(IF($L94="","",MAX(0,24*((IF($P94&lt;&gt;"",$P94+$Q94,NOW()))-($L94+$M94)))),"")</f>
        <v/>
      </c>
      <c r="X94" s="29">
        <f>IFERROR(IF($B94="","",INDEX('Key Inventory'!$I$5:$I$104,MATCH($B94,'Key Inventory'!$A$5:$A$104,0))),"")</f>
        <v/>
      </c>
      <c r="Y94" s="25">
        <f>IFERROR(IF(AND(OR($V94="Checked Out",$V94="Overdue"),$X94&gt;=Dashboard!$B$9),"Review",""),"")</f>
        <v/>
      </c>
      <c r="Z94" s="24" t="n"/>
      <c r="AA94" s="25">
        <f>IFERROR(IF(OR($V94="Checked Out",$V94="Overdue"),$B94,""),"")</f>
        <v/>
      </c>
    </row>
    <row r="95">
      <c r="A95" s="24" t="n"/>
      <c r="B95" s="24" t="n"/>
      <c r="C95" s="25">
        <f>IFERROR(IF($B95="","",INDEX('Key Inventory'!$B$5:$B$104,MATCH($B95,'Key Inventory'!$A$5:$A$104,0))),"")</f>
        <v/>
      </c>
      <c r="D95" s="25">
        <f>IFERROR(IF($B95="","",INDEX('Key Inventory'!$C$5:$C$104,MATCH($B95,'Key Inventory'!$A$5:$A$104,0))),"")</f>
        <v/>
      </c>
      <c r="E95" s="25">
        <f>IFERROR(IF($B95="","",INDEX('Key Inventory'!$D$5:$D$104,MATCH($B95,'Key Inventory'!$A$5:$A$104,0))),"")</f>
        <v/>
      </c>
      <c r="F95" s="24" t="n"/>
      <c r="G95" s="24" t="n"/>
      <c r="H95" s="24" t="n"/>
      <c r="I95" s="24" t="n"/>
      <c r="J95" s="24" t="n"/>
      <c r="K95" s="24" t="n"/>
      <c r="L95" s="26" t="n"/>
      <c r="M95" s="27" t="n"/>
      <c r="N95" s="26" t="n"/>
      <c r="O95" s="27" t="n"/>
      <c r="P95" s="26" t="n"/>
      <c r="Q95" s="27" t="n"/>
      <c r="R95" s="24" t="n"/>
      <c r="S95" s="24" t="n"/>
      <c r="T95" s="24" t="n"/>
      <c r="U95" s="24" t="n"/>
      <c r="V95" s="25">
        <f>IFERROR(IF(OR($A95="",$B95=""),"",IF($P95&lt;&gt;"","Returned",IF(NOW()&gt;$N95+$O95+(Dashboard!$B$7/24),"Overdue","Checked Out"))),"")</f>
        <v/>
      </c>
      <c r="W95" s="28">
        <f>IFERROR(IF($L95="","",MAX(0,24*((IF($P95&lt;&gt;"",$P95+$Q95,NOW()))-($L95+$M95)))),"")</f>
        <v/>
      </c>
      <c r="X95" s="29">
        <f>IFERROR(IF($B95="","",INDEX('Key Inventory'!$I$5:$I$104,MATCH($B95,'Key Inventory'!$A$5:$A$104,0))),"")</f>
        <v/>
      </c>
      <c r="Y95" s="25">
        <f>IFERROR(IF(AND(OR($V95="Checked Out",$V95="Overdue"),$X95&gt;=Dashboard!$B$9),"Review",""),"")</f>
        <v/>
      </c>
      <c r="Z95" s="24" t="n"/>
      <c r="AA95" s="25">
        <f>IFERROR(IF(OR($V95="Checked Out",$V95="Overdue"),$B95,""),"")</f>
        <v/>
      </c>
    </row>
    <row r="96">
      <c r="A96" s="24" t="n"/>
      <c r="B96" s="24" t="n"/>
      <c r="C96" s="25">
        <f>IFERROR(IF($B96="","",INDEX('Key Inventory'!$B$5:$B$104,MATCH($B96,'Key Inventory'!$A$5:$A$104,0))),"")</f>
        <v/>
      </c>
      <c r="D96" s="25">
        <f>IFERROR(IF($B96="","",INDEX('Key Inventory'!$C$5:$C$104,MATCH($B96,'Key Inventory'!$A$5:$A$104,0))),"")</f>
        <v/>
      </c>
      <c r="E96" s="25">
        <f>IFERROR(IF($B96="","",INDEX('Key Inventory'!$D$5:$D$104,MATCH($B96,'Key Inventory'!$A$5:$A$104,0))),"")</f>
        <v/>
      </c>
      <c r="F96" s="24" t="n"/>
      <c r="G96" s="24" t="n"/>
      <c r="H96" s="24" t="n"/>
      <c r="I96" s="24" t="n"/>
      <c r="J96" s="24" t="n"/>
      <c r="K96" s="24" t="n"/>
      <c r="L96" s="26" t="n"/>
      <c r="M96" s="27" t="n"/>
      <c r="N96" s="26" t="n"/>
      <c r="O96" s="27" t="n"/>
      <c r="P96" s="26" t="n"/>
      <c r="Q96" s="27" t="n"/>
      <c r="R96" s="24" t="n"/>
      <c r="S96" s="24" t="n"/>
      <c r="T96" s="24" t="n"/>
      <c r="U96" s="24" t="n"/>
      <c r="V96" s="25">
        <f>IFERROR(IF(OR($A96="",$B96=""),"",IF($P96&lt;&gt;"","Returned",IF(NOW()&gt;$N96+$O96+(Dashboard!$B$7/24),"Overdue","Checked Out"))),"")</f>
        <v/>
      </c>
      <c r="W96" s="28">
        <f>IFERROR(IF($L96="","",MAX(0,24*((IF($P96&lt;&gt;"",$P96+$Q96,NOW()))-($L96+$M96)))),"")</f>
        <v/>
      </c>
      <c r="X96" s="29">
        <f>IFERROR(IF($B96="","",INDEX('Key Inventory'!$I$5:$I$104,MATCH($B96,'Key Inventory'!$A$5:$A$104,0))),"")</f>
        <v/>
      </c>
      <c r="Y96" s="25">
        <f>IFERROR(IF(AND(OR($V96="Checked Out",$V96="Overdue"),$X96&gt;=Dashboard!$B$9),"Review",""),"")</f>
        <v/>
      </c>
      <c r="Z96" s="24" t="n"/>
      <c r="AA96" s="25">
        <f>IFERROR(IF(OR($V96="Checked Out",$V96="Overdue"),$B96,""),"")</f>
        <v/>
      </c>
    </row>
    <row r="97">
      <c r="A97" s="24" t="n"/>
      <c r="B97" s="24" t="n"/>
      <c r="C97" s="25">
        <f>IFERROR(IF($B97="","",INDEX('Key Inventory'!$B$5:$B$104,MATCH($B97,'Key Inventory'!$A$5:$A$104,0))),"")</f>
        <v/>
      </c>
      <c r="D97" s="25">
        <f>IFERROR(IF($B97="","",INDEX('Key Inventory'!$C$5:$C$104,MATCH($B97,'Key Inventory'!$A$5:$A$104,0))),"")</f>
        <v/>
      </c>
      <c r="E97" s="25">
        <f>IFERROR(IF($B97="","",INDEX('Key Inventory'!$D$5:$D$104,MATCH($B97,'Key Inventory'!$A$5:$A$104,0))),"")</f>
        <v/>
      </c>
      <c r="F97" s="24" t="n"/>
      <c r="G97" s="24" t="n"/>
      <c r="H97" s="24" t="n"/>
      <c r="I97" s="24" t="n"/>
      <c r="J97" s="24" t="n"/>
      <c r="K97" s="24" t="n"/>
      <c r="L97" s="26" t="n"/>
      <c r="M97" s="27" t="n"/>
      <c r="N97" s="26" t="n"/>
      <c r="O97" s="27" t="n"/>
      <c r="P97" s="26" t="n"/>
      <c r="Q97" s="27" t="n"/>
      <c r="R97" s="24" t="n"/>
      <c r="S97" s="24" t="n"/>
      <c r="T97" s="24" t="n"/>
      <c r="U97" s="24" t="n"/>
      <c r="V97" s="25">
        <f>IFERROR(IF(OR($A97="",$B97=""),"",IF($P97&lt;&gt;"","Returned",IF(NOW()&gt;$N97+$O97+(Dashboard!$B$7/24),"Overdue","Checked Out"))),"")</f>
        <v/>
      </c>
      <c r="W97" s="28">
        <f>IFERROR(IF($L97="","",MAX(0,24*((IF($P97&lt;&gt;"",$P97+$Q97,NOW()))-($L97+$M97)))),"")</f>
        <v/>
      </c>
      <c r="X97" s="29">
        <f>IFERROR(IF($B97="","",INDEX('Key Inventory'!$I$5:$I$104,MATCH($B97,'Key Inventory'!$A$5:$A$104,0))),"")</f>
        <v/>
      </c>
      <c r="Y97" s="25">
        <f>IFERROR(IF(AND(OR($V97="Checked Out",$V97="Overdue"),$X97&gt;=Dashboard!$B$9),"Review",""),"")</f>
        <v/>
      </c>
      <c r="Z97" s="24" t="n"/>
      <c r="AA97" s="25">
        <f>IFERROR(IF(OR($V97="Checked Out",$V97="Overdue"),$B97,""),"")</f>
        <v/>
      </c>
    </row>
    <row r="98">
      <c r="A98" s="24" t="n"/>
      <c r="B98" s="24" t="n"/>
      <c r="C98" s="25">
        <f>IFERROR(IF($B98="","",INDEX('Key Inventory'!$B$5:$B$104,MATCH($B98,'Key Inventory'!$A$5:$A$104,0))),"")</f>
        <v/>
      </c>
      <c r="D98" s="25">
        <f>IFERROR(IF($B98="","",INDEX('Key Inventory'!$C$5:$C$104,MATCH($B98,'Key Inventory'!$A$5:$A$104,0))),"")</f>
        <v/>
      </c>
      <c r="E98" s="25">
        <f>IFERROR(IF($B98="","",INDEX('Key Inventory'!$D$5:$D$104,MATCH($B98,'Key Inventory'!$A$5:$A$104,0))),"")</f>
        <v/>
      </c>
      <c r="F98" s="24" t="n"/>
      <c r="G98" s="24" t="n"/>
      <c r="H98" s="24" t="n"/>
      <c r="I98" s="24" t="n"/>
      <c r="J98" s="24" t="n"/>
      <c r="K98" s="24" t="n"/>
      <c r="L98" s="26" t="n"/>
      <c r="M98" s="27" t="n"/>
      <c r="N98" s="26" t="n"/>
      <c r="O98" s="27" t="n"/>
      <c r="P98" s="26" t="n"/>
      <c r="Q98" s="27" t="n"/>
      <c r="R98" s="24" t="n"/>
      <c r="S98" s="24" t="n"/>
      <c r="T98" s="24" t="n"/>
      <c r="U98" s="24" t="n"/>
      <c r="V98" s="25">
        <f>IFERROR(IF(OR($A98="",$B98=""),"",IF($P98&lt;&gt;"","Returned",IF(NOW()&gt;$N98+$O98+(Dashboard!$B$7/24),"Overdue","Checked Out"))),"")</f>
        <v/>
      </c>
      <c r="W98" s="28">
        <f>IFERROR(IF($L98="","",MAX(0,24*((IF($P98&lt;&gt;"",$P98+$Q98,NOW()))-($L98+$M98)))),"")</f>
        <v/>
      </c>
      <c r="X98" s="29">
        <f>IFERROR(IF($B98="","",INDEX('Key Inventory'!$I$5:$I$104,MATCH($B98,'Key Inventory'!$A$5:$A$104,0))),"")</f>
        <v/>
      </c>
      <c r="Y98" s="25">
        <f>IFERROR(IF(AND(OR($V98="Checked Out",$V98="Overdue"),$X98&gt;=Dashboard!$B$9),"Review",""),"")</f>
        <v/>
      </c>
      <c r="Z98" s="24" t="n"/>
      <c r="AA98" s="25">
        <f>IFERROR(IF(OR($V98="Checked Out",$V98="Overdue"),$B98,""),"")</f>
        <v/>
      </c>
    </row>
    <row r="99">
      <c r="A99" s="24" t="n"/>
      <c r="B99" s="24" t="n"/>
      <c r="C99" s="25">
        <f>IFERROR(IF($B99="","",INDEX('Key Inventory'!$B$5:$B$104,MATCH($B99,'Key Inventory'!$A$5:$A$104,0))),"")</f>
        <v/>
      </c>
      <c r="D99" s="25">
        <f>IFERROR(IF($B99="","",INDEX('Key Inventory'!$C$5:$C$104,MATCH($B99,'Key Inventory'!$A$5:$A$104,0))),"")</f>
        <v/>
      </c>
      <c r="E99" s="25">
        <f>IFERROR(IF($B99="","",INDEX('Key Inventory'!$D$5:$D$104,MATCH($B99,'Key Inventory'!$A$5:$A$104,0))),"")</f>
        <v/>
      </c>
      <c r="F99" s="24" t="n"/>
      <c r="G99" s="24" t="n"/>
      <c r="H99" s="24" t="n"/>
      <c r="I99" s="24" t="n"/>
      <c r="J99" s="24" t="n"/>
      <c r="K99" s="24" t="n"/>
      <c r="L99" s="26" t="n"/>
      <c r="M99" s="27" t="n"/>
      <c r="N99" s="26" t="n"/>
      <c r="O99" s="27" t="n"/>
      <c r="P99" s="26" t="n"/>
      <c r="Q99" s="27" t="n"/>
      <c r="R99" s="24" t="n"/>
      <c r="S99" s="24" t="n"/>
      <c r="T99" s="24" t="n"/>
      <c r="U99" s="24" t="n"/>
      <c r="V99" s="25">
        <f>IFERROR(IF(OR($A99="",$B99=""),"",IF($P99&lt;&gt;"","Returned",IF(NOW()&gt;$N99+$O99+(Dashboard!$B$7/24),"Overdue","Checked Out"))),"")</f>
        <v/>
      </c>
      <c r="W99" s="28">
        <f>IFERROR(IF($L99="","",MAX(0,24*((IF($P99&lt;&gt;"",$P99+$Q99,NOW()))-($L99+$M99)))),"")</f>
        <v/>
      </c>
      <c r="X99" s="29">
        <f>IFERROR(IF($B99="","",INDEX('Key Inventory'!$I$5:$I$104,MATCH($B99,'Key Inventory'!$A$5:$A$104,0))),"")</f>
        <v/>
      </c>
      <c r="Y99" s="25">
        <f>IFERROR(IF(AND(OR($V99="Checked Out",$V99="Overdue"),$X99&gt;=Dashboard!$B$9),"Review",""),"")</f>
        <v/>
      </c>
      <c r="Z99" s="24" t="n"/>
      <c r="AA99" s="25">
        <f>IFERROR(IF(OR($V99="Checked Out",$V99="Overdue"),$B99,""),"")</f>
        <v/>
      </c>
    </row>
    <row r="100">
      <c r="A100" s="24" t="n"/>
      <c r="B100" s="24" t="n"/>
      <c r="C100" s="25">
        <f>IFERROR(IF($B100="","",INDEX('Key Inventory'!$B$5:$B$104,MATCH($B100,'Key Inventory'!$A$5:$A$104,0))),"")</f>
        <v/>
      </c>
      <c r="D100" s="25">
        <f>IFERROR(IF($B100="","",INDEX('Key Inventory'!$C$5:$C$104,MATCH($B100,'Key Inventory'!$A$5:$A$104,0))),"")</f>
        <v/>
      </c>
      <c r="E100" s="25">
        <f>IFERROR(IF($B100="","",INDEX('Key Inventory'!$D$5:$D$104,MATCH($B100,'Key Inventory'!$A$5:$A$104,0))),"")</f>
        <v/>
      </c>
      <c r="F100" s="24" t="n"/>
      <c r="G100" s="24" t="n"/>
      <c r="H100" s="24" t="n"/>
      <c r="I100" s="24" t="n"/>
      <c r="J100" s="24" t="n"/>
      <c r="K100" s="24" t="n"/>
      <c r="L100" s="26" t="n"/>
      <c r="M100" s="27" t="n"/>
      <c r="N100" s="26" t="n"/>
      <c r="O100" s="27" t="n"/>
      <c r="P100" s="26" t="n"/>
      <c r="Q100" s="27" t="n"/>
      <c r="R100" s="24" t="n"/>
      <c r="S100" s="24" t="n"/>
      <c r="T100" s="24" t="n"/>
      <c r="U100" s="24" t="n"/>
      <c r="V100" s="25">
        <f>IFERROR(IF(OR($A100="",$B100=""),"",IF($P100&lt;&gt;"","Returned",IF(NOW()&gt;$N100+$O100+(Dashboard!$B$7/24),"Overdue","Checked Out"))),"")</f>
        <v/>
      </c>
      <c r="W100" s="28">
        <f>IFERROR(IF($L100="","",MAX(0,24*((IF($P100&lt;&gt;"",$P100+$Q100,NOW()))-($L100+$M100)))),"")</f>
        <v/>
      </c>
      <c r="X100" s="29">
        <f>IFERROR(IF($B100="","",INDEX('Key Inventory'!$I$5:$I$104,MATCH($B100,'Key Inventory'!$A$5:$A$104,0))),"")</f>
        <v/>
      </c>
      <c r="Y100" s="25">
        <f>IFERROR(IF(AND(OR($V100="Checked Out",$V100="Overdue"),$X100&gt;=Dashboard!$B$9),"Review",""),"")</f>
        <v/>
      </c>
      <c r="Z100" s="24" t="n"/>
      <c r="AA100" s="25">
        <f>IFERROR(IF(OR($V100="Checked Out",$V100="Overdue"),$B100,""),"")</f>
        <v/>
      </c>
    </row>
    <row r="101">
      <c r="A101" s="24" t="n"/>
      <c r="B101" s="24" t="n"/>
      <c r="C101" s="25">
        <f>IFERROR(IF($B101="","",INDEX('Key Inventory'!$B$5:$B$104,MATCH($B101,'Key Inventory'!$A$5:$A$104,0))),"")</f>
        <v/>
      </c>
      <c r="D101" s="25">
        <f>IFERROR(IF($B101="","",INDEX('Key Inventory'!$C$5:$C$104,MATCH($B101,'Key Inventory'!$A$5:$A$104,0))),"")</f>
        <v/>
      </c>
      <c r="E101" s="25">
        <f>IFERROR(IF($B101="","",INDEX('Key Inventory'!$D$5:$D$104,MATCH($B101,'Key Inventory'!$A$5:$A$104,0))),"")</f>
        <v/>
      </c>
      <c r="F101" s="24" t="n"/>
      <c r="G101" s="24" t="n"/>
      <c r="H101" s="24" t="n"/>
      <c r="I101" s="24" t="n"/>
      <c r="J101" s="24" t="n"/>
      <c r="K101" s="24" t="n"/>
      <c r="L101" s="26" t="n"/>
      <c r="M101" s="27" t="n"/>
      <c r="N101" s="26" t="n"/>
      <c r="O101" s="27" t="n"/>
      <c r="P101" s="26" t="n"/>
      <c r="Q101" s="27" t="n"/>
      <c r="R101" s="24" t="n"/>
      <c r="S101" s="24" t="n"/>
      <c r="T101" s="24" t="n"/>
      <c r="U101" s="24" t="n"/>
      <c r="V101" s="25">
        <f>IFERROR(IF(OR($A101="",$B101=""),"",IF($P101&lt;&gt;"","Returned",IF(NOW()&gt;$N101+$O101+(Dashboard!$B$7/24),"Overdue","Checked Out"))),"")</f>
        <v/>
      </c>
      <c r="W101" s="28">
        <f>IFERROR(IF($L101="","",MAX(0,24*((IF($P101&lt;&gt;"",$P101+$Q101,NOW()))-($L101+$M101)))),"")</f>
        <v/>
      </c>
      <c r="X101" s="29">
        <f>IFERROR(IF($B101="","",INDEX('Key Inventory'!$I$5:$I$104,MATCH($B101,'Key Inventory'!$A$5:$A$104,0))),"")</f>
        <v/>
      </c>
      <c r="Y101" s="25">
        <f>IFERROR(IF(AND(OR($V101="Checked Out",$V101="Overdue"),$X101&gt;=Dashboard!$B$9),"Review",""),"")</f>
        <v/>
      </c>
      <c r="Z101" s="24" t="n"/>
      <c r="AA101" s="25">
        <f>IFERROR(IF(OR($V101="Checked Out",$V101="Overdue"),$B101,""),"")</f>
        <v/>
      </c>
    </row>
    <row r="102">
      <c r="A102" s="24" t="n"/>
      <c r="B102" s="24" t="n"/>
      <c r="C102" s="25">
        <f>IFERROR(IF($B102="","",INDEX('Key Inventory'!$B$5:$B$104,MATCH($B102,'Key Inventory'!$A$5:$A$104,0))),"")</f>
        <v/>
      </c>
      <c r="D102" s="25">
        <f>IFERROR(IF($B102="","",INDEX('Key Inventory'!$C$5:$C$104,MATCH($B102,'Key Inventory'!$A$5:$A$104,0))),"")</f>
        <v/>
      </c>
      <c r="E102" s="25">
        <f>IFERROR(IF($B102="","",INDEX('Key Inventory'!$D$5:$D$104,MATCH($B102,'Key Inventory'!$A$5:$A$104,0))),"")</f>
        <v/>
      </c>
      <c r="F102" s="24" t="n"/>
      <c r="G102" s="24" t="n"/>
      <c r="H102" s="24" t="n"/>
      <c r="I102" s="24" t="n"/>
      <c r="J102" s="24" t="n"/>
      <c r="K102" s="24" t="n"/>
      <c r="L102" s="26" t="n"/>
      <c r="M102" s="27" t="n"/>
      <c r="N102" s="26" t="n"/>
      <c r="O102" s="27" t="n"/>
      <c r="P102" s="26" t="n"/>
      <c r="Q102" s="27" t="n"/>
      <c r="R102" s="24" t="n"/>
      <c r="S102" s="24" t="n"/>
      <c r="T102" s="24" t="n"/>
      <c r="U102" s="24" t="n"/>
      <c r="V102" s="25">
        <f>IFERROR(IF(OR($A102="",$B102=""),"",IF($P102&lt;&gt;"","Returned",IF(NOW()&gt;$N102+$O102+(Dashboard!$B$7/24),"Overdue","Checked Out"))),"")</f>
        <v/>
      </c>
      <c r="W102" s="28">
        <f>IFERROR(IF($L102="","",MAX(0,24*((IF($P102&lt;&gt;"",$P102+$Q102,NOW()))-($L102+$M102)))),"")</f>
        <v/>
      </c>
      <c r="X102" s="29">
        <f>IFERROR(IF($B102="","",INDEX('Key Inventory'!$I$5:$I$104,MATCH($B102,'Key Inventory'!$A$5:$A$104,0))),"")</f>
        <v/>
      </c>
      <c r="Y102" s="25">
        <f>IFERROR(IF(AND(OR($V102="Checked Out",$V102="Overdue"),$X102&gt;=Dashboard!$B$9),"Review",""),"")</f>
        <v/>
      </c>
      <c r="Z102" s="24" t="n"/>
      <c r="AA102" s="25">
        <f>IFERROR(IF(OR($V102="Checked Out",$V102="Overdue"),$B102,""),"")</f>
        <v/>
      </c>
    </row>
    <row r="103">
      <c r="A103" s="24" t="n"/>
      <c r="B103" s="24" t="n"/>
      <c r="C103" s="25">
        <f>IFERROR(IF($B103="","",INDEX('Key Inventory'!$B$5:$B$104,MATCH($B103,'Key Inventory'!$A$5:$A$104,0))),"")</f>
        <v/>
      </c>
      <c r="D103" s="25">
        <f>IFERROR(IF($B103="","",INDEX('Key Inventory'!$C$5:$C$104,MATCH($B103,'Key Inventory'!$A$5:$A$104,0))),"")</f>
        <v/>
      </c>
      <c r="E103" s="25">
        <f>IFERROR(IF($B103="","",INDEX('Key Inventory'!$D$5:$D$104,MATCH($B103,'Key Inventory'!$A$5:$A$104,0))),"")</f>
        <v/>
      </c>
      <c r="F103" s="24" t="n"/>
      <c r="G103" s="24" t="n"/>
      <c r="H103" s="24" t="n"/>
      <c r="I103" s="24" t="n"/>
      <c r="J103" s="24" t="n"/>
      <c r="K103" s="24" t="n"/>
      <c r="L103" s="26" t="n"/>
      <c r="M103" s="27" t="n"/>
      <c r="N103" s="26" t="n"/>
      <c r="O103" s="27" t="n"/>
      <c r="P103" s="26" t="n"/>
      <c r="Q103" s="27" t="n"/>
      <c r="R103" s="24" t="n"/>
      <c r="S103" s="24" t="n"/>
      <c r="T103" s="24" t="n"/>
      <c r="U103" s="24" t="n"/>
      <c r="V103" s="25">
        <f>IFERROR(IF(OR($A103="",$B103=""),"",IF($P103&lt;&gt;"","Returned",IF(NOW()&gt;$N103+$O103+(Dashboard!$B$7/24),"Overdue","Checked Out"))),"")</f>
        <v/>
      </c>
      <c r="W103" s="28">
        <f>IFERROR(IF($L103="","",MAX(0,24*((IF($P103&lt;&gt;"",$P103+$Q103,NOW()))-($L103+$M103)))),"")</f>
        <v/>
      </c>
      <c r="X103" s="29">
        <f>IFERROR(IF($B103="","",INDEX('Key Inventory'!$I$5:$I$104,MATCH($B103,'Key Inventory'!$A$5:$A$104,0))),"")</f>
        <v/>
      </c>
      <c r="Y103" s="25">
        <f>IFERROR(IF(AND(OR($V103="Checked Out",$V103="Overdue"),$X103&gt;=Dashboard!$B$9),"Review",""),"")</f>
        <v/>
      </c>
      <c r="Z103" s="24" t="n"/>
      <c r="AA103" s="25">
        <f>IFERROR(IF(OR($V103="Checked Out",$V103="Overdue"),$B103,""),"")</f>
        <v/>
      </c>
    </row>
    <row r="104">
      <c r="A104" s="24" t="n"/>
      <c r="B104" s="24" t="n"/>
      <c r="C104" s="25">
        <f>IFERROR(IF($B104="","",INDEX('Key Inventory'!$B$5:$B$104,MATCH($B104,'Key Inventory'!$A$5:$A$104,0))),"")</f>
        <v/>
      </c>
      <c r="D104" s="25">
        <f>IFERROR(IF($B104="","",INDEX('Key Inventory'!$C$5:$C$104,MATCH($B104,'Key Inventory'!$A$5:$A$104,0))),"")</f>
        <v/>
      </c>
      <c r="E104" s="25">
        <f>IFERROR(IF($B104="","",INDEX('Key Inventory'!$D$5:$D$104,MATCH($B104,'Key Inventory'!$A$5:$A$104,0))),"")</f>
        <v/>
      </c>
      <c r="F104" s="24" t="n"/>
      <c r="G104" s="24" t="n"/>
      <c r="H104" s="24" t="n"/>
      <c r="I104" s="24" t="n"/>
      <c r="J104" s="24" t="n"/>
      <c r="K104" s="24" t="n"/>
      <c r="L104" s="26" t="n"/>
      <c r="M104" s="27" t="n"/>
      <c r="N104" s="26" t="n"/>
      <c r="O104" s="27" t="n"/>
      <c r="P104" s="26" t="n"/>
      <c r="Q104" s="27" t="n"/>
      <c r="R104" s="24" t="n"/>
      <c r="S104" s="24" t="n"/>
      <c r="T104" s="24" t="n"/>
      <c r="U104" s="24" t="n"/>
      <c r="V104" s="25">
        <f>IFERROR(IF(OR($A104="",$B104=""),"",IF($P104&lt;&gt;"","Returned",IF(NOW()&gt;$N104+$O104+(Dashboard!$B$7/24),"Overdue","Checked Out"))),"")</f>
        <v/>
      </c>
      <c r="W104" s="28">
        <f>IFERROR(IF($L104="","",MAX(0,24*((IF($P104&lt;&gt;"",$P104+$Q104,NOW()))-($L104+$M104)))),"")</f>
        <v/>
      </c>
      <c r="X104" s="29">
        <f>IFERROR(IF($B104="","",INDEX('Key Inventory'!$I$5:$I$104,MATCH($B104,'Key Inventory'!$A$5:$A$104,0))),"")</f>
        <v/>
      </c>
      <c r="Y104" s="25">
        <f>IFERROR(IF(AND(OR($V104="Checked Out",$V104="Overdue"),$X104&gt;=Dashboard!$B$9),"Review",""),"")</f>
        <v/>
      </c>
      <c r="Z104" s="24" t="n"/>
      <c r="AA104" s="25">
        <f>IFERROR(IF(OR($V104="Checked Out",$V104="Overdue"),$B104,""),"")</f>
        <v/>
      </c>
    </row>
    <row r="105">
      <c r="A105" s="24" t="n"/>
      <c r="B105" s="24" t="n"/>
      <c r="C105" s="25">
        <f>IFERROR(IF($B105="","",INDEX('Key Inventory'!$B$5:$B$104,MATCH($B105,'Key Inventory'!$A$5:$A$104,0))),"")</f>
        <v/>
      </c>
      <c r="D105" s="25">
        <f>IFERROR(IF($B105="","",INDEX('Key Inventory'!$C$5:$C$104,MATCH($B105,'Key Inventory'!$A$5:$A$104,0))),"")</f>
        <v/>
      </c>
      <c r="E105" s="25">
        <f>IFERROR(IF($B105="","",INDEX('Key Inventory'!$D$5:$D$104,MATCH($B105,'Key Inventory'!$A$5:$A$104,0))),"")</f>
        <v/>
      </c>
      <c r="F105" s="24" t="n"/>
      <c r="G105" s="24" t="n"/>
      <c r="H105" s="24" t="n"/>
      <c r="I105" s="24" t="n"/>
      <c r="J105" s="24" t="n"/>
      <c r="K105" s="24" t="n"/>
      <c r="L105" s="26" t="n"/>
      <c r="M105" s="27" t="n"/>
      <c r="N105" s="26" t="n"/>
      <c r="O105" s="27" t="n"/>
      <c r="P105" s="26" t="n"/>
      <c r="Q105" s="27" t="n"/>
      <c r="R105" s="24" t="n"/>
      <c r="S105" s="24" t="n"/>
      <c r="T105" s="24" t="n"/>
      <c r="U105" s="24" t="n"/>
      <c r="V105" s="25">
        <f>IFERROR(IF(OR($A105="",$B105=""),"",IF($P105&lt;&gt;"","Returned",IF(NOW()&gt;$N105+$O105+(Dashboard!$B$7/24),"Overdue","Checked Out"))),"")</f>
        <v/>
      </c>
      <c r="W105" s="28">
        <f>IFERROR(IF($L105="","",MAX(0,24*((IF($P105&lt;&gt;"",$P105+$Q105,NOW()))-($L105+$M105)))),"")</f>
        <v/>
      </c>
      <c r="X105" s="29">
        <f>IFERROR(IF($B105="","",INDEX('Key Inventory'!$I$5:$I$104,MATCH($B105,'Key Inventory'!$A$5:$A$104,0))),"")</f>
        <v/>
      </c>
      <c r="Y105" s="25">
        <f>IFERROR(IF(AND(OR($V105="Checked Out",$V105="Overdue"),$X105&gt;=Dashboard!$B$9),"Review",""),"")</f>
        <v/>
      </c>
      <c r="Z105" s="24" t="n"/>
      <c r="AA105" s="25">
        <f>IFERROR(IF(OR($V105="Checked Out",$V105="Overdue"),$B105,""),"")</f>
        <v/>
      </c>
    </row>
    <row r="106">
      <c r="A106" s="24" t="n"/>
      <c r="B106" s="24" t="n"/>
      <c r="C106" s="25">
        <f>IFERROR(IF($B106="","",INDEX('Key Inventory'!$B$5:$B$104,MATCH($B106,'Key Inventory'!$A$5:$A$104,0))),"")</f>
        <v/>
      </c>
      <c r="D106" s="25">
        <f>IFERROR(IF($B106="","",INDEX('Key Inventory'!$C$5:$C$104,MATCH($B106,'Key Inventory'!$A$5:$A$104,0))),"")</f>
        <v/>
      </c>
      <c r="E106" s="25">
        <f>IFERROR(IF($B106="","",INDEX('Key Inventory'!$D$5:$D$104,MATCH($B106,'Key Inventory'!$A$5:$A$104,0))),"")</f>
        <v/>
      </c>
      <c r="F106" s="24" t="n"/>
      <c r="G106" s="24" t="n"/>
      <c r="H106" s="24" t="n"/>
      <c r="I106" s="24" t="n"/>
      <c r="J106" s="24" t="n"/>
      <c r="K106" s="24" t="n"/>
      <c r="L106" s="26" t="n"/>
      <c r="M106" s="27" t="n"/>
      <c r="N106" s="26" t="n"/>
      <c r="O106" s="27" t="n"/>
      <c r="P106" s="26" t="n"/>
      <c r="Q106" s="27" t="n"/>
      <c r="R106" s="24" t="n"/>
      <c r="S106" s="24" t="n"/>
      <c r="T106" s="24" t="n"/>
      <c r="U106" s="24" t="n"/>
      <c r="V106" s="25">
        <f>IFERROR(IF(OR($A106="",$B106=""),"",IF($P106&lt;&gt;"","Returned",IF(NOW()&gt;$N106+$O106+(Dashboard!$B$7/24),"Overdue","Checked Out"))),"")</f>
        <v/>
      </c>
      <c r="W106" s="28">
        <f>IFERROR(IF($L106="","",MAX(0,24*((IF($P106&lt;&gt;"",$P106+$Q106,NOW()))-($L106+$M106)))),"")</f>
        <v/>
      </c>
      <c r="X106" s="29">
        <f>IFERROR(IF($B106="","",INDEX('Key Inventory'!$I$5:$I$104,MATCH($B106,'Key Inventory'!$A$5:$A$104,0))),"")</f>
        <v/>
      </c>
      <c r="Y106" s="25">
        <f>IFERROR(IF(AND(OR($V106="Checked Out",$V106="Overdue"),$X106&gt;=Dashboard!$B$9),"Review",""),"")</f>
        <v/>
      </c>
      <c r="Z106" s="24" t="n"/>
      <c r="AA106" s="25">
        <f>IFERROR(IF(OR($V106="Checked Out",$V106="Overdue"),$B106,""),"")</f>
        <v/>
      </c>
    </row>
    <row r="107">
      <c r="A107" s="24" t="n"/>
      <c r="B107" s="24" t="n"/>
      <c r="C107" s="25">
        <f>IFERROR(IF($B107="","",INDEX('Key Inventory'!$B$5:$B$104,MATCH($B107,'Key Inventory'!$A$5:$A$104,0))),"")</f>
        <v/>
      </c>
      <c r="D107" s="25">
        <f>IFERROR(IF($B107="","",INDEX('Key Inventory'!$C$5:$C$104,MATCH($B107,'Key Inventory'!$A$5:$A$104,0))),"")</f>
        <v/>
      </c>
      <c r="E107" s="25">
        <f>IFERROR(IF($B107="","",INDEX('Key Inventory'!$D$5:$D$104,MATCH($B107,'Key Inventory'!$A$5:$A$104,0))),"")</f>
        <v/>
      </c>
      <c r="F107" s="24" t="n"/>
      <c r="G107" s="24" t="n"/>
      <c r="H107" s="24" t="n"/>
      <c r="I107" s="24" t="n"/>
      <c r="J107" s="24" t="n"/>
      <c r="K107" s="24" t="n"/>
      <c r="L107" s="26" t="n"/>
      <c r="M107" s="27" t="n"/>
      <c r="N107" s="26" t="n"/>
      <c r="O107" s="27" t="n"/>
      <c r="P107" s="26" t="n"/>
      <c r="Q107" s="27" t="n"/>
      <c r="R107" s="24" t="n"/>
      <c r="S107" s="24" t="n"/>
      <c r="T107" s="24" t="n"/>
      <c r="U107" s="24" t="n"/>
      <c r="V107" s="25">
        <f>IFERROR(IF(OR($A107="",$B107=""),"",IF($P107&lt;&gt;"","Returned",IF(NOW()&gt;$N107+$O107+(Dashboard!$B$7/24),"Overdue","Checked Out"))),"")</f>
        <v/>
      </c>
      <c r="W107" s="28">
        <f>IFERROR(IF($L107="","",MAX(0,24*((IF($P107&lt;&gt;"",$P107+$Q107,NOW()))-($L107+$M107)))),"")</f>
        <v/>
      </c>
      <c r="X107" s="29">
        <f>IFERROR(IF($B107="","",INDEX('Key Inventory'!$I$5:$I$104,MATCH($B107,'Key Inventory'!$A$5:$A$104,0))),"")</f>
        <v/>
      </c>
      <c r="Y107" s="25">
        <f>IFERROR(IF(AND(OR($V107="Checked Out",$V107="Overdue"),$X107&gt;=Dashboard!$B$9),"Review",""),"")</f>
        <v/>
      </c>
      <c r="Z107" s="24" t="n"/>
      <c r="AA107" s="25">
        <f>IFERROR(IF(OR($V107="Checked Out",$V107="Overdue"),$B107,""),"")</f>
        <v/>
      </c>
    </row>
    <row r="108">
      <c r="A108" s="24" t="n"/>
      <c r="B108" s="24" t="n"/>
      <c r="C108" s="25">
        <f>IFERROR(IF($B108="","",INDEX('Key Inventory'!$B$5:$B$104,MATCH($B108,'Key Inventory'!$A$5:$A$104,0))),"")</f>
        <v/>
      </c>
      <c r="D108" s="25">
        <f>IFERROR(IF($B108="","",INDEX('Key Inventory'!$C$5:$C$104,MATCH($B108,'Key Inventory'!$A$5:$A$104,0))),"")</f>
        <v/>
      </c>
      <c r="E108" s="25">
        <f>IFERROR(IF($B108="","",INDEX('Key Inventory'!$D$5:$D$104,MATCH($B108,'Key Inventory'!$A$5:$A$104,0))),"")</f>
        <v/>
      </c>
      <c r="F108" s="24" t="n"/>
      <c r="G108" s="24" t="n"/>
      <c r="H108" s="24" t="n"/>
      <c r="I108" s="24" t="n"/>
      <c r="J108" s="24" t="n"/>
      <c r="K108" s="24" t="n"/>
      <c r="L108" s="26" t="n"/>
      <c r="M108" s="27" t="n"/>
      <c r="N108" s="26" t="n"/>
      <c r="O108" s="27" t="n"/>
      <c r="P108" s="26" t="n"/>
      <c r="Q108" s="27" t="n"/>
      <c r="R108" s="24" t="n"/>
      <c r="S108" s="24" t="n"/>
      <c r="T108" s="24" t="n"/>
      <c r="U108" s="24" t="n"/>
      <c r="V108" s="25">
        <f>IFERROR(IF(OR($A108="",$B108=""),"",IF($P108&lt;&gt;"","Returned",IF(NOW()&gt;$N108+$O108+(Dashboard!$B$7/24),"Overdue","Checked Out"))),"")</f>
        <v/>
      </c>
      <c r="W108" s="28">
        <f>IFERROR(IF($L108="","",MAX(0,24*((IF($P108&lt;&gt;"",$P108+$Q108,NOW()))-($L108+$M108)))),"")</f>
        <v/>
      </c>
      <c r="X108" s="29">
        <f>IFERROR(IF($B108="","",INDEX('Key Inventory'!$I$5:$I$104,MATCH($B108,'Key Inventory'!$A$5:$A$104,0))),"")</f>
        <v/>
      </c>
      <c r="Y108" s="25">
        <f>IFERROR(IF(AND(OR($V108="Checked Out",$V108="Overdue"),$X108&gt;=Dashboard!$B$9),"Review",""),"")</f>
        <v/>
      </c>
      <c r="Z108" s="24" t="n"/>
      <c r="AA108" s="25">
        <f>IFERROR(IF(OR($V108="Checked Out",$V108="Overdue"),$B108,""),"")</f>
        <v/>
      </c>
    </row>
    <row r="109">
      <c r="A109" s="24" t="n"/>
      <c r="B109" s="24" t="n"/>
      <c r="C109" s="25">
        <f>IFERROR(IF($B109="","",INDEX('Key Inventory'!$B$5:$B$104,MATCH($B109,'Key Inventory'!$A$5:$A$104,0))),"")</f>
        <v/>
      </c>
      <c r="D109" s="25">
        <f>IFERROR(IF($B109="","",INDEX('Key Inventory'!$C$5:$C$104,MATCH($B109,'Key Inventory'!$A$5:$A$104,0))),"")</f>
        <v/>
      </c>
      <c r="E109" s="25">
        <f>IFERROR(IF($B109="","",INDEX('Key Inventory'!$D$5:$D$104,MATCH($B109,'Key Inventory'!$A$5:$A$104,0))),"")</f>
        <v/>
      </c>
      <c r="F109" s="24" t="n"/>
      <c r="G109" s="24" t="n"/>
      <c r="H109" s="24" t="n"/>
      <c r="I109" s="24" t="n"/>
      <c r="J109" s="24" t="n"/>
      <c r="K109" s="24" t="n"/>
      <c r="L109" s="26" t="n"/>
      <c r="M109" s="27" t="n"/>
      <c r="N109" s="26" t="n"/>
      <c r="O109" s="27" t="n"/>
      <c r="P109" s="26" t="n"/>
      <c r="Q109" s="27" t="n"/>
      <c r="R109" s="24" t="n"/>
      <c r="S109" s="24" t="n"/>
      <c r="T109" s="24" t="n"/>
      <c r="U109" s="24" t="n"/>
      <c r="V109" s="25">
        <f>IFERROR(IF(OR($A109="",$B109=""),"",IF($P109&lt;&gt;"","Returned",IF(NOW()&gt;$N109+$O109+(Dashboard!$B$7/24),"Overdue","Checked Out"))),"")</f>
        <v/>
      </c>
      <c r="W109" s="28">
        <f>IFERROR(IF($L109="","",MAX(0,24*((IF($P109&lt;&gt;"",$P109+$Q109,NOW()))-($L109+$M109)))),"")</f>
        <v/>
      </c>
      <c r="X109" s="29">
        <f>IFERROR(IF($B109="","",INDEX('Key Inventory'!$I$5:$I$104,MATCH($B109,'Key Inventory'!$A$5:$A$104,0))),"")</f>
        <v/>
      </c>
      <c r="Y109" s="25">
        <f>IFERROR(IF(AND(OR($V109="Checked Out",$V109="Overdue"),$X109&gt;=Dashboard!$B$9),"Review",""),"")</f>
        <v/>
      </c>
      <c r="Z109" s="24" t="n"/>
      <c r="AA109" s="25">
        <f>IFERROR(IF(OR($V109="Checked Out",$V109="Overdue"),$B109,""),"")</f>
        <v/>
      </c>
    </row>
    <row r="110">
      <c r="A110" s="24" t="n"/>
      <c r="B110" s="24" t="n"/>
      <c r="C110" s="25">
        <f>IFERROR(IF($B110="","",INDEX('Key Inventory'!$B$5:$B$104,MATCH($B110,'Key Inventory'!$A$5:$A$104,0))),"")</f>
        <v/>
      </c>
      <c r="D110" s="25">
        <f>IFERROR(IF($B110="","",INDEX('Key Inventory'!$C$5:$C$104,MATCH($B110,'Key Inventory'!$A$5:$A$104,0))),"")</f>
        <v/>
      </c>
      <c r="E110" s="25">
        <f>IFERROR(IF($B110="","",INDEX('Key Inventory'!$D$5:$D$104,MATCH($B110,'Key Inventory'!$A$5:$A$104,0))),"")</f>
        <v/>
      </c>
      <c r="F110" s="24" t="n"/>
      <c r="G110" s="24" t="n"/>
      <c r="H110" s="24" t="n"/>
      <c r="I110" s="24" t="n"/>
      <c r="J110" s="24" t="n"/>
      <c r="K110" s="24" t="n"/>
      <c r="L110" s="26" t="n"/>
      <c r="M110" s="27" t="n"/>
      <c r="N110" s="26" t="n"/>
      <c r="O110" s="27" t="n"/>
      <c r="P110" s="26" t="n"/>
      <c r="Q110" s="27" t="n"/>
      <c r="R110" s="24" t="n"/>
      <c r="S110" s="24" t="n"/>
      <c r="T110" s="24" t="n"/>
      <c r="U110" s="24" t="n"/>
      <c r="V110" s="25">
        <f>IFERROR(IF(OR($A110="",$B110=""),"",IF($P110&lt;&gt;"","Returned",IF(NOW()&gt;$N110+$O110+(Dashboard!$B$7/24),"Overdue","Checked Out"))),"")</f>
        <v/>
      </c>
      <c r="W110" s="28">
        <f>IFERROR(IF($L110="","",MAX(0,24*((IF($P110&lt;&gt;"",$P110+$Q110,NOW()))-($L110+$M110)))),"")</f>
        <v/>
      </c>
      <c r="X110" s="29">
        <f>IFERROR(IF($B110="","",INDEX('Key Inventory'!$I$5:$I$104,MATCH($B110,'Key Inventory'!$A$5:$A$104,0))),"")</f>
        <v/>
      </c>
      <c r="Y110" s="25">
        <f>IFERROR(IF(AND(OR($V110="Checked Out",$V110="Overdue"),$X110&gt;=Dashboard!$B$9),"Review",""),"")</f>
        <v/>
      </c>
      <c r="Z110" s="24" t="n"/>
      <c r="AA110" s="25">
        <f>IFERROR(IF(OR($V110="Checked Out",$V110="Overdue"),$B110,""),"")</f>
        <v/>
      </c>
    </row>
    <row r="111">
      <c r="A111" s="24" t="n"/>
      <c r="B111" s="24" t="n"/>
      <c r="C111" s="25">
        <f>IFERROR(IF($B111="","",INDEX('Key Inventory'!$B$5:$B$104,MATCH($B111,'Key Inventory'!$A$5:$A$104,0))),"")</f>
        <v/>
      </c>
      <c r="D111" s="25">
        <f>IFERROR(IF($B111="","",INDEX('Key Inventory'!$C$5:$C$104,MATCH($B111,'Key Inventory'!$A$5:$A$104,0))),"")</f>
        <v/>
      </c>
      <c r="E111" s="25">
        <f>IFERROR(IF($B111="","",INDEX('Key Inventory'!$D$5:$D$104,MATCH($B111,'Key Inventory'!$A$5:$A$104,0))),"")</f>
        <v/>
      </c>
      <c r="F111" s="24" t="n"/>
      <c r="G111" s="24" t="n"/>
      <c r="H111" s="24" t="n"/>
      <c r="I111" s="24" t="n"/>
      <c r="J111" s="24" t="n"/>
      <c r="K111" s="24" t="n"/>
      <c r="L111" s="26" t="n"/>
      <c r="M111" s="27" t="n"/>
      <c r="N111" s="26" t="n"/>
      <c r="O111" s="27" t="n"/>
      <c r="P111" s="26" t="n"/>
      <c r="Q111" s="27" t="n"/>
      <c r="R111" s="24" t="n"/>
      <c r="S111" s="24" t="n"/>
      <c r="T111" s="24" t="n"/>
      <c r="U111" s="24" t="n"/>
      <c r="V111" s="25">
        <f>IFERROR(IF(OR($A111="",$B111=""),"",IF($P111&lt;&gt;"","Returned",IF(NOW()&gt;$N111+$O111+(Dashboard!$B$7/24),"Overdue","Checked Out"))),"")</f>
        <v/>
      </c>
      <c r="W111" s="28">
        <f>IFERROR(IF($L111="","",MAX(0,24*((IF($P111&lt;&gt;"",$P111+$Q111,NOW()))-($L111+$M111)))),"")</f>
        <v/>
      </c>
      <c r="X111" s="29">
        <f>IFERROR(IF($B111="","",INDEX('Key Inventory'!$I$5:$I$104,MATCH($B111,'Key Inventory'!$A$5:$A$104,0))),"")</f>
        <v/>
      </c>
      <c r="Y111" s="25">
        <f>IFERROR(IF(AND(OR($V111="Checked Out",$V111="Overdue"),$X111&gt;=Dashboard!$B$9),"Review",""),"")</f>
        <v/>
      </c>
      <c r="Z111" s="24" t="n"/>
      <c r="AA111" s="25">
        <f>IFERROR(IF(OR($V111="Checked Out",$V111="Overdue"),$B111,""),"")</f>
        <v/>
      </c>
    </row>
    <row r="112">
      <c r="A112" s="24" t="n"/>
      <c r="B112" s="24" t="n"/>
      <c r="C112" s="25">
        <f>IFERROR(IF($B112="","",INDEX('Key Inventory'!$B$5:$B$104,MATCH($B112,'Key Inventory'!$A$5:$A$104,0))),"")</f>
        <v/>
      </c>
      <c r="D112" s="25">
        <f>IFERROR(IF($B112="","",INDEX('Key Inventory'!$C$5:$C$104,MATCH($B112,'Key Inventory'!$A$5:$A$104,0))),"")</f>
        <v/>
      </c>
      <c r="E112" s="25">
        <f>IFERROR(IF($B112="","",INDEX('Key Inventory'!$D$5:$D$104,MATCH($B112,'Key Inventory'!$A$5:$A$104,0))),"")</f>
        <v/>
      </c>
      <c r="F112" s="24" t="n"/>
      <c r="G112" s="24" t="n"/>
      <c r="H112" s="24" t="n"/>
      <c r="I112" s="24" t="n"/>
      <c r="J112" s="24" t="n"/>
      <c r="K112" s="24" t="n"/>
      <c r="L112" s="26" t="n"/>
      <c r="M112" s="27" t="n"/>
      <c r="N112" s="26" t="n"/>
      <c r="O112" s="27" t="n"/>
      <c r="P112" s="26" t="n"/>
      <c r="Q112" s="27" t="n"/>
      <c r="R112" s="24" t="n"/>
      <c r="S112" s="24" t="n"/>
      <c r="T112" s="24" t="n"/>
      <c r="U112" s="24" t="n"/>
      <c r="V112" s="25">
        <f>IFERROR(IF(OR($A112="",$B112=""),"",IF($P112&lt;&gt;"","Returned",IF(NOW()&gt;$N112+$O112+(Dashboard!$B$7/24),"Overdue","Checked Out"))),"")</f>
        <v/>
      </c>
      <c r="W112" s="28">
        <f>IFERROR(IF($L112="","",MAX(0,24*((IF($P112&lt;&gt;"",$P112+$Q112,NOW()))-($L112+$M112)))),"")</f>
        <v/>
      </c>
      <c r="X112" s="29">
        <f>IFERROR(IF($B112="","",INDEX('Key Inventory'!$I$5:$I$104,MATCH($B112,'Key Inventory'!$A$5:$A$104,0))),"")</f>
        <v/>
      </c>
      <c r="Y112" s="25">
        <f>IFERROR(IF(AND(OR($V112="Checked Out",$V112="Overdue"),$X112&gt;=Dashboard!$B$9),"Review",""),"")</f>
        <v/>
      </c>
      <c r="Z112" s="24" t="n"/>
      <c r="AA112" s="25">
        <f>IFERROR(IF(OR($V112="Checked Out",$V112="Overdue"),$B112,""),"")</f>
        <v/>
      </c>
    </row>
    <row r="113">
      <c r="A113" s="24" t="n"/>
      <c r="B113" s="24" t="n"/>
      <c r="C113" s="25">
        <f>IFERROR(IF($B113="","",INDEX('Key Inventory'!$B$5:$B$104,MATCH($B113,'Key Inventory'!$A$5:$A$104,0))),"")</f>
        <v/>
      </c>
      <c r="D113" s="25">
        <f>IFERROR(IF($B113="","",INDEX('Key Inventory'!$C$5:$C$104,MATCH($B113,'Key Inventory'!$A$5:$A$104,0))),"")</f>
        <v/>
      </c>
      <c r="E113" s="25">
        <f>IFERROR(IF($B113="","",INDEX('Key Inventory'!$D$5:$D$104,MATCH($B113,'Key Inventory'!$A$5:$A$104,0))),"")</f>
        <v/>
      </c>
      <c r="F113" s="24" t="n"/>
      <c r="G113" s="24" t="n"/>
      <c r="H113" s="24" t="n"/>
      <c r="I113" s="24" t="n"/>
      <c r="J113" s="24" t="n"/>
      <c r="K113" s="24" t="n"/>
      <c r="L113" s="26" t="n"/>
      <c r="M113" s="27" t="n"/>
      <c r="N113" s="26" t="n"/>
      <c r="O113" s="27" t="n"/>
      <c r="P113" s="26" t="n"/>
      <c r="Q113" s="27" t="n"/>
      <c r="R113" s="24" t="n"/>
      <c r="S113" s="24" t="n"/>
      <c r="T113" s="24" t="n"/>
      <c r="U113" s="24" t="n"/>
      <c r="V113" s="25">
        <f>IFERROR(IF(OR($A113="",$B113=""),"",IF($P113&lt;&gt;"","Returned",IF(NOW()&gt;$N113+$O113+(Dashboard!$B$7/24),"Overdue","Checked Out"))),"")</f>
        <v/>
      </c>
      <c r="W113" s="28">
        <f>IFERROR(IF($L113="","",MAX(0,24*((IF($P113&lt;&gt;"",$P113+$Q113,NOW()))-($L113+$M113)))),"")</f>
        <v/>
      </c>
      <c r="X113" s="29">
        <f>IFERROR(IF($B113="","",INDEX('Key Inventory'!$I$5:$I$104,MATCH($B113,'Key Inventory'!$A$5:$A$104,0))),"")</f>
        <v/>
      </c>
      <c r="Y113" s="25">
        <f>IFERROR(IF(AND(OR($V113="Checked Out",$V113="Overdue"),$X113&gt;=Dashboard!$B$9),"Review",""),"")</f>
        <v/>
      </c>
      <c r="Z113" s="24" t="n"/>
      <c r="AA113" s="25">
        <f>IFERROR(IF(OR($V113="Checked Out",$V113="Overdue"),$B113,""),"")</f>
        <v/>
      </c>
    </row>
    <row r="114">
      <c r="A114" s="24" t="n"/>
      <c r="B114" s="24" t="n"/>
      <c r="C114" s="25">
        <f>IFERROR(IF($B114="","",INDEX('Key Inventory'!$B$5:$B$104,MATCH($B114,'Key Inventory'!$A$5:$A$104,0))),"")</f>
        <v/>
      </c>
      <c r="D114" s="25">
        <f>IFERROR(IF($B114="","",INDEX('Key Inventory'!$C$5:$C$104,MATCH($B114,'Key Inventory'!$A$5:$A$104,0))),"")</f>
        <v/>
      </c>
      <c r="E114" s="25">
        <f>IFERROR(IF($B114="","",INDEX('Key Inventory'!$D$5:$D$104,MATCH($B114,'Key Inventory'!$A$5:$A$104,0))),"")</f>
        <v/>
      </c>
      <c r="F114" s="24" t="n"/>
      <c r="G114" s="24" t="n"/>
      <c r="H114" s="24" t="n"/>
      <c r="I114" s="24" t="n"/>
      <c r="J114" s="24" t="n"/>
      <c r="K114" s="24" t="n"/>
      <c r="L114" s="26" t="n"/>
      <c r="M114" s="27" t="n"/>
      <c r="N114" s="26" t="n"/>
      <c r="O114" s="27" t="n"/>
      <c r="P114" s="26" t="n"/>
      <c r="Q114" s="27" t="n"/>
      <c r="R114" s="24" t="n"/>
      <c r="S114" s="24" t="n"/>
      <c r="T114" s="24" t="n"/>
      <c r="U114" s="24" t="n"/>
      <c r="V114" s="25">
        <f>IFERROR(IF(OR($A114="",$B114=""),"",IF($P114&lt;&gt;"","Returned",IF(NOW()&gt;$N114+$O114+(Dashboard!$B$7/24),"Overdue","Checked Out"))),"")</f>
        <v/>
      </c>
      <c r="W114" s="28">
        <f>IFERROR(IF($L114="","",MAX(0,24*((IF($P114&lt;&gt;"",$P114+$Q114,NOW()))-($L114+$M114)))),"")</f>
        <v/>
      </c>
      <c r="X114" s="29">
        <f>IFERROR(IF($B114="","",INDEX('Key Inventory'!$I$5:$I$104,MATCH($B114,'Key Inventory'!$A$5:$A$104,0))),"")</f>
        <v/>
      </c>
      <c r="Y114" s="25">
        <f>IFERROR(IF(AND(OR($V114="Checked Out",$V114="Overdue"),$X114&gt;=Dashboard!$B$9),"Review",""),"")</f>
        <v/>
      </c>
      <c r="Z114" s="24" t="n"/>
      <c r="AA114" s="25">
        <f>IFERROR(IF(OR($V114="Checked Out",$V114="Overdue"),$B114,""),"")</f>
        <v/>
      </c>
    </row>
    <row r="115">
      <c r="A115" s="24" t="n"/>
      <c r="B115" s="24" t="n"/>
      <c r="C115" s="25">
        <f>IFERROR(IF($B115="","",INDEX('Key Inventory'!$B$5:$B$104,MATCH($B115,'Key Inventory'!$A$5:$A$104,0))),"")</f>
        <v/>
      </c>
      <c r="D115" s="25">
        <f>IFERROR(IF($B115="","",INDEX('Key Inventory'!$C$5:$C$104,MATCH($B115,'Key Inventory'!$A$5:$A$104,0))),"")</f>
        <v/>
      </c>
      <c r="E115" s="25">
        <f>IFERROR(IF($B115="","",INDEX('Key Inventory'!$D$5:$D$104,MATCH($B115,'Key Inventory'!$A$5:$A$104,0))),"")</f>
        <v/>
      </c>
      <c r="F115" s="24" t="n"/>
      <c r="G115" s="24" t="n"/>
      <c r="H115" s="24" t="n"/>
      <c r="I115" s="24" t="n"/>
      <c r="J115" s="24" t="n"/>
      <c r="K115" s="24" t="n"/>
      <c r="L115" s="26" t="n"/>
      <c r="M115" s="27" t="n"/>
      <c r="N115" s="26" t="n"/>
      <c r="O115" s="27" t="n"/>
      <c r="P115" s="26" t="n"/>
      <c r="Q115" s="27" t="n"/>
      <c r="R115" s="24" t="n"/>
      <c r="S115" s="24" t="n"/>
      <c r="T115" s="24" t="n"/>
      <c r="U115" s="24" t="n"/>
      <c r="V115" s="25">
        <f>IFERROR(IF(OR($A115="",$B115=""),"",IF($P115&lt;&gt;"","Returned",IF(NOW()&gt;$N115+$O115+(Dashboard!$B$7/24),"Overdue","Checked Out"))),"")</f>
        <v/>
      </c>
      <c r="W115" s="28">
        <f>IFERROR(IF($L115="","",MAX(0,24*((IF($P115&lt;&gt;"",$P115+$Q115,NOW()))-($L115+$M115)))),"")</f>
        <v/>
      </c>
      <c r="X115" s="29">
        <f>IFERROR(IF($B115="","",INDEX('Key Inventory'!$I$5:$I$104,MATCH($B115,'Key Inventory'!$A$5:$A$104,0))),"")</f>
        <v/>
      </c>
      <c r="Y115" s="25">
        <f>IFERROR(IF(AND(OR($V115="Checked Out",$V115="Overdue"),$X115&gt;=Dashboard!$B$9),"Review",""),"")</f>
        <v/>
      </c>
      <c r="Z115" s="24" t="n"/>
      <c r="AA115" s="25">
        <f>IFERROR(IF(OR($V115="Checked Out",$V115="Overdue"),$B115,""),"")</f>
        <v/>
      </c>
    </row>
    <row r="116">
      <c r="A116" s="24" t="n"/>
      <c r="B116" s="24" t="n"/>
      <c r="C116" s="25">
        <f>IFERROR(IF($B116="","",INDEX('Key Inventory'!$B$5:$B$104,MATCH($B116,'Key Inventory'!$A$5:$A$104,0))),"")</f>
        <v/>
      </c>
      <c r="D116" s="25">
        <f>IFERROR(IF($B116="","",INDEX('Key Inventory'!$C$5:$C$104,MATCH($B116,'Key Inventory'!$A$5:$A$104,0))),"")</f>
        <v/>
      </c>
      <c r="E116" s="25">
        <f>IFERROR(IF($B116="","",INDEX('Key Inventory'!$D$5:$D$104,MATCH($B116,'Key Inventory'!$A$5:$A$104,0))),"")</f>
        <v/>
      </c>
      <c r="F116" s="24" t="n"/>
      <c r="G116" s="24" t="n"/>
      <c r="H116" s="24" t="n"/>
      <c r="I116" s="24" t="n"/>
      <c r="J116" s="24" t="n"/>
      <c r="K116" s="24" t="n"/>
      <c r="L116" s="26" t="n"/>
      <c r="M116" s="27" t="n"/>
      <c r="N116" s="26" t="n"/>
      <c r="O116" s="27" t="n"/>
      <c r="P116" s="26" t="n"/>
      <c r="Q116" s="27" t="n"/>
      <c r="R116" s="24" t="n"/>
      <c r="S116" s="24" t="n"/>
      <c r="T116" s="24" t="n"/>
      <c r="U116" s="24" t="n"/>
      <c r="V116" s="25">
        <f>IFERROR(IF(OR($A116="",$B116=""),"",IF($P116&lt;&gt;"","Returned",IF(NOW()&gt;$N116+$O116+(Dashboard!$B$7/24),"Overdue","Checked Out"))),"")</f>
        <v/>
      </c>
      <c r="W116" s="28">
        <f>IFERROR(IF($L116="","",MAX(0,24*((IF($P116&lt;&gt;"",$P116+$Q116,NOW()))-($L116+$M116)))),"")</f>
        <v/>
      </c>
      <c r="X116" s="29">
        <f>IFERROR(IF($B116="","",INDEX('Key Inventory'!$I$5:$I$104,MATCH($B116,'Key Inventory'!$A$5:$A$104,0))),"")</f>
        <v/>
      </c>
      <c r="Y116" s="25">
        <f>IFERROR(IF(AND(OR($V116="Checked Out",$V116="Overdue"),$X116&gt;=Dashboard!$B$9),"Review",""),"")</f>
        <v/>
      </c>
      <c r="Z116" s="24" t="n"/>
      <c r="AA116" s="25">
        <f>IFERROR(IF(OR($V116="Checked Out",$V116="Overdue"),$B116,""),"")</f>
        <v/>
      </c>
    </row>
    <row r="117">
      <c r="A117" s="24" t="n"/>
      <c r="B117" s="24" t="n"/>
      <c r="C117" s="25">
        <f>IFERROR(IF($B117="","",INDEX('Key Inventory'!$B$5:$B$104,MATCH($B117,'Key Inventory'!$A$5:$A$104,0))),"")</f>
        <v/>
      </c>
      <c r="D117" s="25">
        <f>IFERROR(IF($B117="","",INDEX('Key Inventory'!$C$5:$C$104,MATCH($B117,'Key Inventory'!$A$5:$A$104,0))),"")</f>
        <v/>
      </c>
      <c r="E117" s="25">
        <f>IFERROR(IF($B117="","",INDEX('Key Inventory'!$D$5:$D$104,MATCH($B117,'Key Inventory'!$A$5:$A$104,0))),"")</f>
        <v/>
      </c>
      <c r="F117" s="24" t="n"/>
      <c r="G117" s="24" t="n"/>
      <c r="H117" s="24" t="n"/>
      <c r="I117" s="24" t="n"/>
      <c r="J117" s="24" t="n"/>
      <c r="K117" s="24" t="n"/>
      <c r="L117" s="26" t="n"/>
      <c r="M117" s="27" t="n"/>
      <c r="N117" s="26" t="n"/>
      <c r="O117" s="27" t="n"/>
      <c r="P117" s="26" t="n"/>
      <c r="Q117" s="27" t="n"/>
      <c r="R117" s="24" t="n"/>
      <c r="S117" s="24" t="n"/>
      <c r="T117" s="24" t="n"/>
      <c r="U117" s="24" t="n"/>
      <c r="V117" s="25">
        <f>IFERROR(IF(OR($A117="",$B117=""),"",IF($P117&lt;&gt;"","Returned",IF(NOW()&gt;$N117+$O117+(Dashboard!$B$7/24),"Overdue","Checked Out"))),"")</f>
        <v/>
      </c>
      <c r="W117" s="28">
        <f>IFERROR(IF($L117="","",MAX(0,24*((IF($P117&lt;&gt;"",$P117+$Q117,NOW()))-($L117+$M117)))),"")</f>
        <v/>
      </c>
      <c r="X117" s="29">
        <f>IFERROR(IF($B117="","",INDEX('Key Inventory'!$I$5:$I$104,MATCH($B117,'Key Inventory'!$A$5:$A$104,0))),"")</f>
        <v/>
      </c>
      <c r="Y117" s="25">
        <f>IFERROR(IF(AND(OR($V117="Checked Out",$V117="Overdue"),$X117&gt;=Dashboard!$B$9),"Review",""),"")</f>
        <v/>
      </c>
      <c r="Z117" s="24" t="n"/>
      <c r="AA117" s="25">
        <f>IFERROR(IF(OR($V117="Checked Out",$V117="Overdue"),$B117,""),"")</f>
        <v/>
      </c>
    </row>
    <row r="118">
      <c r="A118" s="24" t="n"/>
      <c r="B118" s="24" t="n"/>
      <c r="C118" s="25">
        <f>IFERROR(IF($B118="","",INDEX('Key Inventory'!$B$5:$B$104,MATCH($B118,'Key Inventory'!$A$5:$A$104,0))),"")</f>
        <v/>
      </c>
      <c r="D118" s="25">
        <f>IFERROR(IF($B118="","",INDEX('Key Inventory'!$C$5:$C$104,MATCH($B118,'Key Inventory'!$A$5:$A$104,0))),"")</f>
        <v/>
      </c>
      <c r="E118" s="25">
        <f>IFERROR(IF($B118="","",INDEX('Key Inventory'!$D$5:$D$104,MATCH($B118,'Key Inventory'!$A$5:$A$104,0))),"")</f>
        <v/>
      </c>
      <c r="F118" s="24" t="n"/>
      <c r="G118" s="24" t="n"/>
      <c r="H118" s="24" t="n"/>
      <c r="I118" s="24" t="n"/>
      <c r="J118" s="24" t="n"/>
      <c r="K118" s="24" t="n"/>
      <c r="L118" s="26" t="n"/>
      <c r="M118" s="27" t="n"/>
      <c r="N118" s="26" t="n"/>
      <c r="O118" s="27" t="n"/>
      <c r="P118" s="26" t="n"/>
      <c r="Q118" s="27" t="n"/>
      <c r="R118" s="24" t="n"/>
      <c r="S118" s="24" t="n"/>
      <c r="T118" s="24" t="n"/>
      <c r="U118" s="24" t="n"/>
      <c r="V118" s="25">
        <f>IFERROR(IF(OR($A118="",$B118=""),"",IF($P118&lt;&gt;"","Returned",IF(NOW()&gt;$N118+$O118+(Dashboard!$B$7/24),"Overdue","Checked Out"))),"")</f>
        <v/>
      </c>
      <c r="W118" s="28">
        <f>IFERROR(IF($L118="","",MAX(0,24*((IF($P118&lt;&gt;"",$P118+$Q118,NOW()))-($L118+$M118)))),"")</f>
        <v/>
      </c>
      <c r="X118" s="29">
        <f>IFERROR(IF($B118="","",INDEX('Key Inventory'!$I$5:$I$104,MATCH($B118,'Key Inventory'!$A$5:$A$104,0))),"")</f>
        <v/>
      </c>
      <c r="Y118" s="25">
        <f>IFERROR(IF(AND(OR($V118="Checked Out",$V118="Overdue"),$X118&gt;=Dashboard!$B$9),"Review",""),"")</f>
        <v/>
      </c>
      <c r="Z118" s="24" t="n"/>
      <c r="AA118" s="25">
        <f>IFERROR(IF(OR($V118="Checked Out",$V118="Overdue"),$B118,""),"")</f>
        <v/>
      </c>
    </row>
    <row r="119">
      <c r="A119" s="24" t="n"/>
      <c r="B119" s="24" t="n"/>
      <c r="C119" s="25">
        <f>IFERROR(IF($B119="","",INDEX('Key Inventory'!$B$5:$B$104,MATCH($B119,'Key Inventory'!$A$5:$A$104,0))),"")</f>
        <v/>
      </c>
      <c r="D119" s="25">
        <f>IFERROR(IF($B119="","",INDEX('Key Inventory'!$C$5:$C$104,MATCH($B119,'Key Inventory'!$A$5:$A$104,0))),"")</f>
        <v/>
      </c>
      <c r="E119" s="25">
        <f>IFERROR(IF($B119="","",INDEX('Key Inventory'!$D$5:$D$104,MATCH($B119,'Key Inventory'!$A$5:$A$104,0))),"")</f>
        <v/>
      </c>
      <c r="F119" s="24" t="n"/>
      <c r="G119" s="24" t="n"/>
      <c r="H119" s="24" t="n"/>
      <c r="I119" s="24" t="n"/>
      <c r="J119" s="24" t="n"/>
      <c r="K119" s="24" t="n"/>
      <c r="L119" s="26" t="n"/>
      <c r="M119" s="27" t="n"/>
      <c r="N119" s="26" t="n"/>
      <c r="O119" s="27" t="n"/>
      <c r="P119" s="26" t="n"/>
      <c r="Q119" s="27" t="n"/>
      <c r="R119" s="24" t="n"/>
      <c r="S119" s="24" t="n"/>
      <c r="T119" s="24" t="n"/>
      <c r="U119" s="24" t="n"/>
      <c r="V119" s="25">
        <f>IFERROR(IF(OR($A119="",$B119=""),"",IF($P119&lt;&gt;"","Returned",IF(NOW()&gt;$N119+$O119+(Dashboard!$B$7/24),"Overdue","Checked Out"))),"")</f>
        <v/>
      </c>
      <c r="W119" s="28">
        <f>IFERROR(IF($L119="","",MAX(0,24*((IF($P119&lt;&gt;"",$P119+$Q119,NOW()))-($L119+$M119)))),"")</f>
        <v/>
      </c>
      <c r="X119" s="29">
        <f>IFERROR(IF($B119="","",INDEX('Key Inventory'!$I$5:$I$104,MATCH($B119,'Key Inventory'!$A$5:$A$104,0))),"")</f>
        <v/>
      </c>
      <c r="Y119" s="25">
        <f>IFERROR(IF(AND(OR($V119="Checked Out",$V119="Overdue"),$X119&gt;=Dashboard!$B$9),"Review",""),"")</f>
        <v/>
      </c>
      <c r="Z119" s="24" t="n"/>
      <c r="AA119" s="25">
        <f>IFERROR(IF(OR($V119="Checked Out",$V119="Overdue"),$B119,""),"")</f>
        <v/>
      </c>
    </row>
    <row r="120">
      <c r="A120" s="24" t="n"/>
      <c r="B120" s="24" t="n"/>
      <c r="C120" s="25">
        <f>IFERROR(IF($B120="","",INDEX('Key Inventory'!$B$5:$B$104,MATCH($B120,'Key Inventory'!$A$5:$A$104,0))),"")</f>
        <v/>
      </c>
      <c r="D120" s="25">
        <f>IFERROR(IF($B120="","",INDEX('Key Inventory'!$C$5:$C$104,MATCH($B120,'Key Inventory'!$A$5:$A$104,0))),"")</f>
        <v/>
      </c>
      <c r="E120" s="25">
        <f>IFERROR(IF($B120="","",INDEX('Key Inventory'!$D$5:$D$104,MATCH($B120,'Key Inventory'!$A$5:$A$104,0))),"")</f>
        <v/>
      </c>
      <c r="F120" s="24" t="n"/>
      <c r="G120" s="24" t="n"/>
      <c r="H120" s="24" t="n"/>
      <c r="I120" s="24" t="n"/>
      <c r="J120" s="24" t="n"/>
      <c r="K120" s="24" t="n"/>
      <c r="L120" s="26" t="n"/>
      <c r="M120" s="27" t="n"/>
      <c r="N120" s="26" t="n"/>
      <c r="O120" s="27" t="n"/>
      <c r="P120" s="26" t="n"/>
      <c r="Q120" s="27" t="n"/>
      <c r="R120" s="24" t="n"/>
      <c r="S120" s="24" t="n"/>
      <c r="T120" s="24" t="n"/>
      <c r="U120" s="24" t="n"/>
      <c r="V120" s="25">
        <f>IFERROR(IF(OR($A120="",$B120=""),"",IF($P120&lt;&gt;"","Returned",IF(NOW()&gt;$N120+$O120+(Dashboard!$B$7/24),"Overdue","Checked Out"))),"")</f>
        <v/>
      </c>
      <c r="W120" s="28">
        <f>IFERROR(IF($L120="","",MAX(0,24*((IF($P120&lt;&gt;"",$P120+$Q120,NOW()))-($L120+$M120)))),"")</f>
        <v/>
      </c>
      <c r="X120" s="29">
        <f>IFERROR(IF($B120="","",INDEX('Key Inventory'!$I$5:$I$104,MATCH($B120,'Key Inventory'!$A$5:$A$104,0))),"")</f>
        <v/>
      </c>
      <c r="Y120" s="25">
        <f>IFERROR(IF(AND(OR($V120="Checked Out",$V120="Overdue"),$X120&gt;=Dashboard!$B$9),"Review",""),"")</f>
        <v/>
      </c>
      <c r="Z120" s="24" t="n"/>
      <c r="AA120" s="25">
        <f>IFERROR(IF(OR($V120="Checked Out",$V120="Overdue"),$B120,""),"")</f>
        <v/>
      </c>
    </row>
    <row r="121">
      <c r="A121" s="24" t="n"/>
      <c r="B121" s="24" t="n"/>
      <c r="C121" s="25">
        <f>IFERROR(IF($B121="","",INDEX('Key Inventory'!$B$5:$B$104,MATCH($B121,'Key Inventory'!$A$5:$A$104,0))),"")</f>
        <v/>
      </c>
      <c r="D121" s="25">
        <f>IFERROR(IF($B121="","",INDEX('Key Inventory'!$C$5:$C$104,MATCH($B121,'Key Inventory'!$A$5:$A$104,0))),"")</f>
        <v/>
      </c>
      <c r="E121" s="25">
        <f>IFERROR(IF($B121="","",INDEX('Key Inventory'!$D$5:$D$104,MATCH($B121,'Key Inventory'!$A$5:$A$104,0))),"")</f>
        <v/>
      </c>
      <c r="F121" s="24" t="n"/>
      <c r="G121" s="24" t="n"/>
      <c r="H121" s="24" t="n"/>
      <c r="I121" s="24" t="n"/>
      <c r="J121" s="24" t="n"/>
      <c r="K121" s="24" t="n"/>
      <c r="L121" s="26" t="n"/>
      <c r="M121" s="27" t="n"/>
      <c r="N121" s="26" t="n"/>
      <c r="O121" s="27" t="n"/>
      <c r="P121" s="26" t="n"/>
      <c r="Q121" s="27" t="n"/>
      <c r="R121" s="24" t="n"/>
      <c r="S121" s="24" t="n"/>
      <c r="T121" s="24" t="n"/>
      <c r="U121" s="24" t="n"/>
      <c r="V121" s="25">
        <f>IFERROR(IF(OR($A121="",$B121=""),"",IF($P121&lt;&gt;"","Returned",IF(NOW()&gt;$N121+$O121+(Dashboard!$B$7/24),"Overdue","Checked Out"))),"")</f>
        <v/>
      </c>
      <c r="W121" s="28">
        <f>IFERROR(IF($L121="","",MAX(0,24*((IF($P121&lt;&gt;"",$P121+$Q121,NOW()))-($L121+$M121)))),"")</f>
        <v/>
      </c>
      <c r="X121" s="29">
        <f>IFERROR(IF($B121="","",INDEX('Key Inventory'!$I$5:$I$104,MATCH($B121,'Key Inventory'!$A$5:$A$104,0))),"")</f>
        <v/>
      </c>
      <c r="Y121" s="25">
        <f>IFERROR(IF(AND(OR($V121="Checked Out",$V121="Overdue"),$X121&gt;=Dashboard!$B$9),"Review",""),"")</f>
        <v/>
      </c>
      <c r="Z121" s="24" t="n"/>
      <c r="AA121" s="25">
        <f>IFERROR(IF(OR($V121="Checked Out",$V121="Overdue"),$B121,""),"")</f>
        <v/>
      </c>
    </row>
    <row r="122">
      <c r="A122" s="24" t="n"/>
      <c r="B122" s="24" t="n"/>
      <c r="C122" s="25">
        <f>IFERROR(IF($B122="","",INDEX('Key Inventory'!$B$5:$B$104,MATCH($B122,'Key Inventory'!$A$5:$A$104,0))),"")</f>
        <v/>
      </c>
      <c r="D122" s="25">
        <f>IFERROR(IF($B122="","",INDEX('Key Inventory'!$C$5:$C$104,MATCH($B122,'Key Inventory'!$A$5:$A$104,0))),"")</f>
        <v/>
      </c>
      <c r="E122" s="25">
        <f>IFERROR(IF($B122="","",INDEX('Key Inventory'!$D$5:$D$104,MATCH($B122,'Key Inventory'!$A$5:$A$104,0))),"")</f>
        <v/>
      </c>
      <c r="F122" s="24" t="n"/>
      <c r="G122" s="24" t="n"/>
      <c r="H122" s="24" t="n"/>
      <c r="I122" s="24" t="n"/>
      <c r="J122" s="24" t="n"/>
      <c r="K122" s="24" t="n"/>
      <c r="L122" s="26" t="n"/>
      <c r="M122" s="27" t="n"/>
      <c r="N122" s="26" t="n"/>
      <c r="O122" s="27" t="n"/>
      <c r="P122" s="26" t="n"/>
      <c r="Q122" s="27" t="n"/>
      <c r="R122" s="24" t="n"/>
      <c r="S122" s="24" t="n"/>
      <c r="T122" s="24" t="n"/>
      <c r="U122" s="24" t="n"/>
      <c r="V122" s="25">
        <f>IFERROR(IF(OR($A122="",$B122=""),"",IF($P122&lt;&gt;"","Returned",IF(NOW()&gt;$N122+$O122+(Dashboard!$B$7/24),"Overdue","Checked Out"))),"")</f>
        <v/>
      </c>
      <c r="W122" s="28">
        <f>IFERROR(IF($L122="","",MAX(0,24*((IF($P122&lt;&gt;"",$P122+$Q122,NOW()))-($L122+$M122)))),"")</f>
        <v/>
      </c>
      <c r="X122" s="29">
        <f>IFERROR(IF($B122="","",INDEX('Key Inventory'!$I$5:$I$104,MATCH($B122,'Key Inventory'!$A$5:$A$104,0))),"")</f>
        <v/>
      </c>
      <c r="Y122" s="25">
        <f>IFERROR(IF(AND(OR($V122="Checked Out",$V122="Overdue"),$X122&gt;=Dashboard!$B$9),"Review",""),"")</f>
        <v/>
      </c>
      <c r="Z122" s="24" t="n"/>
      <c r="AA122" s="25">
        <f>IFERROR(IF(OR($V122="Checked Out",$V122="Overdue"),$B122,""),"")</f>
        <v/>
      </c>
    </row>
    <row r="123">
      <c r="A123" s="24" t="n"/>
      <c r="B123" s="24" t="n"/>
      <c r="C123" s="25">
        <f>IFERROR(IF($B123="","",INDEX('Key Inventory'!$B$5:$B$104,MATCH($B123,'Key Inventory'!$A$5:$A$104,0))),"")</f>
        <v/>
      </c>
      <c r="D123" s="25">
        <f>IFERROR(IF($B123="","",INDEX('Key Inventory'!$C$5:$C$104,MATCH($B123,'Key Inventory'!$A$5:$A$104,0))),"")</f>
        <v/>
      </c>
      <c r="E123" s="25">
        <f>IFERROR(IF($B123="","",INDEX('Key Inventory'!$D$5:$D$104,MATCH($B123,'Key Inventory'!$A$5:$A$104,0))),"")</f>
        <v/>
      </c>
      <c r="F123" s="24" t="n"/>
      <c r="G123" s="24" t="n"/>
      <c r="H123" s="24" t="n"/>
      <c r="I123" s="24" t="n"/>
      <c r="J123" s="24" t="n"/>
      <c r="K123" s="24" t="n"/>
      <c r="L123" s="26" t="n"/>
      <c r="M123" s="27" t="n"/>
      <c r="N123" s="26" t="n"/>
      <c r="O123" s="27" t="n"/>
      <c r="P123" s="26" t="n"/>
      <c r="Q123" s="27" t="n"/>
      <c r="R123" s="24" t="n"/>
      <c r="S123" s="24" t="n"/>
      <c r="T123" s="24" t="n"/>
      <c r="U123" s="24" t="n"/>
      <c r="V123" s="25">
        <f>IFERROR(IF(OR($A123="",$B123=""),"",IF($P123&lt;&gt;"","Returned",IF(NOW()&gt;$N123+$O123+(Dashboard!$B$7/24),"Overdue","Checked Out"))),"")</f>
        <v/>
      </c>
      <c r="W123" s="28">
        <f>IFERROR(IF($L123="","",MAX(0,24*((IF($P123&lt;&gt;"",$P123+$Q123,NOW()))-($L123+$M123)))),"")</f>
        <v/>
      </c>
      <c r="X123" s="29">
        <f>IFERROR(IF($B123="","",INDEX('Key Inventory'!$I$5:$I$104,MATCH($B123,'Key Inventory'!$A$5:$A$104,0))),"")</f>
        <v/>
      </c>
      <c r="Y123" s="25">
        <f>IFERROR(IF(AND(OR($V123="Checked Out",$V123="Overdue"),$X123&gt;=Dashboard!$B$9),"Review",""),"")</f>
        <v/>
      </c>
      <c r="Z123" s="24" t="n"/>
      <c r="AA123" s="25">
        <f>IFERROR(IF(OR($V123="Checked Out",$V123="Overdue"),$B123,""),"")</f>
        <v/>
      </c>
    </row>
    <row r="124">
      <c r="A124" s="24" t="n"/>
      <c r="B124" s="24" t="n"/>
      <c r="C124" s="25">
        <f>IFERROR(IF($B124="","",INDEX('Key Inventory'!$B$5:$B$104,MATCH($B124,'Key Inventory'!$A$5:$A$104,0))),"")</f>
        <v/>
      </c>
      <c r="D124" s="25">
        <f>IFERROR(IF($B124="","",INDEX('Key Inventory'!$C$5:$C$104,MATCH($B124,'Key Inventory'!$A$5:$A$104,0))),"")</f>
        <v/>
      </c>
      <c r="E124" s="25">
        <f>IFERROR(IF($B124="","",INDEX('Key Inventory'!$D$5:$D$104,MATCH($B124,'Key Inventory'!$A$5:$A$104,0))),"")</f>
        <v/>
      </c>
      <c r="F124" s="24" t="n"/>
      <c r="G124" s="24" t="n"/>
      <c r="H124" s="24" t="n"/>
      <c r="I124" s="24" t="n"/>
      <c r="J124" s="24" t="n"/>
      <c r="K124" s="24" t="n"/>
      <c r="L124" s="26" t="n"/>
      <c r="M124" s="27" t="n"/>
      <c r="N124" s="26" t="n"/>
      <c r="O124" s="27" t="n"/>
      <c r="P124" s="26" t="n"/>
      <c r="Q124" s="27" t="n"/>
      <c r="R124" s="24" t="n"/>
      <c r="S124" s="24" t="n"/>
      <c r="T124" s="24" t="n"/>
      <c r="U124" s="24" t="n"/>
      <c r="V124" s="25">
        <f>IFERROR(IF(OR($A124="",$B124=""),"",IF($P124&lt;&gt;"","Returned",IF(NOW()&gt;$N124+$O124+(Dashboard!$B$7/24),"Overdue","Checked Out"))),"")</f>
        <v/>
      </c>
      <c r="W124" s="28">
        <f>IFERROR(IF($L124="","",MAX(0,24*((IF($P124&lt;&gt;"",$P124+$Q124,NOW()))-($L124+$M124)))),"")</f>
        <v/>
      </c>
      <c r="X124" s="29">
        <f>IFERROR(IF($B124="","",INDEX('Key Inventory'!$I$5:$I$104,MATCH($B124,'Key Inventory'!$A$5:$A$104,0))),"")</f>
        <v/>
      </c>
      <c r="Y124" s="25">
        <f>IFERROR(IF(AND(OR($V124="Checked Out",$V124="Overdue"),$X124&gt;=Dashboard!$B$9),"Review",""),"")</f>
        <v/>
      </c>
      <c r="Z124" s="24" t="n"/>
      <c r="AA124" s="25">
        <f>IFERROR(IF(OR($V124="Checked Out",$V124="Overdue"),$B124,""),"")</f>
        <v/>
      </c>
    </row>
    <row r="125">
      <c r="A125" s="24" t="n"/>
      <c r="B125" s="24" t="n"/>
      <c r="C125" s="25">
        <f>IFERROR(IF($B125="","",INDEX('Key Inventory'!$B$5:$B$104,MATCH($B125,'Key Inventory'!$A$5:$A$104,0))),"")</f>
        <v/>
      </c>
      <c r="D125" s="25">
        <f>IFERROR(IF($B125="","",INDEX('Key Inventory'!$C$5:$C$104,MATCH($B125,'Key Inventory'!$A$5:$A$104,0))),"")</f>
        <v/>
      </c>
      <c r="E125" s="25">
        <f>IFERROR(IF($B125="","",INDEX('Key Inventory'!$D$5:$D$104,MATCH($B125,'Key Inventory'!$A$5:$A$104,0))),"")</f>
        <v/>
      </c>
      <c r="F125" s="24" t="n"/>
      <c r="G125" s="24" t="n"/>
      <c r="H125" s="24" t="n"/>
      <c r="I125" s="24" t="n"/>
      <c r="J125" s="24" t="n"/>
      <c r="K125" s="24" t="n"/>
      <c r="L125" s="26" t="n"/>
      <c r="M125" s="27" t="n"/>
      <c r="N125" s="26" t="n"/>
      <c r="O125" s="27" t="n"/>
      <c r="P125" s="26" t="n"/>
      <c r="Q125" s="27" t="n"/>
      <c r="R125" s="24" t="n"/>
      <c r="S125" s="24" t="n"/>
      <c r="T125" s="24" t="n"/>
      <c r="U125" s="24" t="n"/>
      <c r="V125" s="25">
        <f>IFERROR(IF(OR($A125="",$B125=""),"",IF($P125&lt;&gt;"","Returned",IF(NOW()&gt;$N125+$O125+(Dashboard!$B$7/24),"Overdue","Checked Out"))),"")</f>
        <v/>
      </c>
      <c r="W125" s="28">
        <f>IFERROR(IF($L125="","",MAX(0,24*((IF($P125&lt;&gt;"",$P125+$Q125,NOW()))-($L125+$M125)))),"")</f>
        <v/>
      </c>
      <c r="X125" s="29">
        <f>IFERROR(IF($B125="","",INDEX('Key Inventory'!$I$5:$I$104,MATCH($B125,'Key Inventory'!$A$5:$A$104,0))),"")</f>
        <v/>
      </c>
      <c r="Y125" s="25">
        <f>IFERROR(IF(AND(OR($V125="Checked Out",$V125="Overdue"),$X125&gt;=Dashboard!$B$9),"Review",""),"")</f>
        <v/>
      </c>
      <c r="Z125" s="24" t="n"/>
      <c r="AA125" s="25">
        <f>IFERROR(IF(OR($V125="Checked Out",$V125="Overdue"),$B125,""),"")</f>
        <v/>
      </c>
    </row>
    <row r="126">
      <c r="A126" s="24" t="n"/>
      <c r="B126" s="24" t="n"/>
      <c r="C126" s="25">
        <f>IFERROR(IF($B126="","",INDEX('Key Inventory'!$B$5:$B$104,MATCH($B126,'Key Inventory'!$A$5:$A$104,0))),"")</f>
        <v/>
      </c>
      <c r="D126" s="25">
        <f>IFERROR(IF($B126="","",INDEX('Key Inventory'!$C$5:$C$104,MATCH($B126,'Key Inventory'!$A$5:$A$104,0))),"")</f>
        <v/>
      </c>
      <c r="E126" s="25">
        <f>IFERROR(IF($B126="","",INDEX('Key Inventory'!$D$5:$D$104,MATCH($B126,'Key Inventory'!$A$5:$A$104,0))),"")</f>
        <v/>
      </c>
      <c r="F126" s="24" t="n"/>
      <c r="G126" s="24" t="n"/>
      <c r="H126" s="24" t="n"/>
      <c r="I126" s="24" t="n"/>
      <c r="J126" s="24" t="n"/>
      <c r="K126" s="24" t="n"/>
      <c r="L126" s="26" t="n"/>
      <c r="M126" s="27" t="n"/>
      <c r="N126" s="26" t="n"/>
      <c r="O126" s="27" t="n"/>
      <c r="P126" s="26" t="n"/>
      <c r="Q126" s="27" t="n"/>
      <c r="R126" s="24" t="n"/>
      <c r="S126" s="24" t="n"/>
      <c r="T126" s="24" t="n"/>
      <c r="U126" s="24" t="n"/>
      <c r="V126" s="25">
        <f>IFERROR(IF(OR($A126="",$B126=""),"",IF($P126&lt;&gt;"","Returned",IF(NOW()&gt;$N126+$O126+(Dashboard!$B$7/24),"Overdue","Checked Out"))),"")</f>
        <v/>
      </c>
      <c r="W126" s="28">
        <f>IFERROR(IF($L126="","",MAX(0,24*((IF($P126&lt;&gt;"",$P126+$Q126,NOW()))-($L126+$M126)))),"")</f>
        <v/>
      </c>
      <c r="X126" s="29">
        <f>IFERROR(IF($B126="","",INDEX('Key Inventory'!$I$5:$I$104,MATCH($B126,'Key Inventory'!$A$5:$A$104,0))),"")</f>
        <v/>
      </c>
      <c r="Y126" s="25">
        <f>IFERROR(IF(AND(OR($V126="Checked Out",$V126="Overdue"),$X126&gt;=Dashboard!$B$9),"Review",""),"")</f>
        <v/>
      </c>
      <c r="Z126" s="24" t="n"/>
      <c r="AA126" s="25">
        <f>IFERROR(IF(OR($V126="Checked Out",$V126="Overdue"),$B126,""),"")</f>
        <v/>
      </c>
    </row>
    <row r="127">
      <c r="A127" s="24" t="n"/>
      <c r="B127" s="24" t="n"/>
      <c r="C127" s="25">
        <f>IFERROR(IF($B127="","",INDEX('Key Inventory'!$B$5:$B$104,MATCH($B127,'Key Inventory'!$A$5:$A$104,0))),"")</f>
        <v/>
      </c>
      <c r="D127" s="25">
        <f>IFERROR(IF($B127="","",INDEX('Key Inventory'!$C$5:$C$104,MATCH($B127,'Key Inventory'!$A$5:$A$104,0))),"")</f>
        <v/>
      </c>
      <c r="E127" s="25">
        <f>IFERROR(IF($B127="","",INDEX('Key Inventory'!$D$5:$D$104,MATCH($B127,'Key Inventory'!$A$5:$A$104,0))),"")</f>
        <v/>
      </c>
      <c r="F127" s="24" t="n"/>
      <c r="G127" s="24" t="n"/>
      <c r="H127" s="24" t="n"/>
      <c r="I127" s="24" t="n"/>
      <c r="J127" s="24" t="n"/>
      <c r="K127" s="24" t="n"/>
      <c r="L127" s="26" t="n"/>
      <c r="M127" s="27" t="n"/>
      <c r="N127" s="26" t="n"/>
      <c r="O127" s="27" t="n"/>
      <c r="P127" s="26" t="n"/>
      <c r="Q127" s="27" t="n"/>
      <c r="R127" s="24" t="n"/>
      <c r="S127" s="24" t="n"/>
      <c r="T127" s="24" t="n"/>
      <c r="U127" s="24" t="n"/>
      <c r="V127" s="25">
        <f>IFERROR(IF(OR($A127="",$B127=""),"",IF($P127&lt;&gt;"","Returned",IF(NOW()&gt;$N127+$O127+(Dashboard!$B$7/24),"Overdue","Checked Out"))),"")</f>
        <v/>
      </c>
      <c r="W127" s="28">
        <f>IFERROR(IF($L127="","",MAX(0,24*((IF($P127&lt;&gt;"",$P127+$Q127,NOW()))-($L127+$M127)))),"")</f>
        <v/>
      </c>
      <c r="X127" s="29">
        <f>IFERROR(IF($B127="","",INDEX('Key Inventory'!$I$5:$I$104,MATCH($B127,'Key Inventory'!$A$5:$A$104,0))),"")</f>
        <v/>
      </c>
      <c r="Y127" s="25">
        <f>IFERROR(IF(AND(OR($V127="Checked Out",$V127="Overdue"),$X127&gt;=Dashboard!$B$9),"Review",""),"")</f>
        <v/>
      </c>
      <c r="Z127" s="24" t="n"/>
      <c r="AA127" s="25">
        <f>IFERROR(IF(OR($V127="Checked Out",$V127="Overdue"),$B127,""),"")</f>
        <v/>
      </c>
    </row>
    <row r="128">
      <c r="A128" s="24" t="n"/>
      <c r="B128" s="24" t="n"/>
      <c r="C128" s="25">
        <f>IFERROR(IF($B128="","",INDEX('Key Inventory'!$B$5:$B$104,MATCH($B128,'Key Inventory'!$A$5:$A$104,0))),"")</f>
        <v/>
      </c>
      <c r="D128" s="25">
        <f>IFERROR(IF($B128="","",INDEX('Key Inventory'!$C$5:$C$104,MATCH($B128,'Key Inventory'!$A$5:$A$104,0))),"")</f>
        <v/>
      </c>
      <c r="E128" s="25">
        <f>IFERROR(IF($B128="","",INDEX('Key Inventory'!$D$5:$D$104,MATCH($B128,'Key Inventory'!$A$5:$A$104,0))),"")</f>
        <v/>
      </c>
      <c r="F128" s="24" t="n"/>
      <c r="G128" s="24" t="n"/>
      <c r="H128" s="24" t="n"/>
      <c r="I128" s="24" t="n"/>
      <c r="J128" s="24" t="n"/>
      <c r="K128" s="24" t="n"/>
      <c r="L128" s="26" t="n"/>
      <c r="M128" s="27" t="n"/>
      <c r="N128" s="26" t="n"/>
      <c r="O128" s="27" t="n"/>
      <c r="P128" s="26" t="n"/>
      <c r="Q128" s="27" t="n"/>
      <c r="R128" s="24" t="n"/>
      <c r="S128" s="24" t="n"/>
      <c r="T128" s="24" t="n"/>
      <c r="U128" s="24" t="n"/>
      <c r="V128" s="25">
        <f>IFERROR(IF(OR($A128="",$B128=""),"",IF($P128&lt;&gt;"","Returned",IF(NOW()&gt;$N128+$O128+(Dashboard!$B$7/24),"Overdue","Checked Out"))),"")</f>
        <v/>
      </c>
      <c r="W128" s="28">
        <f>IFERROR(IF($L128="","",MAX(0,24*((IF($P128&lt;&gt;"",$P128+$Q128,NOW()))-($L128+$M128)))),"")</f>
        <v/>
      </c>
      <c r="X128" s="29">
        <f>IFERROR(IF($B128="","",INDEX('Key Inventory'!$I$5:$I$104,MATCH($B128,'Key Inventory'!$A$5:$A$104,0))),"")</f>
        <v/>
      </c>
      <c r="Y128" s="25">
        <f>IFERROR(IF(AND(OR($V128="Checked Out",$V128="Overdue"),$X128&gt;=Dashboard!$B$9),"Review",""),"")</f>
        <v/>
      </c>
      <c r="Z128" s="24" t="n"/>
      <c r="AA128" s="25">
        <f>IFERROR(IF(OR($V128="Checked Out",$V128="Overdue"),$B128,""),"")</f>
        <v/>
      </c>
    </row>
    <row r="129">
      <c r="A129" s="24" t="n"/>
      <c r="B129" s="24" t="n"/>
      <c r="C129" s="25">
        <f>IFERROR(IF($B129="","",INDEX('Key Inventory'!$B$5:$B$104,MATCH($B129,'Key Inventory'!$A$5:$A$104,0))),"")</f>
        <v/>
      </c>
      <c r="D129" s="25">
        <f>IFERROR(IF($B129="","",INDEX('Key Inventory'!$C$5:$C$104,MATCH($B129,'Key Inventory'!$A$5:$A$104,0))),"")</f>
        <v/>
      </c>
      <c r="E129" s="25">
        <f>IFERROR(IF($B129="","",INDEX('Key Inventory'!$D$5:$D$104,MATCH($B129,'Key Inventory'!$A$5:$A$104,0))),"")</f>
        <v/>
      </c>
      <c r="F129" s="24" t="n"/>
      <c r="G129" s="24" t="n"/>
      <c r="H129" s="24" t="n"/>
      <c r="I129" s="24" t="n"/>
      <c r="J129" s="24" t="n"/>
      <c r="K129" s="24" t="n"/>
      <c r="L129" s="26" t="n"/>
      <c r="M129" s="27" t="n"/>
      <c r="N129" s="26" t="n"/>
      <c r="O129" s="27" t="n"/>
      <c r="P129" s="26" t="n"/>
      <c r="Q129" s="27" t="n"/>
      <c r="R129" s="24" t="n"/>
      <c r="S129" s="24" t="n"/>
      <c r="T129" s="24" t="n"/>
      <c r="U129" s="24" t="n"/>
      <c r="V129" s="25">
        <f>IFERROR(IF(OR($A129="",$B129=""),"",IF($P129&lt;&gt;"","Returned",IF(NOW()&gt;$N129+$O129+(Dashboard!$B$7/24),"Overdue","Checked Out"))),"")</f>
        <v/>
      </c>
      <c r="W129" s="28">
        <f>IFERROR(IF($L129="","",MAX(0,24*((IF($P129&lt;&gt;"",$P129+$Q129,NOW()))-($L129+$M129)))),"")</f>
        <v/>
      </c>
      <c r="X129" s="29">
        <f>IFERROR(IF($B129="","",INDEX('Key Inventory'!$I$5:$I$104,MATCH($B129,'Key Inventory'!$A$5:$A$104,0))),"")</f>
        <v/>
      </c>
      <c r="Y129" s="25">
        <f>IFERROR(IF(AND(OR($V129="Checked Out",$V129="Overdue"),$X129&gt;=Dashboard!$B$9),"Review",""),"")</f>
        <v/>
      </c>
      <c r="Z129" s="24" t="n"/>
      <c r="AA129" s="25">
        <f>IFERROR(IF(OR($V129="Checked Out",$V129="Overdue"),$B129,""),"")</f>
        <v/>
      </c>
    </row>
    <row r="130">
      <c r="A130" s="24" t="n"/>
      <c r="B130" s="24" t="n"/>
      <c r="C130" s="25">
        <f>IFERROR(IF($B130="","",INDEX('Key Inventory'!$B$5:$B$104,MATCH($B130,'Key Inventory'!$A$5:$A$104,0))),"")</f>
        <v/>
      </c>
      <c r="D130" s="25">
        <f>IFERROR(IF($B130="","",INDEX('Key Inventory'!$C$5:$C$104,MATCH($B130,'Key Inventory'!$A$5:$A$104,0))),"")</f>
        <v/>
      </c>
      <c r="E130" s="25">
        <f>IFERROR(IF($B130="","",INDEX('Key Inventory'!$D$5:$D$104,MATCH($B130,'Key Inventory'!$A$5:$A$104,0))),"")</f>
        <v/>
      </c>
      <c r="F130" s="24" t="n"/>
      <c r="G130" s="24" t="n"/>
      <c r="H130" s="24" t="n"/>
      <c r="I130" s="24" t="n"/>
      <c r="J130" s="24" t="n"/>
      <c r="K130" s="24" t="n"/>
      <c r="L130" s="26" t="n"/>
      <c r="M130" s="27" t="n"/>
      <c r="N130" s="26" t="n"/>
      <c r="O130" s="27" t="n"/>
      <c r="P130" s="26" t="n"/>
      <c r="Q130" s="27" t="n"/>
      <c r="R130" s="24" t="n"/>
      <c r="S130" s="24" t="n"/>
      <c r="T130" s="24" t="n"/>
      <c r="U130" s="24" t="n"/>
      <c r="V130" s="25">
        <f>IFERROR(IF(OR($A130="",$B130=""),"",IF($P130&lt;&gt;"","Returned",IF(NOW()&gt;$N130+$O130+(Dashboard!$B$7/24),"Overdue","Checked Out"))),"")</f>
        <v/>
      </c>
      <c r="W130" s="28">
        <f>IFERROR(IF($L130="","",MAX(0,24*((IF($P130&lt;&gt;"",$P130+$Q130,NOW()))-($L130+$M130)))),"")</f>
        <v/>
      </c>
      <c r="X130" s="29">
        <f>IFERROR(IF($B130="","",INDEX('Key Inventory'!$I$5:$I$104,MATCH($B130,'Key Inventory'!$A$5:$A$104,0))),"")</f>
        <v/>
      </c>
      <c r="Y130" s="25">
        <f>IFERROR(IF(AND(OR($V130="Checked Out",$V130="Overdue"),$X130&gt;=Dashboard!$B$9),"Review",""),"")</f>
        <v/>
      </c>
      <c r="Z130" s="24" t="n"/>
      <c r="AA130" s="25">
        <f>IFERROR(IF(OR($V130="Checked Out",$V130="Overdue"),$B130,""),"")</f>
        <v/>
      </c>
    </row>
    <row r="131">
      <c r="A131" s="24" t="n"/>
      <c r="B131" s="24" t="n"/>
      <c r="C131" s="25">
        <f>IFERROR(IF($B131="","",INDEX('Key Inventory'!$B$5:$B$104,MATCH($B131,'Key Inventory'!$A$5:$A$104,0))),"")</f>
        <v/>
      </c>
      <c r="D131" s="25">
        <f>IFERROR(IF($B131="","",INDEX('Key Inventory'!$C$5:$C$104,MATCH($B131,'Key Inventory'!$A$5:$A$104,0))),"")</f>
        <v/>
      </c>
      <c r="E131" s="25">
        <f>IFERROR(IF($B131="","",INDEX('Key Inventory'!$D$5:$D$104,MATCH($B131,'Key Inventory'!$A$5:$A$104,0))),"")</f>
        <v/>
      </c>
      <c r="F131" s="24" t="n"/>
      <c r="G131" s="24" t="n"/>
      <c r="H131" s="24" t="n"/>
      <c r="I131" s="24" t="n"/>
      <c r="J131" s="24" t="n"/>
      <c r="K131" s="24" t="n"/>
      <c r="L131" s="26" t="n"/>
      <c r="M131" s="27" t="n"/>
      <c r="N131" s="26" t="n"/>
      <c r="O131" s="27" t="n"/>
      <c r="P131" s="26" t="n"/>
      <c r="Q131" s="27" t="n"/>
      <c r="R131" s="24" t="n"/>
      <c r="S131" s="24" t="n"/>
      <c r="T131" s="24" t="n"/>
      <c r="U131" s="24" t="n"/>
      <c r="V131" s="25">
        <f>IFERROR(IF(OR($A131="",$B131=""),"",IF($P131&lt;&gt;"","Returned",IF(NOW()&gt;$N131+$O131+(Dashboard!$B$7/24),"Overdue","Checked Out"))),"")</f>
        <v/>
      </c>
      <c r="W131" s="28">
        <f>IFERROR(IF($L131="","",MAX(0,24*((IF($P131&lt;&gt;"",$P131+$Q131,NOW()))-($L131+$M131)))),"")</f>
        <v/>
      </c>
      <c r="X131" s="29">
        <f>IFERROR(IF($B131="","",INDEX('Key Inventory'!$I$5:$I$104,MATCH($B131,'Key Inventory'!$A$5:$A$104,0))),"")</f>
        <v/>
      </c>
      <c r="Y131" s="25">
        <f>IFERROR(IF(AND(OR($V131="Checked Out",$V131="Overdue"),$X131&gt;=Dashboard!$B$9),"Review",""),"")</f>
        <v/>
      </c>
      <c r="Z131" s="24" t="n"/>
      <c r="AA131" s="25">
        <f>IFERROR(IF(OR($V131="Checked Out",$V131="Overdue"),$B131,""),"")</f>
        <v/>
      </c>
    </row>
    <row r="132">
      <c r="A132" s="24" t="n"/>
      <c r="B132" s="24" t="n"/>
      <c r="C132" s="25">
        <f>IFERROR(IF($B132="","",INDEX('Key Inventory'!$B$5:$B$104,MATCH($B132,'Key Inventory'!$A$5:$A$104,0))),"")</f>
        <v/>
      </c>
      <c r="D132" s="25">
        <f>IFERROR(IF($B132="","",INDEX('Key Inventory'!$C$5:$C$104,MATCH($B132,'Key Inventory'!$A$5:$A$104,0))),"")</f>
        <v/>
      </c>
      <c r="E132" s="25">
        <f>IFERROR(IF($B132="","",INDEX('Key Inventory'!$D$5:$D$104,MATCH($B132,'Key Inventory'!$A$5:$A$104,0))),"")</f>
        <v/>
      </c>
      <c r="F132" s="24" t="n"/>
      <c r="G132" s="24" t="n"/>
      <c r="H132" s="24" t="n"/>
      <c r="I132" s="24" t="n"/>
      <c r="J132" s="24" t="n"/>
      <c r="K132" s="24" t="n"/>
      <c r="L132" s="26" t="n"/>
      <c r="M132" s="27" t="n"/>
      <c r="N132" s="26" t="n"/>
      <c r="O132" s="27" t="n"/>
      <c r="P132" s="26" t="n"/>
      <c r="Q132" s="27" t="n"/>
      <c r="R132" s="24" t="n"/>
      <c r="S132" s="24" t="n"/>
      <c r="T132" s="24" t="n"/>
      <c r="U132" s="24" t="n"/>
      <c r="V132" s="25">
        <f>IFERROR(IF(OR($A132="",$B132=""),"",IF($P132&lt;&gt;"","Returned",IF(NOW()&gt;$N132+$O132+(Dashboard!$B$7/24),"Overdue","Checked Out"))),"")</f>
        <v/>
      </c>
      <c r="W132" s="28">
        <f>IFERROR(IF($L132="","",MAX(0,24*((IF($P132&lt;&gt;"",$P132+$Q132,NOW()))-($L132+$M132)))),"")</f>
        <v/>
      </c>
      <c r="X132" s="29">
        <f>IFERROR(IF($B132="","",INDEX('Key Inventory'!$I$5:$I$104,MATCH($B132,'Key Inventory'!$A$5:$A$104,0))),"")</f>
        <v/>
      </c>
      <c r="Y132" s="25">
        <f>IFERROR(IF(AND(OR($V132="Checked Out",$V132="Overdue"),$X132&gt;=Dashboard!$B$9),"Review",""),"")</f>
        <v/>
      </c>
      <c r="Z132" s="24" t="n"/>
      <c r="AA132" s="25">
        <f>IFERROR(IF(OR($V132="Checked Out",$V132="Overdue"),$B132,""),"")</f>
        <v/>
      </c>
    </row>
    <row r="133">
      <c r="A133" s="24" t="n"/>
      <c r="B133" s="24" t="n"/>
      <c r="C133" s="25">
        <f>IFERROR(IF($B133="","",INDEX('Key Inventory'!$B$5:$B$104,MATCH($B133,'Key Inventory'!$A$5:$A$104,0))),"")</f>
        <v/>
      </c>
      <c r="D133" s="25">
        <f>IFERROR(IF($B133="","",INDEX('Key Inventory'!$C$5:$C$104,MATCH($B133,'Key Inventory'!$A$5:$A$104,0))),"")</f>
        <v/>
      </c>
      <c r="E133" s="25">
        <f>IFERROR(IF($B133="","",INDEX('Key Inventory'!$D$5:$D$104,MATCH($B133,'Key Inventory'!$A$5:$A$104,0))),"")</f>
        <v/>
      </c>
      <c r="F133" s="24" t="n"/>
      <c r="G133" s="24" t="n"/>
      <c r="H133" s="24" t="n"/>
      <c r="I133" s="24" t="n"/>
      <c r="J133" s="24" t="n"/>
      <c r="K133" s="24" t="n"/>
      <c r="L133" s="26" t="n"/>
      <c r="M133" s="27" t="n"/>
      <c r="N133" s="26" t="n"/>
      <c r="O133" s="27" t="n"/>
      <c r="P133" s="26" t="n"/>
      <c r="Q133" s="27" t="n"/>
      <c r="R133" s="24" t="n"/>
      <c r="S133" s="24" t="n"/>
      <c r="T133" s="24" t="n"/>
      <c r="U133" s="24" t="n"/>
      <c r="V133" s="25">
        <f>IFERROR(IF(OR($A133="",$B133=""),"",IF($P133&lt;&gt;"","Returned",IF(NOW()&gt;$N133+$O133+(Dashboard!$B$7/24),"Overdue","Checked Out"))),"")</f>
        <v/>
      </c>
      <c r="W133" s="28">
        <f>IFERROR(IF($L133="","",MAX(0,24*((IF($P133&lt;&gt;"",$P133+$Q133,NOW()))-($L133+$M133)))),"")</f>
        <v/>
      </c>
      <c r="X133" s="29">
        <f>IFERROR(IF($B133="","",INDEX('Key Inventory'!$I$5:$I$104,MATCH($B133,'Key Inventory'!$A$5:$A$104,0))),"")</f>
        <v/>
      </c>
      <c r="Y133" s="25">
        <f>IFERROR(IF(AND(OR($V133="Checked Out",$V133="Overdue"),$X133&gt;=Dashboard!$B$9),"Review",""),"")</f>
        <v/>
      </c>
      <c r="Z133" s="24" t="n"/>
      <c r="AA133" s="25">
        <f>IFERROR(IF(OR($V133="Checked Out",$V133="Overdue"),$B133,""),"")</f>
        <v/>
      </c>
    </row>
    <row r="134">
      <c r="A134" s="24" t="n"/>
      <c r="B134" s="24" t="n"/>
      <c r="C134" s="25">
        <f>IFERROR(IF($B134="","",INDEX('Key Inventory'!$B$5:$B$104,MATCH($B134,'Key Inventory'!$A$5:$A$104,0))),"")</f>
        <v/>
      </c>
      <c r="D134" s="25">
        <f>IFERROR(IF($B134="","",INDEX('Key Inventory'!$C$5:$C$104,MATCH($B134,'Key Inventory'!$A$5:$A$104,0))),"")</f>
        <v/>
      </c>
      <c r="E134" s="25">
        <f>IFERROR(IF($B134="","",INDEX('Key Inventory'!$D$5:$D$104,MATCH($B134,'Key Inventory'!$A$5:$A$104,0))),"")</f>
        <v/>
      </c>
      <c r="F134" s="24" t="n"/>
      <c r="G134" s="24" t="n"/>
      <c r="H134" s="24" t="n"/>
      <c r="I134" s="24" t="n"/>
      <c r="J134" s="24" t="n"/>
      <c r="K134" s="24" t="n"/>
      <c r="L134" s="26" t="n"/>
      <c r="M134" s="27" t="n"/>
      <c r="N134" s="26" t="n"/>
      <c r="O134" s="27" t="n"/>
      <c r="P134" s="26" t="n"/>
      <c r="Q134" s="27" t="n"/>
      <c r="R134" s="24" t="n"/>
      <c r="S134" s="24" t="n"/>
      <c r="T134" s="24" t="n"/>
      <c r="U134" s="24" t="n"/>
      <c r="V134" s="25">
        <f>IFERROR(IF(OR($A134="",$B134=""),"",IF($P134&lt;&gt;"","Returned",IF(NOW()&gt;$N134+$O134+(Dashboard!$B$7/24),"Overdue","Checked Out"))),"")</f>
        <v/>
      </c>
      <c r="W134" s="28">
        <f>IFERROR(IF($L134="","",MAX(0,24*((IF($P134&lt;&gt;"",$P134+$Q134,NOW()))-($L134+$M134)))),"")</f>
        <v/>
      </c>
      <c r="X134" s="29">
        <f>IFERROR(IF($B134="","",INDEX('Key Inventory'!$I$5:$I$104,MATCH($B134,'Key Inventory'!$A$5:$A$104,0))),"")</f>
        <v/>
      </c>
      <c r="Y134" s="25">
        <f>IFERROR(IF(AND(OR($V134="Checked Out",$V134="Overdue"),$X134&gt;=Dashboard!$B$9),"Review",""),"")</f>
        <v/>
      </c>
      <c r="Z134" s="24" t="n"/>
      <c r="AA134" s="25">
        <f>IFERROR(IF(OR($V134="Checked Out",$V134="Overdue"),$B134,""),"")</f>
        <v/>
      </c>
    </row>
    <row r="135">
      <c r="A135" s="24" t="n"/>
      <c r="B135" s="24" t="n"/>
      <c r="C135" s="25">
        <f>IFERROR(IF($B135="","",INDEX('Key Inventory'!$B$5:$B$104,MATCH($B135,'Key Inventory'!$A$5:$A$104,0))),"")</f>
        <v/>
      </c>
      <c r="D135" s="25">
        <f>IFERROR(IF($B135="","",INDEX('Key Inventory'!$C$5:$C$104,MATCH($B135,'Key Inventory'!$A$5:$A$104,0))),"")</f>
        <v/>
      </c>
      <c r="E135" s="25">
        <f>IFERROR(IF($B135="","",INDEX('Key Inventory'!$D$5:$D$104,MATCH($B135,'Key Inventory'!$A$5:$A$104,0))),"")</f>
        <v/>
      </c>
      <c r="F135" s="24" t="n"/>
      <c r="G135" s="24" t="n"/>
      <c r="H135" s="24" t="n"/>
      <c r="I135" s="24" t="n"/>
      <c r="J135" s="24" t="n"/>
      <c r="K135" s="24" t="n"/>
      <c r="L135" s="26" t="n"/>
      <c r="M135" s="27" t="n"/>
      <c r="N135" s="26" t="n"/>
      <c r="O135" s="27" t="n"/>
      <c r="P135" s="26" t="n"/>
      <c r="Q135" s="27" t="n"/>
      <c r="R135" s="24" t="n"/>
      <c r="S135" s="24" t="n"/>
      <c r="T135" s="24" t="n"/>
      <c r="U135" s="24" t="n"/>
      <c r="V135" s="25">
        <f>IFERROR(IF(OR($A135="",$B135=""),"",IF($P135&lt;&gt;"","Returned",IF(NOW()&gt;$N135+$O135+(Dashboard!$B$7/24),"Overdue","Checked Out"))),"")</f>
        <v/>
      </c>
      <c r="W135" s="28">
        <f>IFERROR(IF($L135="","",MAX(0,24*((IF($P135&lt;&gt;"",$P135+$Q135,NOW()))-($L135+$M135)))),"")</f>
        <v/>
      </c>
      <c r="X135" s="29">
        <f>IFERROR(IF($B135="","",INDEX('Key Inventory'!$I$5:$I$104,MATCH($B135,'Key Inventory'!$A$5:$A$104,0))),"")</f>
        <v/>
      </c>
      <c r="Y135" s="25">
        <f>IFERROR(IF(AND(OR($V135="Checked Out",$V135="Overdue"),$X135&gt;=Dashboard!$B$9),"Review",""),"")</f>
        <v/>
      </c>
      <c r="Z135" s="24" t="n"/>
      <c r="AA135" s="25">
        <f>IFERROR(IF(OR($V135="Checked Out",$V135="Overdue"),$B135,""),"")</f>
        <v/>
      </c>
    </row>
    <row r="136">
      <c r="A136" s="24" t="n"/>
      <c r="B136" s="24" t="n"/>
      <c r="C136" s="25">
        <f>IFERROR(IF($B136="","",INDEX('Key Inventory'!$B$5:$B$104,MATCH($B136,'Key Inventory'!$A$5:$A$104,0))),"")</f>
        <v/>
      </c>
      <c r="D136" s="25">
        <f>IFERROR(IF($B136="","",INDEX('Key Inventory'!$C$5:$C$104,MATCH($B136,'Key Inventory'!$A$5:$A$104,0))),"")</f>
        <v/>
      </c>
      <c r="E136" s="25">
        <f>IFERROR(IF($B136="","",INDEX('Key Inventory'!$D$5:$D$104,MATCH($B136,'Key Inventory'!$A$5:$A$104,0))),"")</f>
        <v/>
      </c>
      <c r="F136" s="24" t="n"/>
      <c r="G136" s="24" t="n"/>
      <c r="H136" s="24" t="n"/>
      <c r="I136" s="24" t="n"/>
      <c r="J136" s="24" t="n"/>
      <c r="K136" s="24" t="n"/>
      <c r="L136" s="26" t="n"/>
      <c r="M136" s="27" t="n"/>
      <c r="N136" s="26" t="n"/>
      <c r="O136" s="27" t="n"/>
      <c r="P136" s="26" t="n"/>
      <c r="Q136" s="27" t="n"/>
      <c r="R136" s="24" t="n"/>
      <c r="S136" s="24" t="n"/>
      <c r="T136" s="24" t="n"/>
      <c r="U136" s="24" t="n"/>
      <c r="V136" s="25">
        <f>IFERROR(IF(OR($A136="",$B136=""),"",IF($P136&lt;&gt;"","Returned",IF(NOW()&gt;$N136+$O136+(Dashboard!$B$7/24),"Overdue","Checked Out"))),"")</f>
        <v/>
      </c>
      <c r="W136" s="28">
        <f>IFERROR(IF($L136="","",MAX(0,24*((IF($P136&lt;&gt;"",$P136+$Q136,NOW()))-($L136+$M136)))),"")</f>
        <v/>
      </c>
      <c r="X136" s="29">
        <f>IFERROR(IF($B136="","",INDEX('Key Inventory'!$I$5:$I$104,MATCH($B136,'Key Inventory'!$A$5:$A$104,0))),"")</f>
        <v/>
      </c>
      <c r="Y136" s="25">
        <f>IFERROR(IF(AND(OR($V136="Checked Out",$V136="Overdue"),$X136&gt;=Dashboard!$B$9),"Review",""),"")</f>
        <v/>
      </c>
      <c r="Z136" s="24" t="n"/>
      <c r="AA136" s="25">
        <f>IFERROR(IF(OR($V136="Checked Out",$V136="Overdue"),$B136,""),"")</f>
        <v/>
      </c>
    </row>
    <row r="137">
      <c r="A137" s="24" t="n"/>
      <c r="B137" s="24" t="n"/>
      <c r="C137" s="25">
        <f>IFERROR(IF($B137="","",INDEX('Key Inventory'!$B$5:$B$104,MATCH($B137,'Key Inventory'!$A$5:$A$104,0))),"")</f>
        <v/>
      </c>
      <c r="D137" s="25">
        <f>IFERROR(IF($B137="","",INDEX('Key Inventory'!$C$5:$C$104,MATCH($B137,'Key Inventory'!$A$5:$A$104,0))),"")</f>
        <v/>
      </c>
      <c r="E137" s="25">
        <f>IFERROR(IF($B137="","",INDEX('Key Inventory'!$D$5:$D$104,MATCH($B137,'Key Inventory'!$A$5:$A$104,0))),"")</f>
        <v/>
      </c>
      <c r="F137" s="24" t="n"/>
      <c r="G137" s="24" t="n"/>
      <c r="H137" s="24" t="n"/>
      <c r="I137" s="24" t="n"/>
      <c r="J137" s="24" t="n"/>
      <c r="K137" s="24" t="n"/>
      <c r="L137" s="26" t="n"/>
      <c r="M137" s="27" t="n"/>
      <c r="N137" s="26" t="n"/>
      <c r="O137" s="27" t="n"/>
      <c r="P137" s="26" t="n"/>
      <c r="Q137" s="27" t="n"/>
      <c r="R137" s="24" t="n"/>
      <c r="S137" s="24" t="n"/>
      <c r="T137" s="24" t="n"/>
      <c r="U137" s="24" t="n"/>
      <c r="V137" s="25">
        <f>IFERROR(IF(OR($A137="",$B137=""),"",IF($P137&lt;&gt;"","Returned",IF(NOW()&gt;$N137+$O137+(Dashboard!$B$7/24),"Overdue","Checked Out"))),"")</f>
        <v/>
      </c>
      <c r="W137" s="28">
        <f>IFERROR(IF($L137="","",MAX(0,24*((IF($P137&lt;&gt;"",$P137+$Q137,NOW()))-($L137+$M137)))),"")</f>
        <v/>
      </c>
      <c r="X137" s="29">
        <f>IFERROR(IF($B137="","",INDEX('Key Inventory'!$I$5:$I$104,MATCH($B137,'Key Inventory'!$A$5:$A$104,0))),"")</f>
        <v/>
      </c>
      <c r="Y137" s="25">
        <f>IFERROR(IF(AND(OR($V137="Checked Out",$V137="Overdue"),$X137&gt;=Dashboard!$B$9),"Review",""),"")</f>
        <v/>
      </c>
      <c r="Z137" s="24" t="n"/>
      <c r="AA137" s="25">
        <f>IFERROR(IF(OR($V137="Checked Out",$V137="Overdue"),$B137,""),"")</f>
        <v/>
      </c>
    </row>
    <row r="138">
      <c r="A138" s="24" t="n"/>
      <c r="B138" s="24" t="n"/>
      <c r="C138" s="25">
        <f>IFERROR(IF($B138="","",INDEX('Key Inventory'!$B$5:$B$104,MATCH($B138,'Key Inventory'!$A$5:$A$104,0))),"")</f>
        <v/>
      </c>
      <c r="D138" s="25">
        <f>IFERROR(IF($B138="","",INDEX('Key Inventory'!$C$5:$C$104,MATCH($B138,'Key Inventory'!$A$5:$A$104,0))),"")</f>
        <v/>
      </c>
      <c r="E138" s="25">
        <f>IFERROR(IF($B138="","",INDEX('Key Inventory'!$D$5:$D$104,MATCH($B138,'Key Inventory'!$A$5:$A$104,0))),"")</f>
        <v/>
      </c>
      <c r="F138" s="24" t="n"/>
      <c r="G138" s="24" t="n"/>
      <c r="H138" s="24" t="n"/>
      <c r="I138" s="24" t="n"/>
      <c r="J138" s="24" t="n"/>
      <c r="K138" s="24" t="n"/>
      <c r="L138" s="26" t="n"/>
      <c r="M138" s="27" t="n"/>
      <c r="N138" s="26" t="n"/>
      <c r="O138" s="27" t="n"/>
      <c r="P138" s="26" t="n"/>
      <c r="Q138" s="27" t="n"/>
      <c r="R138" s="24" t="n"/>
      <c r="S138" s="24" t="n"/>
      <c r="T138" s="24" t="n"/>
      <c r="U138" s="24" t="n"/>
      <c r="V138" s="25">
        <f>IFERROR(IF(OR($A138="",$B138=""),"",IF($P138&lt;&gt;"","Returned",IF(NOW()&gt;$N138+$O138+(Dashboard!$B$7/24),"Overdue","Checked Out"))),"")</f>
        <v/>
      </c>
      <c r="W138" s="28">
        <f>IFERROR(IF($L138="","",MAX(0,24*((IF($P138&lt;&gt;"",$P138+$Q138,NOW()))-($L138+$M138)))),"")</f>
        <v/>
      </c>
      <c r="X138" s="29">
        <f>IFERROR(IF($B138="","",INDEX('Key Inventory'!$I$5:$I$104,MATCH($B138,'Key Inventory'!$A$5:$A$104,0))),"")</f>
        <v/>
      </c>
      <c r="Y138" s="25">
        <f>IFERROR(IF(AND(OR($V138="Checked Out",$V138="Overdue"),$X138&gt;=Dashboard!$B$9),"Review",""),"")</f>
        <v/>
      </c>
      <c r="Z138" s="24" t="n"/>
      <c r="AA138" s="25">
        <f>IFERROR(IF(OR($V138="Checked Out",$V138="Overdue"),$B138,""),"")</f>
        <v/>
      </c>
    </row>
    <row r="139">
      <c r="A139" s="24" t="n"/>
      <c r="B139" s="24" t="n"/>
      <c r="C139" s="25">
        <f>IFERROR(IF($B139="","",INDEX('Key Inventory'!$B$5:$B$104,MATCH($B139,'Key Inventory'!$A$5:$A$104,0))),"")</f>
        <v/>
      </c>
      <c r="D139" s="25">
        <f>IFERROR(IF($B139="","",INDEX('Key Inventory'!$C$5:$C$104,MATCH($B139,'Key Inventory'!$A$5:$A$104,0))),"")</f>
        <v/>
      </c>
      <c r="E139" s="25">
        <f>IFERROR(IF($B139="","",INDEX('Key Inventory'!$D$5:$D$104,MATCH($B139,'Key Inventory'!$A$5:$A$104,0))),"")</f>
        <v/>
      </c>
      <c r="F139" s="24" t="n"/>
      <c r="G139" s="24" t="n"/>
      <c r="H139" s="24" t="n"/>
      <c r="I139" s="24" t="n"/>
      <c r="J139" s="24" t="n"/>
      <c r="K139" s="24" t="n"/>
      <c r="L139" s="26" t="n"/>
      <c r="M139" s="27" t="n"/>
      <c r="N139" s="26" t="n"/>
      <c r="O139" s="27" t="n"/>
      <c r="P139" s="26" t="n"/>
      <c r="Q139" s="27" t="n"/>
      <c r="R139" s="24" t="n"/>
      <c r="S139" s="24" t="n"/>
      <c r="T139" s="24" t="n"/>
      <c r="U139" s="24" t="n"/>
      <c r="V139" s="25">
        <f>IFERROR(IF(OR($A139="",$B139=""),"",IF($P139&lt;&gt;"","Returned",IF(NOW()&gt;$N139+$O139+(Dashboard!$B$7/24),"Overdue","Checked Out"))),"")</f>
        <v/>
      </c>
      <c r="W139" s="28">
        <f>IFERROR(IF($L139="","",MAX(0,24*((IF($P139&lt;&gt;"",$P139+$Q139,NOW()))-($L139+$M139)))),"")</f>
        <v/>
      </c>
      <c r="X139" s="29">
        <f>IFERROR(IF($B139="","",INDEX('Key Inventory'!$I$5:$I$104,MATCH($B139,'Key Inventory'!$A$5:$A$104,0))),"")</f>
        <v/>
      </c>
      <c r="Y139" s="25">
        <f>IFERROR(IF(AND(OR($V139="Checked Out",$V139="Overdue"),$X139&gt;=Dashboard!$B$9),"Review",""),"")</f>
        <v/>
      </c>
      <c r="Z139" s="24" t="n"/>
      <c r="AA139" s="25">
        <f>IFERROR(IF(OR($V139="Checked Out",$V139="Overdue"),$B139,""),"")</f>
        <v/>
      </c>
    </row>
    <row r="140">
      <c r="A140" s="24" t="n"/>
      <c r="B140" s="24" t="n"/>
      <c r="C140" s="25">
        <f>IFERROR(IF($B140="","",INDEX('Key Inventory'!$B$5:$B$104,MATCH($B140,'Key Inventory'!$A$5:$A$104,0))),"")</f>
        <v/>
      </c>
      <c r="D140" s="25">
        <f>IFERROR(IF($B140="","",INDEX('Key Inventory'!$C$5:$C$104,MATCH($B140,'Key Inventory'!$A$5:$A$104,0))),"")</f>
        <v/>
      </c>
      <c r="E140" s="25">
        <f>IFERROR(IF($B140="","",INDEX('Key Inventory'!$D$5:$D$104,MATCH($B140,'Key Inventory'!$A$5:$A$104,0))),"")</f>
        <v/>
      </c>
      <c r="F140" s="24" t="n"/>
      <c r="G140" s="24" t="n"/>
      <c r="H140" s="24" t="n"/>
      <c r="I140" s="24" t="n"/>
      <c r="J140" s="24" t="n"/>
      <c r="K140" s="24" t="n"/>
      <c r="L140" s="26" t="n"/>
      <c r="M140" s="27" t="n"/>
      <c r="N140" s="26" t="n"/>
      <c r="O140" s="27" t="n"/>
      <c r="P140" s="26" t="n"/>
      <c r="Q140" s="27" t="n"/>
      <c r="R140" s="24" t="n"/>
      <c r="S140" s="24" t="n"/>
      <c r="T140" s="24" t="n"/>
      <c r="U140" s="24" t="n"/>
      <c r="V140" s="25">
        <f>IFERROR(IF(OR($A140="",$B140=""),"",IF($P140&lt;&gt;"","Returned",IF(NOW()&gt;$N140+$O140+(Dashboard!$B$7/24),"Overdue","Checked Out"))),"")</f>
        <v/>
      </c>
      <c r="W140" s="28">
        <f>IFERROR(IF($L140="","",MAX(0,24*((IF($P140&lt;&gt;"",$P140+$Q140,NOW()))-($L140+$M140)))),"")</f>
        <v/>
      </c>
      <c r="X140" s="29">
        <f>IFERROR(IF($B140="","",INDEX('Key Inventory'!$I$5:$I$104,MATCH($B140,'Key Inventory'!$A$5:$A$104,0))),"")</f>
        <v/>
      </c>
      <c r="Y140" s="25">
        <f>IFERROR(IF(AND(OR($V140="Checked Out",$V140="Overdue"),$X140&gt;=Dashboard!$B$9),"Review",""),"")</f>
        <v/>
      </c>
      <c r="Z140" s="24" t="n"/>
      <c r="AA140" s="25">
        <f>IFERROR(IF(OR($V140="Checked Out",$V140="Overdue"),$B140,""),"")</f>
        <v/>
      </c>
    </row>
    <row r="141">
      <c r="A141" s="24" t="n"/>
      <c r="B141" s="24" t="n"/>
      <c r="C141" s="25">
        <f>IFERROR(IF($B141="","",INDEX('Key Inventory'!$B$5:$B$104,MATCH($B141,'Key Inventory'!$A$5:$A$104,0))),"")</f>
        <v/>
      </c>
      <c r="D141" s="25">
        <f>IFERROR(IF($B141="","",INDEX('Key Inventory'!$C$5:$C$104,MATCH($B141,'Key Inventory'!$A$5:$A$104,0))),"")</f>
        <v/>
      </c>
      <c r="E141" s="25">
        <f>IFERROR(IF($B141="","",INDEX('Key Inventory'!$D$5:$D$104,MATCH($B141,'Key Inventory'!$A$5:$A$104,0))),"")</f>
        <v/>
      </c>
      <c r="F141" s="24" t="n"/>
      <c r="G141" s="24" t="n"/>
      <c r="H141" s="24" t="n"/>
      <c r="I141" s="24" t="n"/>
      <c r="J141" s="24" t="n"/>
      <c r="K141" s="24" t="n"/>
      <c r="L141" s="26" t="n"/>
      <c r="M141" s="27" t="n"/>
      <c r="N141" s="26" t="n"/>
      <c r="O141" s="27" t="n"/>
      <c r="P141" s="26" t="n"/>
      <c r="Q141" s="27" t="n"/>
      <c r="R141" s="24" t="n"/>
      <c r="S141" s="24" t="n"/>
      <c r="T141" s="24" t="n"/>
      <c r="U141" s="24" t="n"/>
      <c r="V141" s="25">
        <f>IFERROR(IF(OR($A141="",$B141=""),"",IF($P141&lt;&gt;"","Returned",IF(NOW()&gt;$N141+$O141+(Dashboard!$B$7/24),"Overdue","Checked Out"))),"")</f>
        <v/>
      </c>
      <c r="W141" s="28">
        <f>IFERROR(IF($L141="","",MAX(0,24*((IF($P141&lt;&gt;"",$P141+$Q141,NOW()))-($L141+$M141)))),"")</f>
        <v/>
      </c>
      <c r="X141" s="29">
        <f>IFERROR(IF($B141="","",INDEX('Key Inventory'!$I$5:$I$104,MATCH($B141,'Key Inventory'!$A$5:$A$104,0))),"")</f>
        <v/>
      </c>
      <c r="Y141" s="25">
        <f>IFERROR(IF(AND(OR($V141="Checked Out",$V141="Overdue"),$X141&gt;=Dashboard!$B$9),"Review",""),"")</f>
        <v/>
      </c>
      <c r="Z141" s="24" t="n"/>
      <c r="AA141" s="25">
        <f>IFERROR(IF(OR($V141="Checked Out",$V141="Overdue"),$B141,""),"")</f>
        <v/>
      </c>
    </row>
    <row r="142">
      <c r="A142" s="24" t="n"/>
      <c r="B142" s="24" t="n"/>
      <c r="C142" s="25">
        <f>IFERROR(IF($B142="","",INDEX('Key Inventory'!$B$5:$B$104,MATCH($B142,'Key Inventory'!$A$5:$A$104,0))),"")</f>
        <v/>
      </c>
      <c r="D142" s="25">
        <f>IFERROR(IF($B142="","",INDEX('Key Inventory'!$C$5:$C$104,MATCH($B142,'Key Inventory'!$A$5:$A$104,0))),"")</f>
        <v/>
      </c>
      <c r="E142" s="25">
        <f>IFERROR(IF($B142="","",INDEX('Key Inventory'!$D$5:$D$104,MATCH($B142,'Key Inventory'!$A$5:$A$104,0))),"")</f>
        <v/>
      </c>
      <c r="F142" s="24" t="n"/>
      <c r="G142" s="24" t="n"/>
      <c r="H142" s="24" t="n"/>
      <c r="I142" s="24" t="n"/>
      <c r="J142" s="24" t="n"/>
      <c r="K142" s="24" t="n"/>
      <c r="L142" s="26" t="n"/>
      <c r="M142" s="27" t="n"/>
      <c r="N142" s="26" t="n"/>
      <c r="O142" s="27" t="n"/>
      <c r="P142" s="26" t="n"/>
      <c r="Q142" s="27" t="n"/>
      <c r="R142" s="24" t="n"/>
      <c r="S142" s="24" t="n"/>
      <c r="T142" s="24" t="n"/>
      <c r="U142" s="24" t="n"/>
      <c r="V142" s="25">
        <f>IFERROR(IF(OR($A142="",$B142=""),"",IF($P142&lt;&gt;"","Returned",IF(NOW()&gt;$N142+$O142+(Dashboard!$B$7/24),"Overdue","Checked Out"))),"")</f>
        <v/>
      </c>
      <c r="W142" s="28">
        <f>IFERROR(IF($L142="","",MAX(0,24*((IF($P142&lt;&gt;"",$P142+$Q142,NOW()))-($L142+$M142)))),"")</f>
        <v/>
      </c>
      <c r="X142" s="29">
        <f>IFERROR(IF($B142="","",INDEX('Key Inventory'!$I$5:$I$104,MATCH($B142,'Key Inventory'!$A$5:$A$104,0))),"")</f>
        <v/>
      </c>
      <c r="Y142" s="25">
        <f>IFERROR(IF(AND(OR($V142="Checked Out",$V142="Overdue"),$X142&gt;=Dashboard!$B$9),"Review",""),"")</f>
        <v/>
      </c>
      <c r="Z142" s="24" t="n"/>
      <c r="AA142" s="25">
        <f>IFERROR(IF(OR($V142="Checked Out",$V142="Overdue"),$B142,""),"")</f>
        <v/>
      </c>
    </row>
    <row r="143">
      <c r="A143" s="24" t="n"/>
      <c r="B143" s="24" t="n"/>
      <c r="C143" s="25">
        <f>IFERROR(IF($B143="","",INDEX('Key Inventory'!$B$5:$B$104,MATCH($B143,'Key Inventory'!$A$5:$A$104,0))),"")</f>
        <v/>
      </c>
      <c r="D143" s="25">
        <f>IFERROR(IF($B143="","",INDEX('Key Inventory'!$C$5:$C$104,MATCH($B143,'Key Inventory'!$A$5:$A$104,0))),"")</f>
        <v/>
      </c>
      <c r="E143" s="25">
        <f>IFERROR(IF($B143="","",INDEX('Key Inventory'!$D$5:$D$104,MATCH($B143,'Key Inventory'!$A$5:$A$104,0))),"")</f>
        <v/>
      </c>
      <c r="F143" s="24" t="n"/>
      <c r="G143" s="24" t="n"/>
      <c r="H143" s="24" t="n"/>
      <c r="I143" s="24" t="n"/>
      <c r="J143" s="24" t="n"/>
      <c r="K143" s="24" t="n"/>
      <c r="L143" s="26" t="n"/>
      <c r="M143" s="27" t="n"/>
      <c r="N143" s="26" t="n"/>
      <c r="O143" s="27" t="n"/>
      <c r="P143" s="26" t="n"/>
      <c r="Q143" s="27" t="n"/>
      <c r="R143" s="24" t="n"/>
      <c r="S143" s="24" t="n"/>
      <c r="T143" s="24" t="n"/>
      <c r="U143" s="24" t="n"/>
      <c r="V143" s="25">
        <f>IFERROR(IF(OR($A143="",$B143=""),"",IF($P143&lt;&gt;"","Returned",IF(NOW()&gt;$N143+$O143+(Dashboard!$B$7/24),"Overdue","Checked Out"))),"")</f>
        <v/>
      </c>
      <c r="W143" s="28">
        <f>IFERROR(IF($L143="","",MAX(0,24*((IF($P143&lt;&gt;"",$P143+$Q143,NOW()))-($L143+$M143)))),"")</f>
        <v/>
      </c>
      <c r="X143" s="29">
        <f>IFERROR(IF($B143="","",INDEX('Key Inventory'!$I$5:$I$104,MATCH($B143,'Key Inventory'!$A$5:$A$104,0))),"")</f>
        <v/>
      </c>
      <c r="Y143" s="25">
        <f>IFERROR(IF(AND(OR($V143="Checked Out",$V143="Overdue"),$X143&gt;=Dashboard!$B$9),"Review",""),"")</f>
        <v/>
      </c>
      <c r="Z143" s="24" t="n"/>
      <c r="AA143" s="25">
        <f>IFERROR(IF(OR($V143="Checked Out",$V143="Overdue"),$B143,""),"")</f>
        <v/>
      </c>
    </row>
    <row r="144">
      <c r="A144" s="24" t="n"/>
      <c r="B144" s="24" t="n"/>
      <c r="C144" s="25">
        <f>IFERROR(IF($B144="","",INDEX('Key Inventory'!$B$5:$B$104,MATCH($B144,'Key Inventory'!$A$5:$A$104,0))),"")</f>
        <v/>
      </c>
      <c r="D144" s="25">
        <f>IFERROR(IF($B144="","",INDEX('Key Inventory'!$C$5:$C$104,MATCH($B144,'Key Inventory'!$A$5:$A$104,0))),"")</f>
        <v/>
      </c>
      <c r="E144" s="25">
        <f>IFERROR(IF($B144="","",INDEX('Key Inventory'!$D$5:$D$104,MATCH($B144,'Key Inventory'!$A$5:$A$104,0))),"")</f>
        <v/>
      </c>
      <c r="F144" s="24" t="n"/>
      <c r="G144" s="24" t="n"/>
      <c r="H144" s="24" t="n"/>
      <c r="I144" s="24" t="n"/>
      <c r="J144" s="24" t="n"/>
      <c r="K144" s="24" t="n"/>
      <c r="L144" s="26" t="n"/>
      <c r="M144" s="27" t="n"/>
      <c r="N144" s="26" t="n"/>
      <c r="O144" s="27" t="n"/>
      <c r="P144" s="26" t="n"/>
      <c r="Q144" s="27" t="n"/>
      <c r="R144" s="24" t="n"/>
      <c r="S144" s="24" t="n"/>
      <c r="T144" s="24" t="n"/>
      <c r="U144" s="24" t="n"/>
      <c r="V144" s="25">
        <f>IFERROR(IF(OR($A144="",$B144=""),"",IF($P144&lt;&gt;"","Returned",IF(NOW()&gt;$N144+$O144+(Dashboard!$B$7/24),"Overdue","Checked Out"))),"")</f>
        <v/>
      </c>
      <c r="W144" s="28">
        <f>IFERROR(IF($L144="","",MAX(0,24*((IF($P144&lt;&gt;"",$P144+$Q144,NOW()))-($L144+$M144)))),"")</f>
        <v/>
      </c>
      <c r="X144" s="29">
        <f>IFERROR(IF($B144="","",INDEX('Key Inventory'!$I$5:$I$104,MATCH($B144,'Key Inventory'!$A$5:$A$104,0))),"")</f>
        <v/>
      </c>
      <c r="Y144" s="25">
        <f>IFERROR(IF(AND(OR($V144="Checked Out",$V144="Overdue"),$X144&gt;=Dashboard!$B$9),"Review",""),"")</f>
        <v/>
      </c>
      <c r="Z144" s="24" t="n"/>
      <c r="AA144" s="25">
        <f>IFERROR(IF(OR($V144="Checked Out",$V144="Overdue"),$B144,""),"")</f>
        <v/>
      </c>
    </row>
    <row r="145">
      <c r="A145" s="24" t="n"/>
      <c r="B145" s="24" t="n"/>
      <c r="C145" s="25">
        <f>IFERROR(IF($B145="","",INDEX('Key Inventory'!$B$5:$B$104,MATCH($B145,'Key Inventory'!$A$5:$A$104,0))),"")</f>
        <v/>
      </c>
      <c r="D145" s="25">
        <f>IFERROR(IF($B145="","",INDEX('Key Inventory'!$C$5:$C$104,MATCH($B145,'Key Inventory'!$A$5:$A$104,0))),"")</f>
        <v/>
      </c>
      <c r="E145" s="25">
        <f>IFERROR(IF($B145="","",INDEX('Key Inventory'!$D$5:$D$104,MATCH($B145,'Key Inventory'!$A$5:$A$104,0))),"")</f>
        <v/>
      </c>
      <c r="F145" s="24" t="n"/>
      <c r="G145" s="24" t="n"/>
      <c r="H145" s="24" t="n"/>
      <c r="I145" s="24" t="n"/>
      <c r="J145" s="24" t="n"/>
      <c r="K145" s="24" t="n"/>
      <c r="L145" s="26" t="n"/>
      <c r="M145" s="27" t="n"/>
      <c r="N145" s="26" t="n"/>
      <c r="O145" s="27" t="n"/>
      <c r="P145" s="26" t="n"/>
      <c r="Q145" s="27" t="n"/>
      <c r="R145" s="24" t="n"/>
      <c r="S145" s="24" t="n"/>
      <c r="T145" s="24" t="n"/>
      <c r="U145" s="24" t="n"/>
      <c r="V145" s="25">
        <f>IFERROR(IF(OR($A145="",$B145=""),"",IF($P145&lt;&gt;"","Returned",IF(NOW()&gt;$N145+$O145+(Dashboard!$B$7/24),"Overdue","Checked Out"))),"")</f>
        <v/>
      </c>
      <c r="W145" s="28">
        <f>IFERROR(IF($L145="","",MAX(0,24*((IF($P145&lt;&gt;"",$P145+$Q145,NOW()))-($L145+$M145)))),"")</f>
        <v/>
      </c>
      <c r="X145" s="29">
        <f>IFERROR(IF($B145="","",INDEX('Key Inventory'!$I$5:$I$104,MATCH($B145,'Key Inventory'!$A$5:$A$104,0))),"")</f>
        <v/>
      </c>
      <c r="Y145" s="25">
        <f>IFERROR(IF(AND(OR($V145="Checked Out",$V145="Overdue"),$X145&gt;=Dashboard!$B$9),"Review",""),"")</f>
        <v/>
      </c>
      <c r="Z145" s="24" t="n"/>
      <c r="AA145" s="25">
        <f>IFERROR(IF(OR($V145="Checked Out",$V145="Overdue"),$B145,""),"")</f>
        <v/>
      </c>
    </row>
    <row r="146">
      <c r="A146" s="24" t="n"/>
      <c r="B146" s="24" t="n"/>
      <c r="C146" s="25">
        <f>IFERROR(IF($B146="","",INDEX('Key Inventory'!$B$5:$B$104,MATCH($B146,'Key Inventory'!$A$5:$A$104,0))),"")</f>
        <v/>
      </c>
      <c r="D146" s="25">
        <f>IFERROR(IF($B146="","",INDEX('Key Inventory'!$C$5:$C$104,MATCH($B146,'Key Inventory'!$A$5:$A$104,0))),"")</f>
        <v/>
      </c>
      <c r="E146" s="25">
        <f>IFERROR(IF($B146="","",INDEX('Key Inventory'!$D$5:$D$104,MATCH($B146,'Key Inventory'!$A$5:$A$104,0))),"")</f>
        <v/>
      </c>
      <c r="F146" s="24" t="n"/>
      <c r="G146" s="24" t="n"/>
      <c r="H146" s="24" t="n"/>
      <c r="I146" s="24" t="n"/>
      <c r="J146" s="24" t="n"/>
      <c r="K146" s="24" t="n"/>
      <c r="L146" s="26" t="n"/>
      <c r="M146" s="27" t="n"/>
      <c r="N146" s="26" t="n"/>
      <c r="O146" s="27" t="n"/>
      <c r="P146" s="26" t="n"/>
      <c r="Q146" s="27" t="n"/>
      <c r="R146" s="24" t="n"/>
      <c r="S146" s="24" t="n"/>
      <c r="T146" s="24" t="n"/>
      <c r="U146" s="24" t="n"/>
      <c r="V146" s="25">
        <f>IFERROR(IF(OR($A146="",$B146=""),"",IF($P146&lt;&gt;"","Returned",IF(NOW()&gt;$N146+$O146+(Dashboard!$B$7/24),"Overdue","Checked Out"))),"")</f>
        <v/>
      </c>
      <c r="W146" s="28">
        <f>IFERROR(IF($L146="","",MAX(0,24*((IF($P146&lt;&gt;"",$P146+$Q146,NOW()))-($L146+$M146)))),"")</f>
        <v/>
      </c>
      <c r="X146" s="29">
        <f>IFERROR(IF($B146="","",INDEX('Key Inventory'!$I$5:$I$104,MATCH($B146,'Key Inventory'!$A$5:$A$104,0))),"")</f>
        <v/>
      </c>
      <c r="Y146" s="25">
        <f>IFERROR(IF(AND(OR($V146="Checked Out",$V146="Overdue"),$X146&gt;=Dashboard!$B$9),"Review",""),"")</f>
        <v/>
      </c>
      <c r="Z146" s="24" t="n"/>
      <c r="AA146" s="25">
        <f>IFERROR(IF(OR($V146="Checked Out",$V146="Overdue"),$B146,""),"")</f>
        <v/>
      </c>
    </row>
    <row r="147">
      <c r="A147" s="24" t="n"/>
      <c r="B147" s="24" t="n"/>
      <c r="C147" s="25">
        <f>IFERROR(IF($B147="","",INDEX('Key Inventory'!$B$5:$B$104,MATCH($B147,'Key Inventory'!$A$5:$A$104,0))),"")</f>
        <v/>
      </c>
      <c r="D147" s="25">
        <f>IFERROR(IF($B147="","",INDEX('Key Inventory'!$C$5:$C$104,MATCH($B147,'Key Inventory'!$A$5:$A$104,0))),"")</f>
        <v/>
      </c>
      <c r="E147" s="25">
        <f>IFERROR(IF($B147="","",INDEX('Key Inventory'!$D$5:$D$104,MATCH($B147,'Key Inventory'!$A$5:$A$104,0))),"")</f>
        <v/>
      </c>
      <c r="F147" s="24" t="n"/>
      <c r="G147" s="24" t="n"/>
      <c r="H147" s="24" t="n"/>
      <c r="I147" s="24" t="n"/>
      <c r="J147" s="24" t="n"/>
      <c r="K147" s="24" t="n"/>
      <c r="L147" s="26" t="n"/>
      <c r="M147" s="27" t="n"/>
      <c r="N147" s="26" t="n"/>
      <c r="O147" s="27" t="n"/>
      <c r="P147" s="26" t="n"/>
      <c r="Q147" s="27" t="n"/>
      <c r="R147" s="24" t="n"/>
      <c r="S147" s="24" t="n"/>
      <c r="T147" s="24" t="n"/>
      <c r="U147" s="24" t="n"/>
      <c r="V147" s="25">
        <f>IFERROR(IF(OR($A147="",$B147=""),"",IF($P147&lt;&gt;"","Returned",IF(NOW()&gt;$N147+$O147+(Dashboard!$B$7/24),"Overdue","Checked Out"))),"")</f>
        <v/>
      </c>
      <c r="W147" s="28">
        <f>IFERROR(IF($L147="","",MAX(0,24*((IF($P147&lt;&gt;"",$P147+$Q147,NOW()))-($L147+$M147)))),"")</f>
        <v/>
      </c>
      <c r="X147" s="29">
        <f>IFERROR(IF($B147="","",INDEX('Key Inventory'!$I$5:$I$104,MATCH($B147,'Key Inventory'!$A$5:$A$104,0))),"")</f>
        <v/>
      </c>
      <c r="Y147" s="25">
        <f>IFERROR(IF(AND(OR($V147="Checked Out",$V147="Overdue"),$X147&gt;=Dashboard!$B$9),"Review",""),"")</f>
        <v/>
      </c>
      <c r="Z147" s="24" t="n"/>
      <c r="AA147" s="25">
        <f>IFERROR(IF(OR($V147="Checked Out",$V147="Overdue"),$B147,""),"")</f>
        <v/>
      </c>
    </row>
    <row r="148">
      <c r="A148" s="24" t="n"/>
      <c r="B148" s="24" t="n"/>
      <c r="C148" s="25">
        <f>IFERROR(IF($B148="","",INDEX('Key Inventory'!$B$5:$B$104,MATCH($B148,'Key Inventory'!$A$5:$A$104,0))),"")</f>
        <v/>
      </c>
      <c r="D148" s="25">
        <f>IFERROR(IF($B148="","",INDEX('Key Inventory'!$C$5:$C$104,MATCH($B148,'Key Inventory'!$A$5:$A$104,0))),"")</f>
        <v/>
      </c>
      <c r="E148" s="25">
        <f>IFERROR(IF($B148="","",INDEX('Key Inventory'!$D$5:$D$104,MATCH($B148,'Key Inventory'!$A$5:$A$104,0))),"")</f>
        <v/>
      </c>
      <c r="F148" s="24" t="n"/>
      <c r="G148" s="24" t="n"/>
      <c r="H148" s="24" t="n"/>
      <c r="I148" s="24" t="n"/>
      <c r="J148" s="24" t="n"/>
      <c r="K148" s="24" t="n"/>
      <c r="L148" s="26" t="n"/>
      <c r="M148" s="27" t="n"/>
      <c r="N148" s="26" t="n"/>
      <c r="O148" s="27" t="n"/>
      <c r="P148" s="26" t="n"/>
      <c r="Q148" s="27" t="n"/>
      <c r="R148" s="24" t="n"/>
      <c r="S148" s="24" t="n"/>
      <c r="T148" s="24" t="n"/>
      <c r="U148" s="24" t="n"/>
      <c r="V148" s="25">
        <f>IFERROR(IF(OR($A148="",$B148=""),"",IF($P148&lt;&gt;"","Returned",IF(NOW()&gt;$N148+$O148+(Dashboard!$B$7/24),"Overdue","Checked Out"))),"")</f>
        <v/>
      </c>
      <c r="W148" s="28">
        <f>IFERROR(IF($L148="","",MAX(0,24*((IF($P148&lt;&gt;"",$P148+$Q148,NOW()))-($L148+$M148)))),"")</f>
        <v/>
      </c>
      <c r="X148" s="29">
        <f>IFERROR(IF($B148="","",INDEX('Key Inventory'!$I$5:$I$104,MATCH($B148,'Key Inventory'!$A$5:$A$104,0))),"")</f>
        <v/>
      </c>
      <c r="Y148" s="25">
        <f>IFERROR(IF(AND(OR($V148="Checked Out",$V148="Overdue"),$X148&gt;=Dashboard!$B$9),"Review",""),"")</f>
        <v/>
      </c>
      <c r="Z148" s="24" t="n"/>
      <c r="AA148" s="25">
        <f>IFERROR(IF(OR($V148="Checked Out",$V148="Overdue"),$B148,""),"")</f>
        <v/>
      </c>
    </row>
    <row r="149">
      <c r="A149" s="24" t="n"/>
      <c r="B149" s="24" t="n"/>
      <c r="C149" s="25">
        <f>IFERROR(IF($B149="","",INDEX('Key Inventory'!$B$5:$B$104,MATCH($B149,'Key Inventory'!$A$5:$A$104,0))),"")</f>
        <v/>
      </c>
      <c r="D149" s="25">
        <f>IFERROR(IF($B149="","",INDEX('Key Inventory'!$C$5:$C$104,MATCH($B149,'Key Inventory'!$A$5:$A$104,0))),"")</f>
        <v/>
      </c>
      <c r="E149" s="25">
        <f>IFERROR(IF($B149="","",INDEX('Key Inventory'!$D$5:$D$104,MATCH($B149,'Key Inventory'!$A$5:$A$104,0))),"")</f>
        <v/>
      </c>
      <c r="F149" s="24" t="n"/>
      <c r="G149" s="24" t="n"/>
      <c r="H149" s="24" t="n"/>
      <c r="I149" s="24" t="n"/>
      <c r="J149" s="24" t="n"/>
      <c r="K149" s="24" t="n"/>
      <c r="L149" s="26" t="n"/>
      <c r="M149" s="27" t="n"/>
      <c r="N149" s="26" t="n"/>
      <c r="O149" s="27" t="n"/>
      <c r="P149" s="26" t="n"/>
      <c r="Q149" s="27" t="n"/>
      <c r="R149" s="24" t="n"/>
      <c r="S149" s="24" t="n"/>
      <c r="T149" s="24" t="n"/>
      <c r="U149" s="24" t="n"/>
      <c r="V149" s="25">
        <f>IFERROR(IF(OR($A149="",$B149=""),"",IF($P149&lt;&gt;"","Returned",IF(NOW()&gt;$N149+$O149+(Dashboard!$B$7/24),"Overdue","Checked Out"))),"")</f>
        <v/>
      </c>
      <c r="W149" s="28">
        <f>IFERROR(IF($L149="","",MAX(0,24*((IF($P149&lt;&gt;"",$P149+$Q149,NOW()))-($L149+$M149)))),"")</f>
        <v/>
      </c>
      <c r="X149" s="29">
        <f>IFERROR(IF($B149="","",INDEX('Key Inventory'!$I$5:$I$104,MATCH($B149,'Key Inventory'!$A$5:$A$104,0))),"")</f>
        <v/>
      </c>
      <c r="Y149" s="25">
        <f>IFERROR(IF(AND(OR($V149="Checked Out",$V149="Overdue"),$X149&gt;=Dashboard!$B$9),"Review",""),"")</f>
        <v/>
      </c>
      <c r="Z149" s="24" t="n"/>
      <c r="AA149" s="25">
        <f>IFERROR(IF(OR($V149="Checked Out",$V149="Overdue"),$B149,""),"")</f>
        <v/>
      </c>
    </row>
    <row r="150">
      <c r="A150" s="24" t="n"/>
      <c r="B150" s="24" t="n"/>
      <c r="C150" s="25">
        <f>IFERROR(IF($B150="","",INDEX('Key Inventory'!$B$5:$B$104,MATCH($B150,'Key Inventory'!$A$5:$A$104,0))),"")</f>
        <v/>
      </c>
      <c r="D150" s="25">
        <f>IFERROR(IF($B150="","",INDEX('Key Inventory'!$C$5:$C$104,MATCH($B150,'Key Inventory'!$A$5:$A$104,0))),"")</f>
        <v/>
      </c>
      <c r="E150" s="25">
        <f>IFERROR(IF($B150="","",INDEX('Key Inventory'!$D$5:$D$104,MATCH($B150,'Key Inventory'!$A$5:$A$104,0))),"")</f>
        <v/>
      </c>
      <c r="F150" s="24" t="n"/>
      <c r="G150" s="24" t="n"/>
      <c r="H150" s="24" t="n"/>
      <c r="I150" s="24" t="n"/>
      <c r="J150" s="24" t="n"/>
      <c r="K150" s="24" t="n"/>
      <c r="L150" s="26" t="n"/>
      <c r="M150" s="27" t="n"/>
      <c r="N150" s="26" t="n"/>
      <c r="O150" s="27" t="n"/>
      <c r="P150" s="26" t="n"/>
      <c r="Q150" s="27" t="n"/>
      <c r="R150" s="24" t="n"/>
      <c r="S150" s="24" t="n"/>
      <c r="T150" s="24" t="n"/>
      <c r="U150" s="24" t="n"/>
      <c r="V150" s="25">
        <f>IFERROR(IF(OR($A150="",$B150=""),"",IF($P150&lt;&gt;"","Returned",IF(NOW()&gt;$N150+$O150+(Dashboard!$B$7/24),"Overdue","Checked Out"))),"")</f>
        <v/>
      </c>
      <c r="W150" s="28">
        <f>IFERROR(IF($L150="","",MAX(0,24*((IF($P150&lt;&gt;"",$P150+$Q150,NOW()))-($L150+$M150)))),"")</f>
        <v/>
      </c>
      <c r="X150" s="29">
        <f>IFERROR(IF($B150="","",INDEX('Key Inventory'!$I$5:$I$104,MATCH($B150,'Key Inventory'!$A$5:$A$104,0))),"")</f>
        <v/>
      </c>
      <c r="Y150" s="25">
        <f>IFERROR(IF(AND(OR($V150="Checked Out",$V150="Overdue"),$X150&gt;=Dashboard!$B$9),"Review",""),"")</f>
        <v/>
      </c>
      <c r="Z150" s="24" t="n"/>
      <c r="AA150" s="25">
        <f>IFERROR(IF(OR($V150="Checked Out",$V150="Overdue"),$B150,""),"")</f>
        <v/>
      </c>
    </row>
    <row r="151">
      <c r="A151" s="24" t="n"/>
      <c r="B151" s="24" t="n"/>
      <c r="C151" s="25">
        <f>IFERROR(IF($B151="","",INDEX('Key Inventory'!$B$5:$B$104,MATCH($B151,'Key Inventory'!$A$5:$A$104,0))),"")</f>
        <v/>
      </c>
      <c r="D151" s="25">
        <f>IFERROR(IF($B151="","",INDEX('Key Inventory'!$C$5:$C$104,MATCH($B151,'Key Inventory'!$A$5:$A$104,0))),"")</f>
        <v/>
      </c>
      <c r="E151" s="25">
        <f>IFERROR(IF($B151="","",INDEX('Key Inventory'!$D$5:$D$104,MATCH($B151,'Key Inventory'!$A$5:$A$104,0))),"")</f>
        <v/>
      </c>
      <c r="F151" s="24" t="n"/>
      <c r="G151" s="24" t="n"/>
      <c r="H151" s="24" t="n"/>
      <c r="I151" s="24" t="n"/>
      <c r="J151" s="24" t="n"/>
      <c r="K151" s="24" t="n"/>
      <c r="L151" s="26" t="n"/>
      <c r="M151" s="27" t="n"/>
      <c r="N151" s="26" t="n"/>
      <c r="O151" s="27" t="n"/>
      <c r="P151" s="26" t="n"/>
      <c r="Q151" s="27" t="n"/>
      <c r="R151" s="24" t="n"/>
      <c r="S151" s="24" t="n"/>
      <c r="T151" s="24" t="n"/>
      <c r="U151" s="24" t="n"/>
      <c r="V151" s="25">
        <f>IFERROR(IF(OR($A151="",$B151=""),"",IF($P151&lt;&gt;"","Returned",IF(NOW()&gt;$N151+$O151+(Dashboard!$B$7/24),"Overdue","Checked Out"))),"")</f>
        <v/>
      </c>
      <c r="W151" s="28">
        <f>IFERROR(IF($L151="","",MAX(0,24*((IF($P151&lt;&gt;"",$P151+$Q151,NOW()))-($L151+$M151)))),"")</f>
        <v/>
      </c>
      <c r="X151" s="29">
        <f>IFERROR(IF($B151="","",INDEX('Key Inventory'!$I$5:$I$104,MATCH($B151,'Key Inventory'!$A$5:$A$104,0))),"")</f>
        <v/>
      </c>
      <c r="Y151" s="25">
        <f>IFERROR(IF(AND(OR($V151="Checked Out",$V151="Overdue"),$X151&gt;=Dashboard!$B$9),"Review",""),"")</f>
        <v/>
      </c>
      <c r="Z151" s="24" t="n"/>
      <c r="AA151" s="25">
        <f>IFERROR(IF(OR($V151="Checked Out",$V151="Overdue"),$B151,""),"")</f>
        <v/>
      </c>
    </row>
    <row r="152">
      <c r="A152" s="24" t="n"/>
      <c r="B152" s="24" t="n"/>
      <c r="C152" s="25">
        <f>IFERROR(IF($B152="","",INDEX('Key Inventory'!$B$5:$B$104,MATCH($B152,'Key Inventory'!$A$5:$A$104,0))),"")</f>
        <v/>
      </c>
      <c r="D152" s="25">
        <f>IFERROR(IF($B152="","",INDEX('Key Inventory'!$C$5:$C$104,MATCH($B152,'Key Inventory'!$A$5:$A$104,0))),"")</f>
        <v/>
      </c>
      <c r="E152" s="25">
        <f>IFERROR(IF($B152="","",INDEX('Key Inventory'!$D$5:$D$104,MATCH($B152,'Key Inventory'!$A$5:$A$104,0))),"")</f>
        <v/>
      </c>
      <c r="F152" s="24" t="n"/>
      <c r="G152" s="24" t="n"/>
      <c r="H152" s="24" t="n"/>
      <c r="I152" s="24" t="n"/>
      <c r="J152" s="24" t="n"/>
      <c r="K152" s="24" t="n"/>
      <c r="L152" s="26" t="n"/>
      <c r="M152" s="27" t="n"/>
      <c r="N152" s="26" t="n"/>
      <c r="O152" s="27" t="n"/>
      <c r="P152" s="26" t="n"/>
      <c r="Q152" s="27" t="n"/>
      <c r="R152" s="24" t="n"/>
      <c r="S152" s="24" t="n"/>
      <c r="T152" s="24" t="n"/>
      <c r="U152" s="24" t="n"/>
      <c r="V152" s="25">
        <f>IFERROR(IF(OR($A152="",$B152=""),"",IF($P152&lt;&gt;"","Returned",IF(NOW()&gt;$N152+$O152+(Dashboard!$B$7/24),"Overdue","Checked Out"))),"")</f>
        <v/>
      </c>
      <c r="W152" s="28">
        <f>IFERROR(IF($L152="","",MAX(0,24*((IF($P152&lt;&gt;"",$P152+$Q152,NOW()))-($L152+$M152)))),"")</f>
        <v/>
      </c>
      <c r="X152" s="29">
        <f>IFERROR(IF($B152="","",INDEX('Key Inventory'!$I$5:$I$104,MATCH($B152,'Key Inventory'!$A$5:$A$104,0))),"")</f>
        <v/>
      </c>
      <c r="Y152" s="25">
        <f>IFERROR(IF(AND(OR($V152="Checked Out",$V152="Overdue"),$X152&gt;=Dashboard!$B$9),"Review",""),"")</f>
        <v/>
      </c>
      <c r="Z152" s="24" t="n"/>
      <c r="AA152" s="25">
        <f>IFERROR(IF(OR($V152="Checked Out",$V152="Overdue"),$B152,""),"")</f>
        <v/>
      </c>
    </row>
    <row r="153">
      <c r="A153" s="24" t="n"/>
      <c r="B153" s="24" t="n"/>
      <c r="C153" s="25">
        <f>IFERROR(IF($B153="","",INDEX('Key Inventory'!$B$5:$B$104,MATCH($B153,'Key Inventory'!$A$5:$A$104,0))),"")</f>
        <v/>
      </c>
      <c r="D153" s="25">
        <f>IFERROR(IF($B153="","",INDEX('Key Inventory'!$C$5:$C$104,MATCH($B153,'Key Inventory'!$A$5:$A$104,0))),"")</f>
        <v/>
      </c>
      <c r="E153" s="25">
        <f>IFERROR(IF($B153="","",INDEX('Key Inventory'!$D$5:$D$104,MATCH($B153,'Key Inventory'!$A$5:$A$104,0))),"")</f>
        <v/>
      </c>
      <c r="F153" s="24" t="n"/>
      <c r="G153" s="24" t="n"/>
      <c r="H153" s="24" t="n"/>
      <c r="I153" s="24" t="n"/>
      <c r="J153" s="24" t="n"/>
      <c r="K153" s="24" t="n"/>
      <c r="L153" s="26" t="n"/>
      <c r="M153" s="27" t="n"/>
      <c r="N153" s="26" t="n"/>
      <c r="O153" s="27" t="n"/>
      <c r="P153" s="26" t="n"/>
      <c r="Q153" s="27" t="n"/>
      <c r="R153" s="24" t="n"/>
      <c r="S153" s="24" t="n"/>
      <c r="T153" s="24" t="n"/>
      <c r="U153" s="24" t="n"/>
      <c r="V153" s="25">
        <f>IFERROR(IF(OR($A153="",$B153=""),"",IF($P153&lt;&gt;"","Returned",IF(NOW()&gt;$N153+$O153+(Dashboard!$B$7/24),"Overdue","Checked Out"))),"")</f>
        <v/>
      </c>
      <c r="W153" s="28">
        <f>IFERROR(IF($L153="","",MAX(0,24*((IF($P153&lt;&gt;"",$P153+$Q153,NOW()))-($L153+$M153)))),"")</f>
        <v/>
      </c>
      <c r="X153" s="29">
        <f>IFERROR(IF($B153="","",INDEX('Key Inventory'!$I$5:$I$104,MATCH($B153,'Key Inventory'!$A$5:$A$104,0))),"")</f>
        <v/>
      </c>
      <c r="Y153" s="25">
        <f>IFERROR(IF(AND(OR($V153="Checked Out",$V153="Overdue"),$X153&gt;=Dashboard!$B$9),"Review",""),"")</f>
        <v/>
      </c>
      <c r="Z153" s="24" t="n"/>
      <c r="AA153" s="25">
        <f>IFERROR(IF(OR($V153="Checked Out",$V153="Overdue"),$B153,""),"")</f>
        <v/>
      </c>
    </row>
    <row r="154">
      <c r="A154" s="24" t="n"/>
      <c r="B154" s="24" t="n"/>
      <c r="C154" s="25">
        <f>IFERROR(IF($B154="","",INDEX('Key Inventory'!$B$5:$B$104,MATCH($B154,'Key Inventory'!$A$5:$A$104,0))),"")</f>
        <v/>
      </c>
      <c r="D154" s="25">
        <f>IFERROR(IF($B154="","",INDEX('Key Inventory'!$C$5:$C$104,MATCH($B154,'Key Inventory'!$A$5:$A$104,0))),"")</f>
        <v/>
      </c>
      <c r="E154" s="25">
        <f>IFERROR(IF($B154="","",INDEX('Key Inventory'!$D$5:$D$104,MATCH($B154,'Key Inventory'!$A$5:$A$104,0))),"")</f>
        <v/>
      </c>
      <c r="F154" s="24" t="n"/>
      <c r="G154" s="24" t="n"/>
      <c r="H154" s="24" t="n"/>
      <c r="I154" s="24" t="n"/>
      <c r="J154" s="24" t="n"/>
      <c r="K154" s="24" t="n"/>
      <c r="L154" s="26" t="n"/>
      <c r="M154" s="27" t="n"/>
      <c r="N154" s="26" t="n"/>
      <c r="O154" s="27" t="n"/>
      <c r="P154" s="26" t="n"/>
      <c r="Q154" s="27" t="n"/>
      <c r="R154" s="24" t="n"/>
      <c r="S154" s="24" t="n"/>
      <c r="T154" s="24" t="n"/>
      <c r="U154" s="24" t="n"/>
      <c r="V154" s="25">
        <f>IFERROR(IF(OR($A154="",$B154=""),"",IF($P154&lt;&gt;"","Returned",IF(NOW()&gt;$N154+$O154+(Dashboard!$B$7/24),"Overdue","Checked Out"))),"")</f>
        <v/>
      </c>
      <c r="W154" s="28">
        <f>IFERROR(IF($L154="","",MAX(0,24*((IF($P154&lt;&gt;"",$P154+$Q154,NOW()))-($L154+$M154)))),"")</f>
        <v/>
      </c>
      <c r="X154" s="29">
        <f>IFERROR(IF($B154="","",INDEX('Key Inventory'!$I$5:$I$104,MATCH($B154,'Key Inventory'!$A$5:$A$104,0))),"")</f>
        <v/>
      </c>
      <c r="Y154" s="25">
        <f>IFERROR(IF(AND(OR($V154="Checked Out",$V154="Overdue"),$X154&gt;=Dashboard!$B$9),"Review",""),"")</f>
        <v/>
      </c>
      <c r="Z154" s="24" t="n"/>
      <c r="AA154" s="25">
        <f>IFERROR(IF(OR($V154="Checked Out",$V154="Overdue"),$B154,""),"")</f>
        <v/>
      </c>
    </row>
    <row r="155">
      <c r="A155" s="24" t="n"/>
      <c r="B155" s="24" t="n"/>
      <c r="C155" s="25">
        <f>IFERROR(IF($B155="","",INDEX('Key Inventory'!$B$5:$B$104,MATCH($B155,'Key Inventory'!$A$5:$A$104,0))),"")</f>
        <v/>
      </c>
      <c r="D155" s="25">
        <f>IFERROR(IF($B155="","",INDEX('Key Inventory'!$C$5:$C$104,MATCH($B155,'Key Inventory'!$A$5:$A$104,0))),"")</f>
        <v/>
      </c>
      <c r="E155" s="25">
        <f>IFERROR(IF($B155="","",INDEX('Key Inventory'!$D$5:$D$104,MATCH($B155,'Key Inventory'!$A$5:$A$104,0))),"")</f>
        <v/>
      </c>
      <c r="F155" s="24" t="n"/>
      <c r="G155" s="24" t="n"/>
      <c r="H155" s="24" t="n"/>
      <c r="I155" s="24" t="n"/>
      <c r="J155" s="24" t="n"/>
      <c r="K155" s="24" t="n"/>
      <c r="L155" s="26" t="n"/>
      <c r="M155" s="27" t="n"/>
      <c r="N155" s="26" t="n"/>
      <c r="O155" s="27" t="n"/>
      <c r="P155" s="26" t="n"/>
      <c r="Q155" s="27" t="n"/>
      <c r="R155" s="24" t="n"/>
      <c r="S155" s="24" t="n"/>
      <c r="T155" s="24" t="n"/>
      <c r="U155" s="24" t="n"/>
      <c r="V155" s="25">
        <f>IFERROR(IF(OR($A155="",$B155=""),"",IF($P155&lt;&gt;"","Returned",IF(NOW()&gt;$N155+$O155+(Dashboard!$B$7/24),"Overdue","Checked Out"))),"")</f>
        <v/>
      </c>
      <c r="W155" s="28">
        <f>IFERROR(IF($L155="","",MAX(0,24*((IF($P155&lt;&gt;"",$P155+$Q155,NOW()))-($L155+$M155)))),"")</f>
        <v/>
      </c>
      <c r="X155" s="29">
        <f>IFERROR(IF($B155="","",INDEX('Key Inventory'!$I$5:$I$104,MATCH($B155,'Key Inventory'!$A$5:$A$104,0))),"")</f>
        <v/>
      </c>
      <c r="Y155" s="25">
        <f>IFERROR(IF(AND(OR($V155="Checked Out",$V155="Overdue"),$X155&gt;=Dashboard!$B$9),"Review",""),"")</f>
        <v/>
      </c>
      <c r="Z155" s="24" t="n"/>
      <c r="AA155" s="25">
        <f>IFERROR(IF(OR($V155="Checked Out",$V155="Overdue"),$B155,""),"")</f>
        <v/>
      </c>
    </row>
    <row r="156">
      <c r="A156" s="24" t="n"/>
      <c r="B156" s="24" t="n"/>
      <c r="C156" s="25">
        <f>IFERROR(IF($B156="","",INDEX('Key Inventory'!$B$5:$B$104,MATCH($B156,'Key Inventory'!$A$5:$A$104,0))),"")</f>
        <v/>
      </c>
      <c r="D156" s="25">
        <f>IFERROR(IF($B156="","",INDEX('Key Inventory'!$C$5:$C$104,MATCH($B156,'Key Inventory'!$A$5:$A$104,0))),"")</f>
        <v/>
      </c>
      <c r="E156" s="25">
        <f>IFERROR(IF($B156="","",INDEX('Key Inventory'!$D$5:$D$104,MATCH($B156,'Key Inventory'!$A$5:$A$104,0))),"")</f>
        <v/>
      </c>
      <c r="F156" s="24" t="n"/>
      <c r="G156" s="24" t="n"/>
      <c r="H156" s="24" t="n"/>
      <c r="I156" s="24" t="n"/>
      <c r="J156" s="24" t="n"/>
      <c r="K156" s="24" t="n"/>
      <c r="L156" s="26" t="n"/>
      <c r="M156" s="27" t="n"/>
      <c r="N156" s="26" t="n"/>
      <c r="O156" s="27" t="n"/>
      <c r="P156" s="26" t="n"/>
      <c r="Q156" s="27" t="n"/>
      <c r="R156" s="24" t="n"/>
      <c r="S156" s="24" t="n"/>
      <c r="T156" s="24" t="n"/>
      <c r="U156" s="24" t="n"/>
      <c r="V156" s="25">
        <f>IFERROR(IF(OR($A156="",$B156=""),"",IF($P156&lt;&gt;"","Returned",IF(NOW()&gt;$N156+$O156+(Dashboard!$B$7/24),"Overdue","Checked Out"))),"")</f>
        <v/>
      </c>
      <c r="W156" s="28">
        <f>IFERROR(IF($L156="","",MAX(0,24*((IF($P156&lt;&gt;"",$P156+$Q156,NOW()))-($L156+$M156)))),"")</f>
        <v/>
      </c>
      <c r="X156" s="29">
        <f>IFERROR(IF($B156="","",INDEX('Key Inventory'!$I$5:$I$104,MATCH($B156,'Key Inventory'!$A$5:$A$104,0))),"")</f>
        <v/>
      </c>
      <c r="Y156" s="25">
        <f>IFERROR(IF(AND(OR($V156="Checked Out",$V156="Overdue"),$X156&gt;=Dashboard!$B$9),"Review",""),"")</f>
        <v/>
      </c>
      <c r="Z156" s="24" t="n"/>
      <c r="AA156" s="25">
        <f>IFERROR(IF(OR($V156="Checked Out",$V156="Overdue"),$B156,""),"")</f>
        <v/>
      </c>
    </row>
    <row r="157">
      <c r="A157" s="24" t="n"/>
      <c r="B157" s="24" t="n"/>
      <c r="C157" s="25">
        <f>IFERROR(IF($B157="","",INDEX('Key Inventory'!$B$5:$B$104,MATCH($B157,'Key Inventory'!$A$5:$A$104,0))),"")</f>
        <v/>
      </c>
      <c r="D157" s="25">
        <f>IFERROR(IF($B157="","",INDEX('Key Inventory'!$C$5:$C$104,MATCH($B157,'Key Inventory'!$A$5:$A$104,0))),"")</f>
        <v/>
      </c>
      <c r="E157" s="25">
        <f>IFERROR(IF($B157="","",INDEX('Key Inventory'!$D$5:$D$104,MATCH($B157,'Key Inventory'!$A$5:$A$104,0))),"")</f>
        <v/>
      </c>
      <c r="F157" s="24" t="n"/>
      <c r="G157" s="24" t="n"/>
      <c r="H157" s="24" t="n"/>
      <c r="I157" s="24" t="n"/>
      <c r="J157" s="24" t="n"/>
      <c r="K157" s="24" t="n"/>
      <c r="L157" s="26" t="n"/>
      <c r="M157" s="27" t="n"/>
      <c r="N157" s="26" t="n"/>
      <c r="O157" s="27" t="n"/>
      <c r="P157" s="26" t="n"/>
      <c r="Q157" s="27" t="n"/>
      <c r="R157" s="24" t="n"/>
      <c r="S157" s="24" t="n"/>
      <c r="T157" s="24" t="n"/>
      <c r="U157" s="24" t="n"/>
      <c r="V157" s="25">
        <f>IFERROR(IF(OR($A157="",$B157=""),"",IF($P157&lt;&gt;"","Returned",IF(NOW()&gt;$N157+$O157+(Dashboard!$B$7/24),"Overdue","Checked Out"))),"")</f>
        <v/>
      </c>
      <c r="W157" s="28">
        <f>IFERROR(IF($L157="","",MAX(0,24*((IF($P157&lt;&gt;"",$P157+$Q157,NOW()))-($L157+$M157)))),"")</f>
        <v/>
      </c>
      <c r="X157" s="29">
        <f>IFERROR(IF($B157="","",INDEX('Key Inventory'!$I$5:$I$104,MATCH($B157,'Key Inventory'!$A$5:$A$104,0))),"")</f>
        <v/>
      </c>
      <c r="Y157" s="25">
        <f>IFERROR(IF(AND(OR($V157="Checked Out",$V157="Overdue"),$X157&gt;=Dashboard!$B$9),"Review",""),"")</f>
        <v/>
      </c>
      <c r="Z157" s="24" t="n"/>
      <c r="AA157" s="25">
        <f>IFERROR(IF(OR($V157="Checked Out",$V157="Overdue"),$B157,""),"")</f>
        <v/>
      </c>
    </row>
    <row r="158">
      <c r="A158" s="24" t="n"/>
      <c r="B158" s="24" t="n"/>
      <c r="C158" s="25">
        <f>IFERROR(IF($B158="","",INDEX('Key Inventory'!$B$5:$B$104,MATCH($B158,'Key Inventory'!$A$5:$A$104,0))),"")</f>
        <v/>
      </c>
      <c r="D158" s="25">
        <f>IFERROR(IF($B158="","",INDEX('Key Inventory'!$C$5:$C$104,MATCH($B158,'Key Inventory'!$A$5:$A$104,0))),"")</f>
        <v/>
      </c>
      <c r="E158" s="25">
        <f>IFERROR(IF($B158="","",INDEX('Key Inventory'!$D$5:$D$104,MATCH($B158,'Key Inventory'!$A$5:$A$104,0))),"")</f>
        <v/>
      </c>
      <c r="F158" s="24" t="n"/>
      <c r="G158" s="24" t="n"/>
      <c r="H158" s="24" t="n"/>
      <c r="I158" s="24" t="n"/>
      <c r="J158" s="24" t="n"/>
      <c r="K158" s="24" t="n"/>
      <c r="L158" s="26" t="n"/>
      <c r="M158" s="27" t="n"/>
      <c r="N158" s="26" t="n"/>
      <c r="O158" s="27" t="n"/>
      <c r="P158" s="26" t="n"/>
      <c r="Q158" s="27" t="n"/>
      <c r="R158" s="24" t="n"/>
      <c r="S158" s="24" t="n"/>
      <c r="T158" s="24" t="n"/>
      <c r="U158" s="24" t="n"/>
      <c r="V158" s="25">
        <f>IFERROR(IF(OR($A158="",$B158=""),"",IF($P158&lt;&gt;"","Returned",IF(NOW()&gt;$N158+$O158+(Dashboard!$B$7/24),"Overdue","Checked Out"))),"")</f>
        <v/>
      </c>
      <c r="W158" s="28">
        <f>IFERROR(IF($L158="","",MAX(0,24*((IF($P158&lt;&gt;"",$P158+$Q158,NOW()))-($L158+$M158)))),"")</f>
        <v/>
      </c>
      <c r="X158" s="29">
        <f>IFERROR(IF($B158="","",INDEX('Key Inventory'!$I$5:$I$104,MATCH($B158,'Key Inventory'!$A$5:$A$104,0))),"")</f>
        <v/>
      </c>
      <c r="Y158" s="25">
        <f>IFERROR(IF(AND(OR($V158="Checked Out",$V158="Overdue"),$X158&gt;=Dashboard!$B$9),"Review",""),"")</f>
        <v/>
      </c>
      <c r="Z158" s="24" t="n"/>
      <c r="AA158" s="25">
        <f>IFERROR(IF(OR($V158="Checked Out",$V158="Overdue"),$B158,""),"")</f>
        <v/>
      </c>
    </row>
    <row r="159">
      <c r="A159" s="24" t="n"/>
      <c r="B159" s="24" t="n"/>
      <c r="C159" s="25">
        <f>IFERROR(IF($B159="","",INDEX('Key Inventory'!$B$5:$B$104,MATCH($B159,'Key Inventory'!$A$5:$A$104,0))),"")</f>
        <v/>
      </c>
      <c r="D159" s="25">
        <f>IFERROR(IF($B159="","",INDEX('Key Inventory'!$C$5:$C$104,MATCH($B159,'Key Inventory'!$A$5:$A$104,0))),"")</f>
        <v/>
      </c>
      <c r="E159" s="25">
        <f>IFERROR(IF($B159="","",INDEX('Key Inventory'!$D$5:$D$104,MATCH($B159,'Key Inventory'!$A$5:$A$104,0))),"")</f>
        <v/>
      </c>
      <c r="F159" s="24" t="n"/>
      <c r="G159" s="24" t="n"/>
      <c r="H159" s="24" t="n"/>
      <c r="I159" s="24" t="n"/>
      <c r="J159" s="24" t="n"/>
      <c r="K159" s="24" t="n"/>
      <c r="L159" s="26" t="n"/>
      <c r="M159" s="27" t="n"/>
      <c r="N159" s="26" t="n"/>
      <c r="O159" s="27" t="n"/>
      <c r="P159" s="26" t="n"/>
      <c r="Q159" s="27" t="n"/>
      <c r="R159" s="24" t="n"/>
      <c r="S159" s="24" t="n"/>
      <c r="T159" s="24" t="n"/>
      <c r="U159" s="24" t="n"/>
      <c r="V159" s="25">
        <f>IFERROR(IF(OR($A159="",$B159=""),"",IF($P159&lt;&gt;"","Returned",IF(NOW()&gt;$N159+$O159+(Dashboard!$B$7/24),"Overdue","Checked Out"))),"")</f>
        <v/>
      </c>
      <c r="W159" s="28">
        <f>IFERROR(IF($L159="","",MAX(0,24*((IF($P159&lt;&gt;"",$P159+$Q159,NOW()))-($L159+$M159)))),"")</f>
        <v/>
      </c>
      <c r="X159" s="29">
        <f>IFERROR(IF($B159="","",INDEX('Key Inventory'!$I$5:$I$104,MATCH($B159,'Key Inventory'!$A$5:$A$104,0))),"")</f>
        <v/>
      </c>
      <c r="Y159" s="25">
        <f>IFERROR(IF(AND(OR($V159="Checked Out",$V159="Overdue"),$X159&gt;=Dashboard!$B$9),"Review",""),"")</f>
        <v/>
      </c>
      <c r="Z159" s="24" t="n"/>
      <c r="AA159" s="25">
        <f>IFERROR(IF(OR($V159="Checked Out",$V159="Overdue"),$B159,""),"")</f>
        <v/>
      </c>
    </row>
    <row r="160">
      <c r="A160" s="24" t="n"/>
      <c r="B160" s="24" t="n"/>
      <c r="C160" s="25">
        <f>IFERROR(IF($B160="","",INDEX('Key Inventory'!$B$5:$B$104,MATCH($B160,'Key Inventory'!$A$5:$A$104,0))),"")</f>
        <v/>
      </c>
      <c r="D160" s="25">
        <f>IFERROR(IF($B160="","",INDEX('Key Inventory'!$C$5:$C$104,MATCH($B160,'Key Inventory'!$A$5:$A$104,0))),"")</f>
        <v/>
      </c>
      <c r="E160" s="25">
        <f>IFERROR(IF($B160="","",INDEX('Key Inventory'!$D$5:$D$104,MATCH($B160,'Key Inventory'!$A$5:$A$104,0))),"")</f>
        <v/>
      </c>
      <c r="F160" s="24" t="n"/>
      <c r="G160" s="24" t="n"/>
      <c r="H160" s="24" t="n"/>
      <c r="I160" s="24" t="n"/>
      <c r="J160" s="24" t="n"/>
      <c r="K160" s="24" t="n"/>
      <c r="L160" s="26" t="n"/>
      <c r="M160" s="27" t="n"/>
      <c r="N160" s="26" t="n"/>
      <c r="O160" s="27" t="n"/>
      <c r="P160" s="26" t="n"/>
      <c r="Q160" s="27" t="n"/>
      <c r="R160" s="24" t="n"/>
      <c r="S160" s="24" t="n"/>
      <c r="T160" s="24" t="n"/>
      <c r="U160" s="24" t="n"/>
      <c r="V160" s="25">
        <f>IFERROR(IF(OR($A160="",$B160=""),"",IF($P160&lt;&gt;"","Returned",IF(NOW()&gt;$N160+$O160+(Dashboard!$B$7/24),"Overdue","Checked Out"))),"")</f>
        <v/>
      </c>
      <c r="W160" s="28">
        <f>IFERROR(IF($L160="","",MAX(0,24*((IF($P160&lt;&gt;"",$P160+$Q160,NOW()))-($L160+$M160)))),"")</f>
        <v/>
      </c>
      <c r="X160" s="29">
        <f>IFERROR(IF($B160="","",INDEX('Key Inventory'!$I$5:$I$104,MATCH($B160,'Key Inventory'!$A$5:$A$104,0))),"")</f>
        <v/>
      </c>
      <c r="Y160" s="25">
        <f>IFERROR(IF(AND(OR($V160="Checked Out",$V160="Overdue"),$X160&gt;=Dashboard!$B$9),"Review",""),"")</f>
        <v/>
      </c>
      <c r="Z160" s="24" t="n"/>
      <c r="AA160" s="25">
        <f>IFERROR(IF(OR($V160="Checked Out",$V160="Overdue"),$B160,""),"")</f>
        <v/>
      </c>
    </row>
    <row r="161">
      <c r="A161" s="24" t="n"/>
      <c r="B161" s="24" t="n"/>
      <c r="C161" s="25">
        <f>IFERROR(IF($B161="","",INDEX('Key Inventory'!$B$5:$B$104,MATCH($B161,'Key Inventory'!$A$5:$A$104,0))),"")</f>
        <v/>
      </c>
      <c r="D161" s="25">
        <f>IFERROR(IF($B161="","",INDEX('Key Inventory'!$C$5:$C$104,MATCH($B161,'Key Inventory'!$A$5:$A$104,0))),"")</f>
        <v/>
      </c>
      <c r="E161" s="25">
        <f>IFERROR(IF($B161="","",INDEX('Key Inventory'!$D$5:$D$104,MATCH($B161,'Key Inventory'!$A$5:$A$104,0))),"")</f>
        <v/>
      </c>
      <c r="F161" s="24" t="n"/>
      <c r="G161" s="24" t="n"/>
      <c r="H161" s="24" t="n"/>
      <c r="I161" s="24" t="n"/>
      <c r="J161" s="24" t="n"/>
      <c r="K161" s="24" t="n"/>
      <c r="L161" s="26" t="n"/>
      <c r="M161" s="27" t="n"/>
      <c r="N161" s="26" t="n"/>
      <c r="O161" s="27" t="n"/>
      <c r="P161" s="26" t="n"/>
      <c r="Q161" s="27" t="n"/>
      <c r="R161" s="24" t="n"/>
      <c r="S161" s="24" t="n"/>
      <c r="T161" s="24" t="n"/>
      <c r="U161" s="24" t="n"/>
      <c r="V161" s="25">
        <f>IFERROR(IF(OR($A161="",$B161=""),"",IF($P161&lt;&gt;"","Returned",IF(NOW()&gt;$N161+$O161+(Dashboard!$B$7/24),"Overdue","Checked Out"))),"")</f>
        <v/>
      </c>
      <c r="W161" s="28">
        <f>IFERROR(IF($L161="","",MAX(0,24*((IF($P161&lt;&gt;"",$P161+$Q161,NOW()))-($L161+$M161)))),"")</f>
        <v/>
      </c>
      <c r="X161" s="29">
        <f>IFERROR(IF($B161="","",INDEX('Key Inventory'!$I$5:$I$104,MATCH($B161,'Key Inventory'!$A$5:$A$104,0))),"")</f>
        <v/>
      </c>
      <c r="Y161" s="25">
        <f>IFERROR(IF(AND(OR($V161="Checked Out",$V161="Overdue"),$X161&gt;=Dashboard!$B$9),"Review",""),"")</f>
        <v/>
      </c>
      <c r="Z161" s="24" t="n"/>
      <c r="AA161" s="25">
        <f>IFERROR(IF(OR($V161="Checked Out",$V161="Overdue"),$B161,""),"")</f>
        <v/>
      </c>
    </row>
    <row r="162">
      <c r="A162" s="24" t="n"/>
      <c r="B162" s="24" t="n"/>
      <c r="C162" s="25">
        <f>IFERROR(IF($B162="","",INDEX('Key Inventory'!$B$5:$B$104,MATCH($B162,'Key Inventory'!$A$5:$A$104,0))),"")</f>
        <v/>
      </c>
      <c r="D162" s="25">
        <f>IFERROR(IF($B162="","",INDEX('Key Inventory'!$C$5:$C$104,MATCH($B162,'Key Inventory'!$A$5:$A$104,0))),"")</f>
        <v/>
      </c>
      <c r="E162" s="25">
        <f>IFERROR(IF($B162="","",INDEX('Key Inventory'!$D$5:$D$104,MATCH($B162,'Key Inventory'!$A$5:$A$104,0))),"")</f>
        <v/>
      </c>
      <c r="F162" s="24" t="n"/>
      <c r="G162" s="24" t="n"/>
      <c r="H162" s="24" t="n"/>
      <c r="I162" s="24" t="n"/>
      <c r="J162" s="24" t="n"/>
      <c r="K162" s="24" t="n"/>
      <c r="L162" s="26" t="n"/>
      <c r="M162" s="27" t="n"/>
      <c r="N162" s="26" t="n"/>
      <c r="O162" s="27" t="n"/>
      <c r="P162" s="26" t="n"/>
      <c r="Q162" s="27" t="n"/>
      <c r="R162" s="24" t="n"/>
      <c r="S162" s="24" t="n"/>
      <c r="T162" s="24" t="n"/>
      <c r="U162" s="24" t="n"/>
      <c r="V162" s="25">
        <f>IFERROR(IF(OR($A162="",$B162=""),"",IF($P162&lt;&gt;"","Returned",IF(NOW()&gt;$N162+$O162+(Dashboard!$B$7/24),"Overdue","Checked Out"))),"")</f>
        <v/>
      </c>
      <c r="W162" s="28">
        <f>IFERROR(IF($L162="","",MAX(0,24*((IF($P162&lt;&gt;"",$P162+$Q162,NOW()))-($L162+$M162)))),"")</f>
        <v/>
      </c>
      <c r="X162" s="29">
        <f>IFERROR(IF($B162="","",INDEX('Key Inventory'!$I$5:$I$104,MATCH($B162,'Key Inventory'!$A$5:$A$104,0))),"")</f>
        <v/>
      </c>
      <c r="Y162" s="25">
        <f>IFERROR(IF(AND(OR($V162="Checked Out",$V162="Overdue"),$X162&gt;=Dashboard!$B$9),"Review",""),"")</f>
        <v/>
      </c>
      <c r="Z162" s="24" t="n"/>
      <c r="AA162" s="25">
        <f>IFERROR(IF(OR($V162="Checked Out",$V162="Overdue"),$B162,""),"")</f>
        <v/>
      </c>
    </row>
    <row r="163">
      <c r="A163" s="24" t="n"/>
      <c r="B163" s="24" t="n"/>
      <c r="C163" s="25">
        <f>IFERROR(IF($B163="","",INDEX('Key Inventory'!$B$5:$B$104,MATCH($B163,'Key Inventory'!$A$5:$A$104,0))),"")</f>
        <v/>
      </c>
      <c r="D163" s="25">
        <f>IFERROR(IF($B163="","",INDEX('Key Inventory'!$C$5:$C$104,MATCH($B163,'Key Inventory'!$A$5:$A$104,0))),"")</f>
        <v/>
      </c>
      <c r="E163" s="25">
        <f>IFERROR(IF($B163="","",INDEX('Key Inventory'!$D$5:$D$104,MATCH($B163,'Key Inventory'!$A$5:$A$104,0))),"")</f>
        <v/>
      </c>
      <c r="F163" s="24" t="n"/>
      <c r="G163" s="24" t="n"/>
      <c r="H163" s="24" t="n"/>
      <c r="I163" s="24" t="n"/>
      <c r="J163" s="24" t="n"/>
      <c r="K163" s="24" t="n"/>
      <c r="L163" s="26" t="n"/>
      <c r="M163" s="27" t="n"/>
      <c r="N163" s="26" t="n"/>
      <c r="O163" s="27" t="n"/>
      <c r="P163" s="26" t="n"/>
      <c r="Q163" s="27" t="n"/>
      <c r="R163" s="24" t="n"/>
      <c r="S163" s="24" t="n"/>
      <c r="T163" s="24" t="n"/>
      <c r="U163" s="24" t="n"/>
      <c r="V163" s="25">
        <f>IFERROR(IF(OR($A163="",$B163=""),"",IF($P163&lt;&gt;"","Returned",IF(NOW()&gt;$N163+$O163+(Dashboard!$B$7/24),"Overdue","Checked Out"))),"")</f>
        <v/>
      </c>
      <c r="W163" s="28">
        <f>IFERROR(IF($L163="","",MAX(0,24*((IF($P163&lt;&gt;"",$P163+$Q163,NOW()))-($L163+$M163)))),"")</f>
        <v/>
      </c>
      <c r="X163" s="29">
        <f>IFERROR(IF($B163="","",INDEX('Key Inventory'!$I$5:$I$104,MATCH($B163,'Key Inventory'!$A$5:$A$104,0))),"")</f>
        <v/>
      </c>
      <c r="Y163" s="25">
        <f>IFERROR(IF(AND(OR($V163="Checked Out",$V163="Overdue"),$X163&gt;=Dashboard!$B$9),"Review",""),"")</f>
        <v/>
      </c>
      <c r="Z163" s="24" t="n"/>
      <c r="AA163" s="25">
        <f>IFERROR(IF(OR($V163="Checked Out",$V163="Overdue"),$B163,""),"")</f>
        <v/>
      </c>
    </row>
    <row r="164">
      <c r="A164" s="24" t="n"/>
      <c r="B164" s="24" t="n"/>
      <c r="C164" s="25">
        <f>IFERROR(IF($B164="","",INDEX('Key Inventory'!$B$5:$B$104,MATCH($B164,'Key Inventory'!$A$5:$A$104,0))),"")</f>
        <v/>
      </c>
      <c r="D164" s="25">
        <f>IFERROR(IF($B164="","",INDEX('Key Inventory'!$C$5:$C$104,MATCH($B164,'Key Inventory'!$A$5:$A$104,0))),"")</f>
        <v/>
      </c>
      <c r="E164" s="25">
        <f>IFERROR(IF($B164="","",INDEX('Key Inventory'!$D$5:$D$104,MATCH($B164,'Key Inventory'!$A$5:$A$104,0))),"")</f>
        <v/>
      </c>
      <c r="F164" s="24" t="n"/>
      <c r="G164" s="24" t="n"/>
      <c r="H164" s="24" t="n"/>
      <c r="I164" s="24" t="n"/>
      <c r="J164" s="24" t="n"/>
      <c r="K164" s="24" t="n"/>
      <c r="L164" s="26" t="n"/>
      <c r="M164" s="27" t="n"/>
      <c r="N164" s="26" t="n"/>
      <c r="O164" s="27" t="n"/>
      <c r="P164" s="26" t="n"/>
      <c r="Q164" s="27" t="n"/>
      <c r="R164" s="24" t="n"/>
      <c r="S164" s="24" t="n"/>
      <c r="T164" s="24" t="n"/>
      <c r="U164" s="24" t="n"/>
      <c r="V164" s="25">
        <f>IFERROR(IF(OR($A164="",$B164=""),"",IF($P164&lt;&gt;"","Returned",IF(NOW()&gt;$N164+$O164+(Dashboard!$B$7/24),"Overdue","Checked Out"))),"")</f>
        <v/>
      </c>
      <c r="W164" s="28">
        <f>IFERROR(IF($L164="","",MAX(0,24*((IF($P164&lt;&gt;"",$P164+$Q164,NOW()))-($L164+$M164)))),"")</f>
        <v/>
      </c>
      <c r="X164" s="29">
        <f>IFERROR(IF($B164="","",INDEX('Key Inventory'!$I$5:$I$104,MATCH($B164,'Key Inventory'!$A$5:$A$104,0))),"")</f>
        <v/>
      </c>
      <c r="Y164" s="25">
        <f>IFERROR(IF(AND(OR($V164="Checked Out",$V164="Overdue"),$X164&gt;=Dashboard!$B$9),"Review",""),"")</f>
        <v/>
      </c>
      <c r="Z164" s="24" t="n"/>
      <c r="AA164" s="25">
        <f>IFERROR(IF(OR($V164="Checked Out",$V164="Overdue"),$B164,""),"")</f>
        <v/>
      </c>
    </row>
    <row r="165">
      <c r="A165" s="24" t="n"/>
      <c r="B165" s="24" t="n"/>
      <c r="C165" s="25">
        <f>IFERROR(IF($B165="","",INDEX('Key Inventory'!$B$5:$B$104,MATCH($B165,'Key Inventory'!$A$5:$A$104,0))),"")</f>
        <v/>
      </c>
      <c r="D165" s="25">
        <f>IFERROR(IF($B165="","",INDEX('Key Inventory'!$C$5:$C$104,MATCH($B165,'Key Inventory'!$A$5:$A$104,0))),"")</f>
        <v/>
      </c>
      <c r="E165" s="25">
        <f>IFERROR(IF($B165="","",INDEX('Key Inventory'!$D$5:$D$104,MATCH($B165,'Key Inventory'!$A$5:$A$104,0))),"")</f>
        <v/>
      </c>
      <c r="F165" s="24" t="n"/>
      <c r="G165" s="24" t="n"/>
      <c r="H165" s="24" t="n"/>
      <c r="I165" s="24" t="n"/>
      <c r="J165" s="24" t="n"/>
      <c r="K165" s="24" t="n"/>
      <c r="L165" s="26" t="n"/>
      <c r="M165" s="27" t="n"/>
      <c r="N165" s="26" t="n"/>
      <c r="O165" s="27" t="n"/>
      <c r="P165" s="26" t="n"/>
      <c r="Q165" s="27" t="n"/>
      <c r="R165" s="24" t="n"/>
      <c r="S165" s="24" t="n"/>
      <c r="T165" s="24" t="n"/>
      <c r="U165" s="24" t="n"/>
      <c r="V165" s="25">
        <f>IFERROR(IF(OR($A165="",$B165=""),"",IF($P165&lt;&gt;"","Returned",IF(NOW()&gt;$N165+$O165+(Dashboard!$B$7/24),"Overdue","Checked Out"))),"")</f>
        <v/>
      </c>
      <c r="W165" s="28">
        <f>IFERROR(IF($L165="","",MAX(0,24*((IF($P165&lt;&gt;"",$P165+$Q165,NOW()))-($L165+$M165)))),"")</f>
        <v/>
      </c>
      <c r="X165" s="29">
        <f>IFERROR(IF($B165="","",INDEX('Key Inventory'!$I$5:$I$104,MATCH($B165,'Key Inventory'!$A$5:$A$104,0))),"")</f>
        <v/>
      </c>
      <c r="Y165" s="25">
        <f>IFERROR(IF(AND(OR($V165="Checked Out",$V165="Overdue"),$X165&gt;=Dashboard!$B$9),"Review",""),"")</f>
        <v/>
      </c>
      <c r="Z165" s="24" t="n"/>
      <c r="AA165" s="25">
        <f>IFERROR(IF(OR($V165="Checked Out",$V165="Overdue"),$B165,""),"")</f>
        <v/>
      </c>
    </row>
    <row r="166">
      <c r="A166" s="24" t="n"/>
      <c r="B166" s="24" t="n"/>
      <c r="C166" s="25">
        <f>IFERROR(IF($B166="","",INDEX('Key Inventory'!$B$5:$B$104,MATCH($B166,'Key Inventory'!$A$5:$A$104,0))),"")</f>
        <v/>
      </c>
      <c r="D166" s="25">
        <f>IFERROR(IF($B166="","",INDEX('Key Inventory'!$C$5:$C$104,MATCH($B166,'Key Inventory'!$A$5:$A$104,0))),"")</f>
        <v/>
      </c>
      <c r="E166" s="25">
        <f>IFERROR(IF($B166="","",INDEX('Key Inventory'!$D$5:$D$104,MATCH($B166,'Key Inventory'!$A$5:$A$104,0))),"")</f>
        <v/>
      </c>
      <c r="F166" s="24" t="n"/>
      <c r="G166" s="24" t="n"/>
      <c r="H166" s="24" t="n"/>
      <c r="I166" s="24" t="n"/>
      <c r="J166" s="24" t="n"/>
      <c r="K166" s="24" t="n"/>
      <c r="L166" s="26" t="n"/>
      <c r="M166" s="27" t="n"/>
      <c r="N166" s="26" t="n"/>
      <c r="O166" s="27" t="n"/>
      <c r="P166" s="26" t="n"/>
      <c r="Q166" s="27" t="n"/>
      <c r="R166" s="24" t="n"/>
      <c r="S166" s="24" t="n"/>
      <c r="T166" s="24" t="n"/>
      <c r="U166" s="24" t="n"/>
      <c r="V166" s="25">
        <f>IFERROR(IF(OR($A166="",$B166=""),"",IF($P166&lt;&gt;"","Returned",IF(NOW()&gt;$N166+$O166+(Dashboard!$B$7/24),"Overdue","Checked Out"))),"")</f>
        <v/>
      </c>
      <c r="W166" s="28">
        <f>IFERROR(IF($L166="","",MAX(0,24*((IF($P166&lt;&gt;"",$P166+$Q166,NOW()))-($L166+$M166)))),"")</f>
        <v/>
      </c>
      <c r="X166" s="29">
        <f>IFERROR(IF($B166="","",INDEX('Key Inventory'!$I$5:$I$104,MATCH($B166,'Key Inventory'!$A$5:$A$104,0))),"")</f>
        <v/>
      </c>
      <c r="Y166" s="25">
        <f>IFERROR(IF(AND(OR($V166="Checked Out",$V166="Overdue"),$X166&gt;=Dashboard!$B$9),"Review",""),"")</f>
        <v/>
      </c>
      <c r="Z166" s="24" t="n"/>
      <c r="AA166" s="25">
        <f>IFERROR(IF(OR($V166="Checked Out",$V166="Overdue"),$B166,""),"")</f>
        <v/>
      </c>
    </row>
    <row r="167">
      <c r="A167" s="24" t="n"/>
      <c r="B167" s="24" t="n"/>
      <c r="C167" s="25">
        <f>IFERROR(IF($B167="","",INDEX('Key Inventory'!$B$5:$B$104,MATCH($B167,'Key Inventory'!$A$5:$A$104,0))),"")</f>
        <v/>
      </c>
      <c r="D167" s="25">
        <f>IFERROR(IF($B167="","",INDEX('Key Inventory'!$C$5:$C$104,MATCH($B167,'Key Inventory'!$A$5:$A$104,0))),"")</f>
        <v/>
      </c>
      <c r="E167" s="25">
        <f>IFERROR(IF($B167="","",INDEX('Key Inventory'!$D$5:$D$104,MATCH($B167,'Key Inventory'!$A$5:$A$104,0))),"")</f>
        <v/>
      </c>
      <c r="F167" s="24" t="n"/>
      <c r="G167" s="24" t="n"/>
      <c r="H167" s="24" t="n"/>
      <c r="I167" s="24" t="n"/>
      <c r="J167" s="24" t="n"/>
      <c r="K167" s="24" t="n"/>
      <c r="L167" s="26" t="n"/>
      <c r="M167" s="27" t="n"/>
      <c r="N167" s="26" t="n"/>
      <c r="O167" s="27" t="n"/>
      <c r="P167" s="26" t="n"/>
      <c r="Q167" s="27" t="n"/>
      <c r="R167" s="24" t="n"/>
      <c r="S167" s="24" t="n"/>
      <c r="T167" s="24" t="n"/>
      <c r="U167" s="24" t="n"/>
      <c r="V167" s="25">
        <f>IFERROR(IF(OR($A167="",$B167=""),"",IF($P167&lt;&gt;"","Returned",IF(NOW()&gt;$N167+$O167+(Dashboard!$B$7/24),"Overdue","Checked Out"))),"")</f>
        <v/>
      </c>
      <c r="W167" s="28">
        <f>IFERROR(IF($L167="","",MAX(0,24*((IF($P167&lt;&gt;"",$P167+$Q167,NOW()))-($L167+$M167)))),"")</f>
        <v/>
      </c>
      <c r="X167" s="29">
        <f>IFERROR(IF($B167="","",INDEX('Key Inventory'!$I$5:$I$104,MATCH($B167,'Key Inventory'!$A$5:$A$104,0))),"")</f>
        <v/>
      </c>
      <c r="Y167" s="25">
        <f>IFERROR(IF(AND(OR($V167="Checked Out",$V167="Overdue"),$X167&gt;=Dashboard!$B$9),"Review",""),"")</f>
        <v/>
      </c>
      <c r="Z167" s="24" t="n"/>
      <c r="AA167" s="25">
        <f>IFERROR(IF(OR($V167="Checked Out",$V167="Overdue"),$B167,""),"")</f>
        <v/>
      </c>
    </row>
    <row r="168">
      <c r="A168" s="24" t="n"/>
      <c r="B168" s="24" t="n"/>
      <c r="C168" s="25">
        <f>IFERROR(IF($B168="","",INDEX('Key Inventory'!$B$5:$B$104,MATCH($B168,'Key Inventory'!$A$5:$A$104,0))),"")</f>
        <v/>
      </c>
      <c r="D168" s="25">
        <f>IFERROR(IF($B168="","",INDEX('Key Inventory'!$C$5:$C$104,MATCH($B168,'Key Inventory'!$A$5:$A$104,0))),"")</f>
        <v/>
      </c>
      <c r="E168" s="25">
        <f>IFERROR(IF($B168="","",INDEX('Key Inventory'!$D$5:$D$104,MATCH($B168,'Key Inventory'!$A$5:$A$104,0))),"")</f>
        <v/>
      </c>
      <c r="F168" s="24" t="n"/>
      <c r="G168" s="24" t="n"/>
      <c r="H168" s="24" t="n"/>
      <c r="I168" s="24" t="n"/>
      <c r="J168" s="24" t="n"/>
      <c r="K168" s="24" t="n"/>
      <c r="L168" s="26" t="n"/>
      <c r="M168" s="27" t="n"/>
      <c r="N168" s="26" t="n"/>
      <c r="O168" s="27" t="n"/>
      <c r="P168" s="26" t="n"/>
      <c r="Q168" s="27" t="n"/>
      <c r="R168" s="24" t="n"/>
      <c r="S168" s="24" t="n"/>
      <c r="T168" s="24" t="n"/>
      <c r="U168" s="24" t="n"/>
      <c r="V168" s="25">
        <f>IFERROR(IF(OR($A168="",$B168=""),"",IF($P168&lt;&gt;"","Returned",IF(NOW()&gt;$N168+$O168+(Dashboard!$B$7/24),"Overdue","Checked Out"))),"")</f>
        <v/>
      </c>
      <c r="W168" s="28">
        <f>IFERROR(IF($L168="","",MAX(0,24*((IF($P168&lt;&gt;"",$P168+$Q168,NOW()))-($L168+$M168)))),"")</f>
        <v/>
      </c>
      <c r="X168" s="29">
        <f>IFERROR(IF($B168="","",INDEX('Key Inventory'!$I$5:$I$104,MATCH($B168,'Key Inventory'!$A$5:$A$104,0))),"")</f>
        <v/>
      </c>
      <c r="Y168" s="25">
        <f>IFERROR(IF(AND(OR($V168="Checked Out",$V168="Overdue"),$X168&gt;=Dashboard!$B$9),"Review",""),"")</f>
        <v/>
      </c>
      <c r="Z168" s="24" t="n"/>
      <c r="AA168" s="25">
        <f>IFERROR(IF(OR($V168="Checked Out",$V168="Overdue"),$B168,""),"")</f>
        <v/>
      </c>
    </row>
    <row r="169">
      <c r="A169" s="24" t="n"/>
      <c r="B169" s="24" t="n"/>
      <c r="C169" s="25">
        <f>IFERROR(IF($B169="","",INDEX('Key Inventory'!$B$5:$B$104,MATCH($B169,'Key Inventory'!$A$5:$A$104,0))),"")</f>
        <v/>
      </c>
      <c r="D169" s="25">
        <f>IFERROR(IF($B169="","",INDEX('Key Inventory'!$C$5:$C$104,MATCH($B169,'Key Inventory'!$A$5:$A$104,0))),"")</f>
        <v/>
      </c>
      <c r="E169" s="25">
        <f>IFERROR(IF($B169="","",INDEX('Key Inventory'!$D$5:$D$104,MATCH($B169,'Key Inventory'!$A$5:$A$104,0))),"")</f>
        <v/>
      </c>
      <c r="F169" s="24" t="n"/>
      <c r="G169" s="24" t="n"/>
      <c r="H169" s="24" t="n"/>
      <c r="I169" s="24" t="n"/>
      <c r="J169" s="24" t="n"/>
      <c r="K169" s="24" t="n"/>
      <c r="L169" s="26" t="n"/>
      <c r="M169" s="27" t="n"/>
      <c r="N169" s="26" t="n"/>
      <c r="O169" s="27" t="n"/>
      <c r="P169" s="26" t="n"/>
      <c r="Q169" s="27" t="n"/>
      <c r="R169" s="24" t="n"/>
      <c r="S169" s="24" t="n"/>
      <c r="T169" s="24" t="n"/>
      <c r="U169" s="24" t="n"/>
      <c r="V169" s="25">
        <f>IFERROR(IF(OR($A169="",$B169=""),"",IF($P169&lt;&gt;"","Returned",IF(NOW()&gt;$N169+$O169+(Dashboard!$B$7/24),"Overdue","Checked Out"))),"")</f>
        <v/>
      </c>
      <c r="W169" s="28">
        <f>IFERROR(IF($L169="","",MAX(0,24*((IF($P169&lt;&gt;"",$P169+$Q169,NOW()))-($L169+$M169)))),"")</f>
        <v/>
      </c>
      <c r="X169" s="29">
        <f>IFERROR(IF($B169="","",INDEX('Key Inventory'!$I$5:$I$104,MATCH($B169,'Key Inventory'!$A$5:$A$104,0))),"")</f>
        <v/>
      </c>
      <c r="Y169" s="25">
        <f>IFERROR(IF(AND(OR($V169="Checked Out",$V169="Overdue"),$X169&gt;=Dashboard!$B$9),"Review",""),"")</f>
        <v/>
      </c>
      <c r="Z169" s="24" t="n"/>
      <c r="AA169" s="25">
        <f>IFERROR(IF(OR($V169="Checked Out",$V169="Overdue"),$B169,""),"")</f>
        <v/>
      </c>
    </row>
    <row r="170">
      <c r="A170" s="24" t="n"/>
      <c r="B170" s="24" t="n"/>
      <c r="C170" s="25">
        <f>IFERROR(IF($B170="","",INDEX('Key Inventory'!$B$5:$B$104,MATCH($B170,'Key Inventory'!$A$5:$A$104,0))),"")</f>
        <v/>
      </c>
      <c r="D170" s="25">
        <f>IFERROR(IF($B170="","",INDEX('Key Inventory'!$C$5:$C$104,MATCH($B170,'Key Inventory'!$A$5:$A$104,0))),"")</f>
        <v/>
      </c>
      <c r="E170" s="25">
        <f>IFERROR(IF($B170="","",INDEX('Key Inventory'!$D$5:$D$104,MATCH($B170,'Key Inventory'!$A$5:$A$104,0))),"")</f>
        <v/>
      </c>
      <c r="F170" s="24" t="n"/>
      <c r="G170" s="24" t="n"/>
      <c r="H170" s="24" t="n"/>
      <c r="I170" s="24" t="n"/>
      <c r="J170" s="24" t="n"/>
      <c r="K170" s="24" t="n"/>
      <c r="L170" s="26" t="n"/>
      <c r="M170" s="27" t="n"/>
      <c r="N170" s="26" t="n"/>
      <c r="O170" s="27" t="n"/>
      <c r="P170" s="26" t="n"/>
      <c r="Q170" s="27" t="n"/>
      <c r="R170" s="24" t="n"/>
      <c r="S170" s="24" t="n"/>
      <c r="T170" s="24" t="n"/>
      <c r="U170" s="24" t="n"/>
      <c r="V170" s="25">
        <f>IFERROR(IF(OR($A170="",$B170=""),"",IF($P170&lt;&gt;"","Returned",IF(NOW()&gt;$N170+$O170+(Dashboard!$B$7/24),"Overdue","Checked Out"))),"")</f>
        <v/>
      </c>
      <c r="W170" s="28">
        <f>IFERROR(IF($L170="","",MAX(0,24*((IF($P170&lt;&gt;"",$P170+$Q170,NOW()))-($L170+$M170)))),"")</f>
        <v/>
      </c>
      <c r="X170" s="29">
        <f>IFERROR(IF($B170="","",INDEX('Key Inventory'!$I$5:$I$104,MATCH($B170,'Key Inventory'!$A$5:$A$104,0))),"")</f>
        <v/>
      </c>
      <c r="Y170" s="25">
        <f>IFERROR(IF(AND(OR($V170="Checked Out",$V170="Overdue"),$X170&gt;=Dashboard!$B$9),"Review",""),"")</f>
        <v/>
      </c>
      <c r="Z170" s="24" t="n"/>
      <c r="AA170" s="25">
        <f>IFERROR(IF(OR($V170="Checked Out",$V170="Overdue"),$B170,""),"")</f>
        <v/>
      </c>
    </row>
    <row r="171">
      <c r="A171" s="24" t="n"/>
      <c r="B171" s="24" t="n"/>
      <c r="C171" s="25">
        <f>IFERROR(IF($B171="","",INDEX('Key Inventory'!$B$5:$B$104,MATCH($B171,'Key Inventory'!$A$5:$A$104,0))),"")</f>
        <v/>
      </c>
      <c r="D171" s="25">
        <f>IFERROR(IF($B171="","",INDEX('Key Inventory'!$C$5:$C$104,MATCH($B171,'Key Inventory'!$A$5:$A$104,0))),"")</f>
        <v/>
      </c>
      <c r="E171" s="25">
        <f>IFERROR(IF($B171="","",INDEX('Key Inventory'!$D$5:$D$104,MATCH($B171,'Key Inventory'!$A$5:$A$104,0))),"")</f>
        <v/>
      </c>
      <c r="F171" s="24" t="n"/>
      <c r="G171" s="24" t="n"/>
      <c r="H171" s="24" t="n"/>
      <c r="I171" s="24" t="n"/>
      <c r="J171" s="24" t="n"/>
      <c r="K171" s="24" t="n"/>
      <c r="L171" s="26" t="n"/>
      <c r="M171" s="27" t="n"/>
      <c r="N171" s="26" t="n"/>
      <c r="O171" s="27" t="n"/>
      <c r="P171" s="26" t="n"/>
      <c r="Q171" s="27" t="n"/>
      <c r="R171" s="24" t="n"/>
      <c r="S171" s="24" t="n"/>
      <c r="T171" s="24" t="n"/>
      <c r="U171" s="24" t="n"/>
      <c r="V171" s="25">
        <f>IFERROR(IF(OR($A171="",$B171=""),"",IF($P171&lt;&gt;"","Returned",IF(NOW()&gt;$N171+$O171+(Dashboard!$B$7/24),"Overdue","Checked Out"))),"")</f>
        <v/>
      </c>
      <c r="W171" s="28">
        <f>IFERROR(IF($L171="","",MAX(0,24*((IF($P171&lt;&gt;"",$P171+$Q171,NOW()))-($L171+$M171)))),"")</f>
        <v/>
      </c>
      <c r="X171" s="29">
        <f>IFERROR(IF($B171="","",INDEX('Key Inventory'!$I$5:$I$104,MATCH($B171,'Key Inventory'!$A$5:$A$104,0))),"")</f>
        <v/>
      </c>
      <c r="Y171" s="25">
        <f>IFERROR(IF(AND(OR($V171="Checked Out",$V171="Overdue"),$X171&gt;=Dashboard!$B$9),"Review",""),"")</f>
        <v/>
      </c>
      <c r="Z171" s="24" t="n"/>
      <c r="AA171" s="25">
        <f>IFERROR(IF(OR($V171="Checked Out",$V171="Overdue"),$B171,""),"")</f>
        <v/>
      </c>
    </row>
    <row r="172">
      <c r="A172" s="24" t="n"/>
      <c r="B172" s="24" t="n"/>
      <c r="C172" s="25">
        <f>IFERROR(IF($B172="","",INDEX('Key Inventory'!$B$5:$B$104,MATCH($B172,'Key Inventory'!$A$5:$A$104,0))),"")</f>
        <v/>
      </c>
      <c r="D172" s="25">
        <f>IFERROR(IF($B172="","",INDEX('Key Inventory'!$C$5:$C$104,MATCH($B172,'Key Inventory'!$A$5:$A$104,0))),"")</f>
        <v/>
      </c>
      <c r="E172" s="25">
        <f>IFERROR(IF($B172="","",INDEX('Key Inventory'!$D$5:$D$104,MATCH($B172,'Key Inventory'!$A$5:$A$104,0))),"")</f>
        <v/>
      </c>
      <c r="F172" s="24" t="n"/>
      <c r="G172" s="24" t="n"/>
      <c r="H172" s="24" t="n"/>
      <c r="I172" s="24" t="n"/>
      <c r="J172" s="24" t="n"/>
      <c r="K172" s="24" t="n"/>
      <c r="L172" s="26" t="n"/>
      <c r="M172" s="27" t="n"/>
      <c r="N172" s="26" t="n"/>
      <c r="O172" s="27" t="n"/>
      <c r="P172" s="26" t="n"/>
      <c r="Q172" s="27" t="n"/>
      <c r="R172" s="24" t="n"/>
      <c r="S172" s="24" t="n"/>
      <c r="T172" s="24" t="n"/>
      <c r="U172" s="24" t="n"/>
      <c r="V172" s="25">
        <f>IFERROR(IF(OR($A172="",$B172=""),"",IF($P172&lt;&gt;"","Returned",IF(NOW()&gt;$N172+$O172+(Dashboard!$B$7/24),"Overdue","Checked Out"))),"")</f>
        <v/>
      </c>
      <c r="W172" s="28">
        <f>IFERROR(IF($L172="","",MAX(0,24*((IF($P172&lt;&gt;"",$P172+$Q172,NOW()))-($L172+$M172)))),"")</f>
        <v/>
      </c>
      <c r="X172" s="29">
        <f>IFERROR(IF($B172="","",INDEX('Key Inventory'!$I$5:$I$104,MATCH($B172,'Key Inventory'!$A$5:$A$104,0))),"")</f>
        <v/>
      </c>
      <c r="Y172" s="25">
        <f>IFERROR(IF(AND(OR($V172="Checked Out",$V172="Overdue"),$X172&gt;=Dashboard!$B$9),"Review",""),"")</f>
        <v/>
      </c>
      <c r="Z172" s="24" t="n"/>
      <c r="AA172" s="25">
        <f>IFERROR(IF(OR($V172="Checked Out",$V172="Overdue"),$B172,""),"")</f>
        <v/>
      </c>
    </row>
    <row r="173">
      <c r="A173" s="24" t="n"/>
      <c r="B173" s="24" t="n"/>
      <c r="C173" s="25">
        <f>IFERROR(IF($B173="","",INDEX('Key Inventory'!$B$5:$B$104,MATCH($B173,'Key Inventory'!$A$5:$A$104,0))),"")</f>
        <v/>
      </c>
      <c r="D173" s="25">
        <f>IFERROR(IF($B173="","",INDEX('Key Inventory'!$C$5:$C$104,MATCH($B173,'Key Inventory'!$A$5:$A$104,0))),"")</f>
        <v/>
      </c>
      <c r="E173" s="25">
        <f>IFERROR(IF($B173="","",INDEX('Key Inventory'!$D$5:$D$104,MATCH($B173,'Key Inventory'!$A$5:$A$104,0))),"")</f>
        <v/>
      </c>
      <c r="F173" s="24" t="n"/>
      <c r="G173" s="24" t="n"/>
      <c r="H173" s="24" t="n"/>
      <c r="I173" s="24" t="n"/>
      <c r="J173" s="24" t="n"/>
      <c r="K173" s="24" t="n"/>
      <c r="L173" s="26" t="n"/>
      <c r="M173" s="27" t="n"/>
      <c r="N173" s="26" t="n"/>
      <c r="O173" s="27" t="n"/>
      <c r="P173" s="26" t="n"/>
      <c r="Q173" s="27" t="n"/>
      <c r="R173" s="24" t="n"/>
      <c r="S173" s="24" t="n"/>
      <c r="T173" s="24" t="n"/>
      <c r="U173" s="24" t="n"/>
      <c r="V173" s="25">
        <f>IFERROR(IF(OR($A173="",$B173=""),"",IF($P173&lt;&gt;"","Returned",IF(NOW()&gt;$N173+$O173+(Dashboard!$B$7/24),"Overdue","Checked Out"))),"")</f>
        <v/>
      </c>
      <c r="W173" s="28">
        <f>IFERROR(IF($L173="","",MAX(0,24*((IF($P173&lt;&gt;"",$P173+$Q173,NOW()))-($L173+$M173)))),"")</f>
        <v/>
      </c>
      <c r="X173" s="29">
        <f>IFERROR(IF($B173="","",INDEX('Key Inventory'!$I$5:$I$104,MATCH($B173,'Key Inventory'!$A$5:$A$104,0))),"")</f>
        <v/>
      </c>
      <c r="Y173" s="25">
        <f>IFERROR(IF(AND(OR($V173="Checked Out",$V173="Overdue"),$X173&gt;=Dashboard!$B$9),"Review",""),"")</f>
        <v/>
      </c>
      <c r="Z173" s="24" t="n"/>
      <c r="AA173" s="25">
        <f>IFERROR(IF(OR($V173="Checked Out",$V173="Overdue"),$B173,""),"")</f>
        <v/>
      </c>
    </row>
    <row r="174">
      <c r="A174" s="24" t="n"/>
      <c r="B174" s="24" t="n"/>
      <c r="C174" s="25">
        <f>IFERROR(IF($B174="","",INDEX('Key Inventory'!$B$5:$B$104,MATCH($B174,'Key Inventory'!$A$5:$A$104,0))),"")</f>
        <v/>
      </c>
      <c r="D174" s="25">
        <f>IFERROR(IF($B174="","",INDEX('Key Inventory'!$C$5:$C$104,MATCH($B174,'Key Inventory'!$A$5:$A$104,0))),"")</f>
        <v/>
      </c>
      <c r="E174" s="25">
        <f>IFERROR(IF($B174="","",INDEX('Key Inventory'!$D$5:$D$104,MATCH($B174,'Key Inventory'!$A$5:$A$104,0))),"")</f>
        <v/>
      </c>
      <c r="F174" s="24" t="n"/>
      <c r="G174" s="24" t="n"/>
      <c r="H174" s="24" t="n"/>
      <c r="I174" s="24" t="n"/>
      <c r="J174" s="24" t="n"/>
      <c r="K174" s="24" t="n"/>
      <c r="L174" s="26" t="n"/>
      <c r="M174" s="27" t="n"/>
      <c r="N174" s="26" t="n"/>
      <c r="O174" s="27" t="n"/>
      <c r="P174" s="26" t="n"/>
      <c r="Q174" s="27" t="n"/>
      <c r="R174" s="24" t="n"/>
      <c r="S174" s="24" t="n"/>
      <c r="T174" s="24" t="n"/>
      <c r="U174" s="24" t="n"/>
      <c r="V174" s="25">
        <f>IFERROR(IF(OR($A174="",$B174=""),"",IF($P174&lt;&gt;"","Returned",IF(NOW()&gt;$N174+$O174+(Dashboard!$B$7/24),"Overdue","Checked Out"))),"")</f>
        <v/>
      </c>
      <c r="W174" s="28">
        <f>IFERROR(IF($L174="","",MAX(0,24*((IF($P174&lt;&gt;"",$P174+$Q174,NOW()))-($L174+$M174)))),"")</f>
        <v/>
      </c>
      <c r="X174" s="29">
        <f>IFERROR(IF($B174="","",INDEX('Key Inventory'!$I$5:$I$104,MATCH($B174,'Key Inventory'!$A$5:$A$104,0))),"")</f>
        <v/>
      </c>
      <c r="Y174" s="25">
        <f>IFERROR(IF(AND(OR($V174="Checked Out",$V174="Overdue"),$X174&gt;=Dashboard!$B$9),"Review",""),"")</f>
        <v/>
      </c>
      <c r="Z174" s="24" t="n"/>
      <c r="AA174" s="25">
        <f>IFERROR(IF(OR($V174="Checked Out",$V174="Overdue"),$B174,""),"")</f>
        <v/>
      </c>
    </row>
    <row r="175">
      <c r="A175" s="24" t="n"/>
      <c r="B175" s="24" t="n"/>
      <c r="C175" s="25">
        <f>IFERROR(IF($B175="","",INDEX('Key Inventory'!$B$5:$B$104,MATCH($B175,'Key Inventory'!$A$5:$A$104,0))),"")</f>
        <v/>
      </c>
      <c r="D175" s="25">
        <f>IFERROR(IF($B175="","",INDEX('Key Inventory'!$C$5:$C$104,MATCH($B175,'Key Inventory'!$A$5:$A$104,0))),"")</f>
        <v/>
      </c>
      <c r="E175" s="25">
        <f>IFERROR(IF($B175="","",INDEX('Key Inventory'!$D$5:$D$104,MATCH($B175,'Key Inventory'!$A$5:$A$104,0))),"")</f>
        <v/>
      </c>
      <c r="F175" s="24" t="n"/>
      <c r="G175" s="24" t="n"/>
      <c r="H175" s="24" t="n"/>
      <c r="I175" s="24" t="n"/>
      <c r="J175" s="24" t="n"/>
      <c r="K175" s="24" t="n"/>
      <c r="L175" s="26" t="n"/>
      <c r="M175" s="27" t="n"/>
      <c r="N175" s="26" t="n"/>
      <c r="O175" s="27" t="n"/>
      <c r="P175" s="26" t="n"/>
      <c r="Q175" s="27" t="n"/>
      <c r="R175" s="24" t="n"/>
      <c r="S175" s="24" t="n"/>
      <c r="T175" s="24" t="n"/>
      <c r="U175" s="24" t="n"/>
      <c r="V175" s="25">
        <f>IFERROR(IF(OR($A175="",$B175=""),"",IF($P175&lt;&gt;"","Returned",IF(NOW()&gt;$N175+$O175+(Dashboard!$B$7/24),"Overdue","Checked Out"))),"")</f>
        <v/>
      </c>
      <c r="W175" s="28">
        <f>IFERROR(IF($L175="","",MAX(0,24*((IF($P175&lt;&gt;"",$P175+$Q175,NOW()))-($L175+$M175)))),"")</f>
        <v/>
      </c>
      <c r="X175" s="29">
        <f>IFERROR(IF($B175="","",INDEX('Key Inventory'!$I$5:$I$104,MATCH($B175,'Key Inventory'!$A$5:$A$104,0))),"")</f>
        <v/>
      </c>
      <c r="Y175" s="25">
        <f>IFERROR(IF(AND(OR($V175="Checked Out",$V175="Overdue"),$X175&gt;=Dashboard!$B$9),"Review",""),"")</f>
        <v/>
      </c>
      <c r="Z175" s="24" t="n"/>
      <c r="AA175" s="25">
        <f>IFERROR(IF(OR($V175="Checked Out",$V175="Overdue"),$B175,""),"")</f>
        <v/>
      </c>
    </row>
    <row r="176">
      <c r="A176" s="24" t="n"/>
      <c r="B176" s="24" t="n"/>
      <c r="C176" s="25">
        <f>IFERROR(IF($B176="","",INDEX('Key Inventory'!$B$5:$B$104,MATCH($B176,'Key Inventory'!$A$5:$A$104,0))),"")</f>
        <v/>
      </c>
      <c r="D176" s="25">
        <f>IFERROR(IF($B176="","",INDEX('Key Inventory'!$C$5:$C$104,MATCH($B176,'Key Inventory'!$A$5:$A$104,0))),"")</f>
        <v/>
      </c>
      <c r="E176" s="25">
        <f>IFERROR(IF($B176="","",INDEX('Key Inventory'!$D$5:$D$104,MATCH($B176,'Key Inventory'!$A$5:$A$104,0))),"")</f>
        <v/>
      </c>
      <c r="F176" s="24" t="n"/>
      <c r="G176" s="24" t="n"/>
      <c r="H176" s="24" t="n"/>
      <c r="I176" s="24" t="n"/>
      <c r="J176" s="24" t="n"/>
      <c r="K176" s="24" t="n"/>
      <c r="L176" s="26" t="n"/>
      <c r="M176" s="27" t="n"/>
      <c r="N176" s="26" t="n"/>
      <c r="O176" s="27" t="n"/>
      <c r="P176" s="26" t="n"/>
      <c r="Q176" s="27" t="n"/>
      <c r="R176" s="24" t="n"/>
      <c r="S176" s="24" t="n"/>
      <c r="T176" s="24" t="n"/>
      <c r="U176" s="24" t="n"/>
      <c r="V176" s="25">
        <f>IFERROR(IF(OR($A176="",$B176=""),"",IF($P176&lt;&gt;"","Returned",IF(NOW()&gt;$N176+$O176+(Dashboard!$B$7/24),"Overdue","Checked Out"))),"")</f>
        <v/>
      </c>
      <c r="W176" s="28">
        <f>IFERROR(IF($L176="","",MAX(0,24*((IF($P176&lt;&gt;"",$P176+$Q176,NOW()))-($L176+$M176)))),"")</f>
        <v/>
      </c>
      <c r="X176" s="29">
        <f>IFERROR(IF($B176="","",INDEX('Key Inventory'!$I$5:$I$104,MATCH($B176,'Key Inventory'!$A$5:$A$104,0))),"")</f>
        <v/>
      </c>
      <c r="Y176" s="25">
        <f>IFERROR(IF(AND(OR($V176="Checked Out",$V176="Overdue"),$X176&gt;=Dashboard!$B$9),"Review",""),"")</f>
        <v/>
      </c>
      <c r="Z176" s="24" t="n"/>
      <c r="AA176" s="25">
        <f>IFERROR(IF(OR($V176="Checked Out",$V176="Overdue"),$B176,""),"")</f>
        <v/>
      </c>
    </row>
    <row r="177">
      <c r="A177" s="24" t="n"/>
      <c r="B177" s="24" t="n"/>
      <c r="C177" s="25">
        <f>IFERROR(IF($B177="","",INDEX('Key Inventory'!$B$5:$B$104,MATCH($B177,'Key Inventory'!$A$5:$A$104,0))),"")</f>
        <v/>
      </c>
      <c r="D177" s="25">
        <f>IFERROR(IF($B177="","",INDEX('Key Inventory'!$C$5:$C$104,MATCH($B177,'Key Inventory'!$A$5:$A$104,0))),"")</f>
        <v/>
      </c>
      <c r="E177" s="25">
        <f>IFERROR(IF($B177="","",INDEX('Key Inventory'!$D$5:$D$104,MATCH($B177,'Key Inventory'!$A$5:$A$104,0))),"")</f>
        <v/>
      </c>
      <c r="F177" s="24" t="n"/>
      <c r="G177" s="24" t="n"/>
      <c r="H177" s="24" t="n"/>
      <c r="I177" s="24" t="n"/>
      <c r="J177" s="24" t="n"/>
      <c r="K177" s="24" t="n"/>
      <c r="L177" s="26" t="n"/>
      <c r="M177" s="27" t="n"/>
      <c r="N177" s="26" t="n"/>
      <c r="O177" s="27" t="n"/>
      <c r="P177" s="26" t="n"/>
      <c r="Q177" s="27" t="n"/>
      <c r="R177" s="24" t="n"/>
      <c r="S177" s="24" t="n"/>
      <c r="T177" s="24" t="n"/>
      <c r="U177" s="24" t="n"/>
      <c r="V177" s="25">
        <f>IFERROR(IF(OR($A177="",$B177=""),"",IF($P177&lt;&gt;"","Returned",IF(NOW()&gt;$N177+$O177+(Dashboard!$B$7/24),"Overdue","Checked Out"))),"")</f>
        <v/>
      </c>
      <c r="W177" s="28">
        <f>IFERROR(IF($L177="","",MAX(0,24*((IF($P177&lt;&gt;"",$P177+$Q177,NOW()))-($L177+$M177)))),"")</f>
        <v/>
      </c>
      <c r="X177" s="29">
        <f>IFERROR(IF($B177="","",INDEX('Key Inventory'!$I$5:$I$104,MATCH($B177,'Key Inventory'!$A$5:$A$104,0))),"")</f>
        <v/>
      </c>
      <c r="Y177" s="25">
        <f>IFERROR(IF(AND(OR($V177="Checked Out",$V177="Overdue"),$X177&gt;=Dashboard!$B$9),"Review",""),"")</f>
        <v/>
      </c>
      <c r="Z177" s="24" t="n"/>
      <c r="AA177" s="25">
        <f>IFERROR(IF(OR($V177="Checked Out",$V177="Overdue"),$B177,""),"")</f>
        <v/>
      </c>
    </row>
    <row r="178">
      <c r="A178" s="24" t="n"/>
      <c r="B178" s="24" t="n"/>
      <c r="C178" s="25">
        <f>IFERROR(IF($B178="","",INDEX('Key Inventory'!$B$5:$B$104,MATCH($B178,'Key Inventory'!$A$5:$A$104,0))),"")</f>
        <v/>
      </c>
      <c r="D178" s="25">
        <f>IFERROR(IF($B178="","",INDEX('Key Inventory'!$C$5:$C$104,MATCH($B178,'Key Inventory'!$A$5:$A$104,0))),"")</f>
        <v/>
      </c>
      <c r="E178" s="25">
        <f>IFERROR(IF($B178="","",INDEX('Key Inventory'!$D$5:$D$104,MATCH($B178,'Key Inventory'!$A$5:$A$104,0))),"")</f>
        <v/>
      </c>
      <c r="F178" s="24" t="n"/>
      <c r="G178" s="24" t="n"/>
      <c r="H178" s="24" t="n"/>
      <c r="I178" s="24" t="n"/>
      <c r="J178" s="24" t="n"/>
      <c r="K178" s="24" t="n"/>
      <c r="L178" s="26" t="n"/>
      <c r="M178" s="27" t="n"/>
      <c r="N178" s="26" t="n"/>
      <c r="O178" s="27" t="n"/>
      <c r="P178" s="26" t="n"/>
      <c r="Q178" s="27" t="n"/>
      <c r="R178" s="24" t="n"/>
      <c r="S178" s="24" t="n"/>
      <c r="T178" s="24" t="n"/>
      <c r="U178" s="24" t="n"/>
      <c r="V178" s="25">
        <f>IFERROR(IF(OR($A178="",$B178=""),"",IF($P178&lt;&gt;"","Returned",IF(NOW()&gt;$N178+$O178+(Dashboard!$B$7/24),"Overdue","Checked Out"))),"")</f>
        <v/>
      </c>
      <c r="W178" s="28">
        <f>IFERROR(IF($L178="","",MAX(0,24*((IF($P178&lt;&gt;"",$P178+$Q178,NOW()))-($L178+$M178)))),"")</f>
        <v/>
      </c>
      <c r="X178" s="29">
        <f>IFERROR(IF($B178="","",INDEX('Key Inventory'!$I$5:$I$104,MATCH($B178,'Key Inventory'!$A$5:$A$104,0))),"")</f>
        <v/>
      </c>
      <c r="Y178" s="25">
        <f>IFERROR(IF(AND(OR($V178="Checked Out",$V178="Overdue"),$X178&gt;=Dashboard!$B$9),"Review",""),"")</f>
        <v/>
      </c>
      <c r="Z178" s="24" t="n"/>
      <c r="AA178" s="25">
        <f>IFERROR(IF(OR($V178="Checked Out",$V178="Overdue"),$B178,""),"")</f>
        <v/>
      </c>
    </row>
    <row r="179">
      <c r="A179" s="24" t="n"/>
      <c r="B179" s="24" t="n"/>
      <c r="C179" s="25">
        <f>IFERROR(IF($B179="","",INDEX('Key Inventory'!$B$5:$B$104,MATCH($B179,'Key Inventory'!$A$5:$A$104,0))),"")</f>
        <v/>
      </c>
      <c r="D179" s="25">
        <f>IFERROR(IF($B179="","",INDEX('Key Inventory'!$C$5:$C$104,MATCH($B179,'Key Inventory'!$A$5:$A$104,0))),"")</f>
        <v/>
      </c>
      <c r="E179" s="25">
        <f>IFERROR(IF($B179="","",INDEX('Key Inventory'!$D$5:$D$104,MATCH($B179,'Key Inventory'!$A$5:$A$104,0))),"")</f>
        <v/>
      </c>
      <c r="F179" s="24" t="n"/>
      <c r="G179" s="24" t="n"/>
      <c r="H179" s="24" t="n"/>
      <c r="I179" s="24" t="n"/>
      <c r="J179" s="24" t="n"/>
      <c r="K179" s="24" t="n"/>
      <c r="L179" s="26" t="n"/>
      <c r="M179" s="27" t="n"/>
      <c r="N179" s="26" t="n"/>
      <c r="O179" s="27" t="n"/>
      <c r="P179" s="26" t="n"/>
      <c r="Q179" s="27" t="n"/>
      <c r="R179" s="24" t="n"/>
      <c r="S179" s="24" t="n"/>
      <c r="T179" s="24" t="n"/>
      <c r="U179" s="24" t="n"/>
      <c r="V179" s="25">
        <f>IFERROR(IF(OR($A179="",$B179=""),"",IF($P179&lt;&gt;"","Returned",IF(NOW()&gt;$N179+$O179+(Dashboard!$B$7/24),"Overdue","Checked Out"))),"")</f>
        <v/>
      </c>
      <c r="W179" s="28">
        <f>IFERROR(IF($L179="","",MAX(0,24*((IF($P179&lt;&gt;"",$P179+$Q179,NOW()))-($L179+$M179)))),"")</f>
        <v/>
      </c>
      <c r="X179" s="29">
        <f>IFERROR(IF($B179="","",INDEX('Key Inventory'!$I$5:$I$104,MATCH($B179,'Key Inventory'!$A$5:$A$104,0))),"")</f>
        <v/>
      </c>
      <c r="Y179" s="25">
        <f>IFERROR(IF(AND(OR($V179="Checked Out",$V179="Overdue"),$X179&gt;=Dashboard!$B$9),"Review",""),"")</f>
        <v/>
      </c>
      <c r="Z179" s="24" t="n"/>
      <c r="AA179" s="25">
        <f>IFERROR(IF(OR($V179="Checked Out",$V179="Overdue"),$B179,""),"")</f>
        <v/>
      </c>
    </row>
    <row r="180">
      <c r="A180" s="24" t="n"/>
      <c r="B180" s="24" t="n"/>
      <c r="C180" s="25">
        <f>IFERROR(IF($B180="","",INDEX('Key Inventory'!$B$5:$B$104,MATCH($B180,'Key Inventory'!$A$5:$A$104,0))),"")</f>
        <v/>
      </c>
      <c r="D180" s="25">
        <f>IFERROR(IF($B180="","",INDEX('Key Inventory'!$C$5:$C$104,MATCH($B180,'Key Inventory'!$A$5:$A$104,0))),"")</f>
        <v/>
      </c>
      <c r="E180" s="25">
        <f>IFERROR(IF($B180="","",INDEX('Key Inventory'!$D$5:$D$104,MATCH($B180,'Key Inventory'!$A$5:$A$104,0))),"")</f>
        <v/>
      </c>
      <c r="F180" s="24" t="n"/>
      <c r="G180" s="24" t="n"/>
      <c r="H180" s="24" t="n"/>
      <c r="I180" s="24" t="n"/>
      <c r="J180" s="24" t="n"/>
      <c r="K180" s="24" t="n"/>
      <c r="L180" s="26" t="n"/>
      <c r="M180" s="27" t="n"/>
      <c r="N180" s="26" t="n"/>
      <c r="O180" s="27" t="n"/>
      <c r="P180" s="26" t="n"/>
      <c r="Q180" s="27" t="n"/>
      <c r="R180" s="24" t="n"/>
      <c r="S180" s="24" t="n"/>
      <c r="T180" s="24" t="n"/>
      <c r="U180" s="24" t="n"/>
      <c r="V180" s="25">
        <f>IFERROR(IF(OR($A180="",$B180=""),"",IF($P180&lt;&gt;"","Returned",IF(NOW()&gt;$N180+$O180+(Dashboard!$B$7/24),"Overdue","Checked Out"))),"")</f>
        <v/>
      </c>
      <c r="W180" s="28">
        <f>IFERROR(IF($L180="","",MAX(0,24*((IF($P180&lt;&gt;"",$P180+$Q180,NOW()))-($L180+$M180)))),"")</f>
        <v/>
      </c>
      <c r="X180" s="29">
        <f>IFERROR(IF($B180="","",INDEX('Key Inventory'!$I$5:$I$104,MATCH($B180,'Key Inventory'!$A$5:$A$104,0))),"")</f>
        <v/>
      </c>
      <c r="Y180" s="25">
        <f>IFERROR(IF(AND(OR($V180="Checked Out",$V180="Overdue"),$X180&gt;=Dashboard!$B$9),"Review",""),"")</f>
        <v/>
      </c>
      <c r="Z180" s="24" t="n"/>
      <c r="AA180" s="25">
        <f>IFERROR(IF(OR($V180="Checked Out",$V180="Overdue"),$B180,""),"")</f>
        <v/>
      </c>
    </row>
    <row r="181">
      <c r="A181" s="24" t="n"/>
      <c r="B181" s="24" t="n"/>
      <c r="C181" s="25">
        <f>IFERROR(IF($B181="","",INDEX('Key Inventory'!$B$5:$B$104,MATCH($B181,'Key Inventory'!$A$5:$A$104,0))),"")</f>
        <v/>
      </c>
      <c r="D181" s="25">
        <f>IFERROR(IF($B181="","",INDEX('Key Inventory'!$C$5:$C$104,MATCH($B181,'Key Inventory'!$A$5:$A$104,0))),"")</f>
        <v/>
      </c>
      <c r="E181" s="25">
        <f>IFERROR(IF($B181="","",INDEX('Key Inventory'!$D$5:$D$104,MATCH($B181,'Key Inventory'!$A$5:$A$104,0))),"")</f>
        <v/>
      </c>
      <c r="F181" s="24" t="n"/>
      <c r="G181" s="24" t="n"/>
      <c r="H181" s="24" t="n"/>
      <c r="I181" s="24" t="n"/>
      <c r="J181" s="24" t="n"/>
      <c r="K181" s="24" t="n"/>
      <c r="L181" s="26" t="n"/>
      <c r="M181" s="27" t="n"/>
      <c r="N181" s="26" t="n"/>
      <c r="O181" s="27" t="n"/>
      <c r="P181" s="26" t="n"/>
      <c r="Q181" s="27" t="n"/>
      <c r="R181" s="24" t="n"/>
      <c r="S181" s="24" t="n"/>
      <c r="T181" s="24" t="n"/>
      <c r="U181" s="24" t="n"/>
      <c r="V181" s="25">
        <f>IFERROR(IF(OR($A181="",$B181=""),"",IF($P181&lt;&gt;"","Returned",IF(NOW()&gt;$N181+$O181+(Dashboard!$B$7/24),"Overdue","Checked Out"))),"")</f>
        <v/>
      </c>
      <c r="W181" s="28">
        <f>IFERROR(IF($L181="","",MAX(0,24*((IF($P181&lt;&gt;"",$P181+$Q181,NOW()))-($L181+$M181)))),"")</f>
        <v/>
      </c>
      <c r="X181" s="29">
        <f>IFERROR(IF($B181="","",INDEX('Key Inventory'!$I$5:$I$104,MATCH($B181,'Key Inventory'!$A$5:$A$104,0))),"")</f>
        <v/>
      </c>
      <c r="Y181" s="25">
        <f>IFERROR(IF(AND(OR($V181="Checked Out",$V181="Overdue"),$X181&gt;=Dashboard!$B$9),"Review",""),"")</f>
        <v/>
      </c>
      <c r="Z181" s="24" t="n"/>
      <c r="AA181" s="25">
        <f>IFERROR(IF(OR($V181="Checked Out",$V181="Overdue"),$B181,""),"")</f>
        <v/>
      </c>
    </row>
    <row r="182">
      <c r="A182" s="24" t="n"/>
      <c r="B182" s="24" t="n"/>
      <c r="C182" s="25">
        <f>IFERROR(IF($B182="","",INDEX('Key Inventory'!$B$5:$B$104,MATCH($B182,'Key Inventory'!$A$5:$A$104,0))),"")</f>
        <v/>
      </c>
      <c r="D182" s="25">
        <f>IFERROR(IF($B182="","",INDEX('Key Inventory'!$C$5:$C$104,MATCH($B182,'Key Inventory'!$A$5:$A$104,0))),"")</f>
        <v/>
      </c>
      <c r="E182" s="25">
        <f>IFERROR(IF($B182="","",INDEX('Key Inventory'!$D$5:$D$104,MATCH($B182,'Key Inventory'!$A$5:$A$104,0))),"")</f>
        <v/>
      </c>
      <c r="F182" s="24" t="n"/>
      <c r="G182" s="24" t="n"/>
      <c r="H182" s="24" t="n"/>
      <c r="I182" s="24" t="n"/>
      <c r="J182" s="24" t="n"/>
      <c r="K182" s="24" t="n"/>
      <c r="L182" s="26" t="n"/>
      <c r="M182" s="27" t="n"/>
      <c r="N182" s="26" t="n"/>
      <c r="O182" s="27" t="n"/>
      <c r="P182" s="26" t="n"/>
      <c r="Q182" s="27" t="n"/>
      <c r="R182" s="24" t="n"/>
      <c r="S182" s="24" t="n"/>
      <c r="T182" s="24" t="n"/>
      <c r="U182" s="24" t="n"/>
      <c r="V182" s="25">
        <f>IFERROR(IF(OR($A182="",$B182=""),"",IF($P182&lt;&gt;"","Returned",IF(NOW()&gt;$N182+$O182+(Dashboard!$B$7/24),"Overdue","Checked Out"))),"")</f>
        <v/>
      </c>
      <c r="W182" s="28">
        <f>IFERROR(IF($L182="","",MAX(0,24*((IF($P182&lt;&gt;"",$P182+$Q182,NOW()))-($L182+$M182)))),"")</f>
        <v/>
      </c>
      <c r="X182" s="29">
        <f>IFERROR(IF($B182="","",INDEX('Key Inventory'!$I$5:$I$104,MATCH($B182,'Key Inventory'!$A$5:$A$104,0))),"")</f>
        <v/>
      </c>
      <c r="Y182" s="25">
        <f>IFERROR(IF(AND(OR($V182="Checked Out",$V182="Overdue"),$X182&gt;=Dashboard!$B$9),"Review",""),"")</f>
        <v/>
      </c>
      <c r="Z182" s="24" t="n"/>
      <c r="AA182" s="25">
        <f>IFERROR(IF(OR($V182="Checked Out",$V182="Overdue"),$B182,""),"")</f>
        <v/>
      </c>
    </row>
    <row r="183">
      <c r="A183" s="24" t="n"/>
      <c r="B183" s="24" t="n"/>
      <c r="C183" s="25">
        <f>IFERROR(IF($B183="","",INDEX('Key Inventory'!$B$5:$B$104,MATCH($B183,'Key Inventory'!$A$5:$A$104,0))),"")</f>
        <v/>
      </c>
      <c r="D183" s="25">
        <f>IFERROR(IF($B183="","",INDEX('Key Inventory'!$C$5:$C$104,MATCH($B183,'Key Inventory'!$A$5:$A$104,0))),"")</f>
        <v/>
      </c>
      <c r="E183" s="25">
        <f>IFERROR(IF($B183="","",INDEX('Key Inventory'!$D$5:$D$104,MATCH($B183,'Key Inventory'!$A$5:$A$104,0))),"")</f>
        <v/>
      </c>
      <c r="F183" s="24" t="n"/>
      <c r="G183" s="24" t="n"/>
      <c r="H183" s="24" t="n"/>
      <c r="I183" s="24" t="n"/>
      <c r="J183" s="24" t="n"/>
      <c r="K183" s="24" t="n"/>
      <c r="L183" s="26" t="n"/>
      <c r="M183" s="27" t="n"/>
      <c r="N183" s="26" t="n"/>
      <c r="O183" s="27" t="n"/>
      <c r="P183" s="26" t="n"/>
      <c r="Q183" s="27" t="n"/>
      <c r="R183" s="24" t="n"/>
      <c r="S183" s="24" t="n"/>
      <c r="T183" s="24" t="n"/>
      <c r="U183" s="24" t="n"/>
      <c r="V183" s="25">
        <f>IFERROR(IF(OR($A183="",$B183=""),"",IF($P183&lt;&gt;"","Returned",IF(NOW()&gt;$N183+$O183+(Dashboard!$B$7/24),"Overdue","Checked Out"))),"")</f>
        <v/>
      </c>
      <c r="W183" s="28">
        <f>IFERROR(IF($L183="","",MAX(0,24*((IF($P183&lt;&gt;"",$P183+$Q183,NOW()))-($L183+$M183)))),"")</f>
        <v/>
      </c>
      <c r="X183" s="29">
        <f>IFERROR(IF($B183="","",INDEX('Key Inventory'!$I$5:$I$104,MATCH($B183,'Key Inventory'!$A$5:$A$104,0))),"")</f>
        <v/>
      </c>
      <c r="Y183" s="25">
        <f>IFERROR(IF(AND(OR($V183="Checked Out",$V183="Overdue"),$X183&gt;=Dashboard!$B$9),"Review",""),"")</f>
        <v/>
      </c>
      <c r="Z183" s="24" t="n"/>
      <c r="AA183" s="25">
        <f>IFERROR(IF(OR($V183="Checked Out",$V183="Overdue"),$B183,""),"")</f>
        <v/>
      </c>
    </row>
    <row r="184">
      <c r="A184" s="24" t="n"/>
      <c r="B184" s="24" t="n"/>
      <c r="C184" s="25">
        <f>IFERROR(IF($B184="","",INDEX('Key Inventory'!$B$5:$B$104,MATCH($B184,'Key Inventory'!$A$5:$A$104,0))),"")</f>
        <v/>
      </c>
      <c r="D184" s="25">
        <f>IFERROR(IF($B184="","",INDEX('Key Inventory'!$C$5:$C$104,MATCH($B184,'Key Inventory'!$A$5:$A$104,0))),"")</f>
        <v/>
      </c>
      <c r="E184" s="25">
        <f>IFERROR(IF($B184="","",INDEX('Key Inventory'!$D$5:$D$104,MATCH($B184,'Key Inventory'!$A$5:$A$104,0))),"")</f>
        <v/>
      </c>
      <c r="F184" s="24" t="n"/>
      <c r="G184" s="24" t="n"/>
      <c r="H184" s="24" t="n"/>
      <c r="I184" s="24" t="n"/>
      <c r="J184" s="24" t="n"/>
      <c r="K184" s="24" t="n"/>
      <c r="L184" s="26" t="n"/>
      <c r="M184" s="27" t="n"/>
      <c r="N184" s="26" t="n"/>
      <c r="O184" s="27" t="n"/>
      <c r="P184" s="26" t="n"/>
      <c r="Q184" s="27" t="n"/>
      <c r="R184" s="24" t="n"/>
      <c r="S184" s="24" t="n"/>
      <c r="T184" s="24" t="n"/>
      <c r="U184" s="24" t="n"/>
      <c r="V184" s="25">
        <f>IFERROR(IF(OR($A184="",$B184=""),"",IF($P184&lt;&gt;"","Returned",IF(NOW()&gt;$N184+$O184+(Dashboard!$B$7/24),"Overdue","Checked Out"))),"")</f>
        <v/>
      </c>
      <c r="W184" s="28">
        <f>IFERROR(IF($L184="","",MAX(0,24*((IF($P184&lt;&gt;"",$P184+$Q184,NOW()))-($L184+$M184)))),"")</f>
        <v/>
      </c>
      <c r="X184" s="29">
        <f>IFERROR(IF($B184="","",INDEX('Key Inventory'!$I$5:$I$104,MATCH($B184,'Key Inventory'!$A$5:$A$104,0))),"")</f>
        <v/>
      </c>
      <c r="Y184" s="25">
        <f>IFERROR(IF(AND(OR($V184="Checked Out",$V184="Overdue"),$X184&gt;=Dashboard!$B$9),"Review",""),"")</f>
        <v/>
      </c>
      <c r="Z184" s="24" t="n"/>
      <c r="AA184" s="25">
        <f>IFERROR(IF(OR($V184="Checked Out",$V184="Overdue"),$B184,""),"")</f>
        <v/>
      </c>
    </row>
    <row r="185">
      <c r="A185" s="24" t="n"/>
      <c r="B185" s="24" t="n"/>
      <c r="C185" s="25">
        <f>IFERROR(IF($B185="","",INDEX('Key Inventory'!$B$5:$B$104,MATCH($B185,'Key Inventory'!$A$5:$A$104,0))),"")</f>
        <v/>
      </c>
      <c r="D185" s="25">
        <f>IFERROR(IF($B185="","",INDEX('Key Inventory'!$C$5:$C$104,MATCH($B185,'Key Inventory'!$A$5:$A$104,0))),"")</f>
        <v/>
      </c>
      <c r="E185" s="25">
        <f>IFERROR(IF($B185="","",INDEX('Key Inventory'!$D$5:$D$104,MATCH($B185,'Key Inventory'!$A$5:$A$104,0))),"")</f>
        <v/>
      </c>
      <c r="F185" s="24" t="n"/>
      <c r="G185" s="24" t="n"/>
      <c r="H185" s="24" t="n"/>
      <c r="I185" s="24" t="n"/>
      <c r="J185" s="24" t="n"/>
      <c r="K185" s="24" t="n"/>
      <c r="L185" s="26" t="n"/>
      <c r="M185" s="27" t="n"/>
      <c r="N185" s="26" t="n"/>
      <c r="O185" s="27" t="n"/>
      <c r="P185" s="26" t="n"/>
      <c r="Q185" s="27" t="n"/>
      <c r="R185" s="24" t="n"/>
      <c r="S185" s="24" t="n"/>
      <c r="T185" s="24" t="n"/>
      <c r="U185" s="24" t="n"/>
      <c r="V185" s="25">
        <f>IFERROR(IF(OR($A185="",$B185=""),"",IF($P185&lt;&gt;"","Returned",IF(NOW()&gt;$N185+$O185+(Dashboard!$B$7/24),"Overdue","Checked Out"))),"")</f>
        <v/>
      </c>
      <c r="W185" s="28">
        <f>IFERROR(IF($L185="","",MAX(0,24*((IF($P185&lt;&gt;"",$P185+$Q185,NOW()))-($L185+$M185)))),"")</f>
        <v/>
      </c>
      <c r="X185" s="29">
        <f>IFERROR(IF($B185="","",INDEX('Key Inventory'!$I$5:$I$104,MATCH($B185,'Key Inventory'!$A$5:$A$104,0))),"")</f>
        <v/>
      </c>
      <c r="Y185" s="25">
        <f>IFERROR(IF(AND(OR($V185="Checked Out",$V185="Overdue"),$X185&gt;=Dashboard!$B$9),"Review",""),"")</f>
        <v/>
      </c>
      <c r="Z185" s="24" t="n"/>
      <c r="AA185" s="25">
        <f>IFERROR(IF(OR($V185="Checked Out",$V185="Overdue"),$B185,""),"")</f>
        <v/>
      </c>
    </row>
    <row r="186">
      <c r="A186" s="24" t="n"/>
      <c r="B186" s="24" t="n"/>
      <c r="C186" s="25">
        <f>IFERROR(IF($B186="","",INDEX('Key Inventory'!$B$5:$B$104,MATCH($B186,'Key Inventory'!$A$5:$A$104,0))),"")</f>
        <v/>
      </c>
      <c r="D186" s="25">
        <f>IFERROR(IF($B186="","",INDEX('Key Inventory'!$C$5:$C$104,MATCH($B186,'Key Inventory'!$A$5:$A$104,0))),"")</f>
        <v/>
      </c>
      <c r="E186" s="25">
        <f>IFERROR(IF($B186="","",INDEX('Key Inventory'!$D$5:$D$104,MATCH($B186,'Key Inventory'!$A$5:$A$104,0))),"")</f>
        <v/>
      </c>
      <c r="F186" s="24" t="n"/>
      <c r="G186" s="24" t="n"/>
      <c r="H186" s="24" t="n"/>
      <c r="I186" s="24" t="n"/>
      <c r="J186" s="24" t="n"/>
      <c r="K186" s="24" t="n"/>
      <c r="L186" s="26" t="n"/>
      <c r="M186" s="27" t="n"/>
      <c r="N186" s="26" t="n"/>
      <c r="O186" s="27" t="n"/>
      <c r="P186" s="26" t="n"/>
      <c r="Q186" s="27" t="n"/>
      <c r="R186" s="24" t="n"/>
      <c r="S186" s="24" t="n"/>
      <c r="T186" s="24" t="n"/>
      <c r="U186" s="24" t="n"/>
      <c r="V186" s="25">
        <f>IFERROR(IF(OR($A186="",$B186=""),"",IF($P186&lt;&gt;"","Returned",IF(NOW()&gt;$N186+$O186+(Dashboard!$B$7/24),"Overdue","Checked Out"))),"")</f>
        <v/>
      </c>
      <c r="W186" s="28">
        <f>IFERROR(IF($L186="","",MAX(0,24*((IF($P186&lt;&gt;"",$P186+$Q186,NOW()))-($L186+$M186)))),"")</f>
        <v/>
      </c>
      <c r="X186" s="29">
        <f>IFERROR(IF($B186="","",INDEX('Key Inventory'!$I$5:$I$104,MATCH($B186,'Key Inventory'!$A$5:$A$104,0))),"")</f>
        <v/>
      </c>
      <c r="Y186" s="25">
        <f>IFERROR(IF(AND(OR($V186="Checked Out",$V186="Overdue"),$X186&gt;=Dashboard!$B$9),"Review",""),"")</f>
        <v/>
      </c>
      <c r="Z186" s="24" t="n"/>
      <c r="AA186" s="25">
        <f>IFERROR(IF(OR($V186="Checked Out",$V186="Overdue"),$B186,""),"")</f>
        <v/>
      </c>
    </row>
    <row r="187">
      <c r="A187" s="24" t="n"/>
      <c r="B187" s="24" t="n"/>
      <c r="C187" s="25">
        <f>IFERROR(IF($B187="","",INDEX('Key Inventory'!$B$5:$B$104,MATCH($B187,'Key Inventory'!$A$5:$A$104,0))),"")</f>
        <v/>
      </c>
      <c r="D187" s="25">
        <f>IFERROR(IF($B187="","",INDEX('Key Inventory'!$C$5:$C$104,MATCH($B187,'Key Inventory'!$A$5:$A$104,0))),"")</f>
        <v/>
      </c>
      <c r="E187" s="25">
        <f>IFERROR(IF($B187="","",INDEX('Key Inventory'!$D$5:$D$104,MATCH($B187,'Key Inventory'!$A$5:$A$104,0))),"")</f>
        <v/>
      </c>
      <c r="F187" s="24" t="n"/>
      <c r="G187" s="24" t="n"/>
      <c r="H187" s="24" t="n"/>
      <c r="I187" s="24" t="n"/>
      <c r="J187" s="24" t="n"/>
      <c r="K187" s="24" t="n"/>
      <c r="L187" s="26" t="n"/>
      <c r="M187" s="27" t="n"/>
      <c r="N187" s="26" t="n"/>
      <c r="O187" s="27" t="n"/>
      <c r="P187" s="26" t="n"/>
      <c r="Q187" s="27" t="n"/>
      <c r="R187" s="24" t="n"/>
      <c r="S187" s="24" t="n"/>
      <c r="T187" s="24" t="n"/>
      <c r="U187" s="24" t="n"/>
      <c r="V187" s="25">
        <f>IFERROR(IF(OR($A187="",$B187=""),"",IF($P187&lt;&gt;"","Returned",IF(NOW()&gt;$N187+$O187+(Dashboard!$B$7/24),"Overdue","Checked Out"))),"")</f>
        <v/>
      </c>
      <c r="W187" s="28">
        <f>IFERROR(IF($L187="","",MAX(0,24*((IF($P187&lt;&gt;"",$P187+$Q187,NOW()))-($L187+$M187)))),"")</f>
        <v/>
      </c>
      <c r="X187" s="29">
        <f>IFERROR(IF($B187="","",INDEX('Key Inventory'!$I$5:$I$104,MATCH($B187,'Key Inventory'!$A$5:$A$104,0))),"")</f>
        <v/>
      </c>
      <c r="Y187" s="25">
        <f>IFERROR(IF(AND(OR($V187="Checked Out",$V187="Overdue"),$X187&gt;=Dashboard!$B$9),"Review",""),"")</f>
        <v/>
      </c>
      <c r="Z187" s="24" t="n"/>
      <c r="AA187" s="25">
        <f>IFERROR(IF(OR($V187="Checked Out",$V187="Overdue"),$B187,""),"")</f>
        <v/>
      </c>
    </row>
    <row r="188">
      <c r="A188" s="24" t="n"/>
      <c r="B188" s="24" t="n"/>
      <c r="C188" s="25">
        <f>IFERROR(IF($B188="","",INDEX('Key Inventory'!$B$5:$B$104,MATCH($B188,'Key Inventory'!$A$5:$A$104,0))),"")</f>
        <v/>
      </c>
      <c r="D188" s="25">
        <f>IFERROR(IF($B188="","",INDEX('Key Inventory'!$C$5:$C$104,MATCH($B188,'Key Inventory'!$A$5:$A$104,0))),"")</f>
        <v/>
      </c>
      <c r="E188" s="25">
        <f>IFERROR(IF($B188="","",INDEX('Key Inventory'!$D$5:$D$104,MATCH($B188,'Key Inventory'!$A$5:$A$104,0))),"")</f>
        <v/>
      </c>
      <c r="F188" s="24" t="n"/>
      <c r="G188" s="24" t="n"/>
      <c r="H188" s="24" t="n"/>
      <c r="I188" s="24" t="n"/>
      <c r="J188" s="24" t="n"/>
      <c r="K188" s="24" t="n"/>
      <c r="L188" s="26" t="n"/>
      <c r="M188" s="27" t="n"/>
      <c r="N188" s="26" t="n"/>
      <c r="O188" s="27" t="n"/>
      <c r="P188" s="26" t="n"/>
      <c r="Q188" s="27" t="n"/>
      <c r="R188" s="24" t="n"/>
      <c r="S188" s="24" t="n"/>
      <c r="T188" s="24" t="n"/>
      <c r="U188" s="24" t="n"/>
      <c r="V188" s="25">
        <f>IFERROR(IF(OR($A188="",$B188=""),"",IF($P188&lt;&gt;"","Returned",IF(NOW()&gt;$N188+$O188+(Dashboard!$B$7/24),"Overdue","Checked Out"))),"")</f>
        <v/>
      </c>
      <c r="W188" s="28">
        <f>IFERROR(IF($L188="","",MAX(0,24*((IF($P188&lt;&gt;"",$P188+$Q188,NOW()))-($L188+$M188)))),"")</f>
        <v/>
      </c>
      <c r="X188" s="29">
        <f>IFERROR(IF($B188="","",INDEX('Key Inventory'!$I$5:$I$104,MATCH($B188,'Key Inventory'!$A$5:$A$104,0))),"")</f>
        <v/>
      </c>
      <c r="Y188" s="25">
        <f>IFERROR(IF(AND(OR($V188="Checked Out",$V188="Overdue"),$X188&gt;=Dashboard!$B$9),"Review",""),"")</f>
        <v/>
      </c>
      <c r="Z188" s="24" t="n"/>
      <c r="AA188" s="25">
        <f>IFERROR(IF(OR($V188="Checked Out",$V188="Overdue"),$B188,""),"")</f>
        <v/>
      </c>
    </row>
    <row r="189">
      <c r="A189" s="24" t="n"/>
      <c r="B189" s="24" t="n"/>
      <c r="C189" s="25">
        <f>IFERROR(IF($B189="","",INDEX('Key Inventory'!$B$5:$B$104,MATCH($B189,'Key Inventory'!$A$5:$A$104,0))),"")</f>
        <v/>
      </c>
      <c r="D189" s="25">
        <f>IFERROR(IF($B189="","",INDEX('Key Inventory'!$C$5:$C$104,MATCH($B189,'Key Inventory'!$A$5:$A$104,0))),"")</f>
        <v/>
      </c>
      <c r="E189" s="25">
        <f>IFERROR(IF($B189="","",INDEX('Key Inventory'!$D$5:$D$104,MATCH($B189,'Key Inventory'!$A$5:$A$104,0))),"")</f>
        <v/>
      </c>
      <c r="F189" s="24" t="n"/>
      <c r="G189" s="24" t="n"/>
      <c r="H189" s="24" t="n"/>
      <c r="I189" s="24" t="n"/>
      <c r="J189" s="24" t="n"/>
      <c r="K189" s="24" t="n"/>
      <c r="L189" s="26" t="n"/>
      <c r="M189" s="27" t="n"/>
      <c r="N189" s="26" t="n"/>
      <c r="O189" s="27" t="n"/>
      <c r="P189" s="26" t="n"/>
      <c r="Q189" s="27" t="n"/>
      <c r="R189" s="24" t="n"/>
      <c r="S189" s="24" t="n"/>
      <c r="T189" s="24" t="n"/>
      <c r="U189" s="24" t="n"/>
      <c r="V189" s="25">
        <f>IFERROR(IF(OR($A189="",$B189=""),"",IF($P189&lt;&gt;"","Returned",IF(NOW()&gt;$N189+$O189+(Dashboard!$B$7/24),"Overdue","Checked Out"))),"")</f>
        <v/>
      </c>
      <c r="W189" s="28">
        <f>IFERROR(IF($L189="","",MAX(0,24*((IF($P189&lt;&gt;"",$P189+$Q189,NOW()))-($L189+$M189)))),"")</f>
        <v/>
      </c>
      <c r="X189" s="29">
        <f>IFERROR(IF($B189="","",INDEX('Key Inventory'!$I$5:$I$104,MATCH($B189,'Key Inventory'!$A$5:$A$104,0))),"")</f>
        <v/>
      </c>
      <c r="Y189" s="25">
        <f>IFERROR(IF(AND(OR($V189="Checked Out",$V189="Overdue"),$X189&gt;=Dashboard!$B$9),"Review",""),"")</f>
        <v/>
      </c>
      <c r="Z189" s="24" t="n"/>
      <c r="AA189" s="25">
        <f>IFERROR(IF(OR($V189="Checked Out",$V189="Overdue"),$B189,""),"")</f>
        <v/>
      </c>
    </row>
    <row r="190">
      <c r="A190" s="24" t="n"/>
      <c r="B190" s="24" t="n"/>
      <c r="C190" s="25">
        <f>IFERROR(IF($B190="","",INDEX('Key Inventory'!$B$5:$B$104,MATCH($B190,'Key Inventory'!$A$5:$A$104,0))),"")</f>
        <v/>
      </c>
      <c r="D190" s="25">
        <f>IFERROR(IF($B190="","",INDEX('Key Inventory'!$C$5:$C$104,MATCH($B190,'Key Inventory'!$A$5:$A$104,0))),"")</f>
        <v/>
      </c>
      <c r="E190" s="25">
        <f>IFERROR(IF($B190="","",INDEX('Key Inventory'!$D$5:$D$104,MATCH($B190,'Key Inventory'!$A$5:$A$104,0))),"")</f>
        <v/>
      </c>
      <c r="F190" s="24" t="n"/>
      <c r="G190" s="24" t="n"/>
      <c r="H190" s="24" t="n"/>
      <c r="I190" s="24" t="n"/>
      <c r="J190" s="24" t="n"/>
      <c r="K190" s="24" t="n"/>
      <c r="L190" s="26" t="n"/>
      <c r="M190" s="27" t="n"/>
      <c r="N190" s="26" t="n"/>
      <c r="O190" s="27" t="n"/>
      <c r="P190" s="26" t="n"/>
      <c r="Q190" s="27" t="n"/>
      <c r="R190" s="24" t="n"/>
      <c r="S190" s="24" t="n"/>
      <c r="T190" s="24" t="n"/>
      <c r="U190" s="24" t="n"/>
      <c r="V190" s="25">
        <f>IFERROR(IF(OR($A190="",$B190=""),"",IF($P190&lt;&gt;"","Returned",IF(NOW()&gt;$N190+$O190+(Dashboard!$B$7/24),"Overdue","Checked Out"))),"")</f>
        <v/>
      </c>
      <c r="W190" s="28">
        <f>IFERROR(IF($L190="","",MAX(0,24*((IF($P190&lt;&gt;"",$P190+$Q190,NOW()))-($L190+$M190)))),"")</f>
        <v/>
      </c>
      <c r="X190" s="29">
        <f>IFERROR(IF($B190="","",INDEX('Key Inventory'!$I$5:$I$104,MATCH($B190,'Key Inventory'!$A$5:$A$104,0))),"")</f>
        <v/>
      </c>
      <c r="Y190" s="25">
        <f>IFERROR(IF(AND(OR($V190="Checked Out",$V190="Overdue"),$X190&gt;=Dashboard!$B$9),"Review",""),"")</f>
        <v/>
      </c>
      <c r="Z190" s="24" t="n"/>
      <c r="AA190" s="25">
        <f>IFERROR(IF(OR($V190="Checked Out",$V190="Overdue"),$B190,""),"")</f>
        <v/>
      </c>
    </row>
    <row r="191">
      <c r="A191" s="24" t="n"/>
      <c r="B191" s="24" t="n"/>
      <c r="C191" s="25">
        <f>IFERROR(IF($B191="","",INDEX('Key Inventory'!$B$5:$B$104,MATCH($B191,'Key Inventory'!$A$5:$A$104,0))),"")</f>
        <v/>
      </c>
      <c r="D191" s="25">
        <f>IFERROR(IF($B191="","",INDEX('Key Inventory'!$C$5:$C$104,MATCH($B191,'Key Inventory'!$A$5:$A$104,0))),"")</f>
        <v/>
      </c>
      <c r="E191" s="25">
        <f>IFERROR(IF($B191="","",INDEX('Key Inventory'!$D$5:$D$104,MATCH($B191,'Key Inventory'!$A$5:$A$104,0))),"")</f>
        <v/>
      </c>
      <c r="F191" s="24" t="n"/>
      <c r="G191" s="24" t="n"/>
      <c r="H191" s="24" t="n"/>
      <c r="I191" s="24" t="n"/>
      <c r="J191" s="24" t="n"/>
      <c r="K191" s="24" t="n"/>
      <c r="L191" s="26" t="n"/>
      <c r="M191" s="27" t="n"/>
      <c r="N191" s="26" t="n"/>
      <c r="O191" s="27" t="n"/>
      <c r="P191" s="26" t="n"/>
      <c r="Q191" s="27" t="n"/>
      <c r="R191" s="24" t="n"/>
      <c r="S191" s="24" t="n"/>
      <c r="T191" s="24" t="n"/>
      <c r="U191" s="24" t="n"/>
      <c r="V191" s="25">
        <f>IFERROR(IF(OR($A191="",$B191=""),"",IF($P191&lt;&gt;"","Returned",IF(NOW()&gt;$N191+$O191+(Dashboard!$B$7/24),"Overdue","Checked Out"))),"")</f>
        <v/>
      </c>
      <c r="W191" s="28">
        <f>IFERROR(IF($L191="","",MAX(0,24*((IF($P191&lt;&gt;"",$P191+$Q191,NOW()))-($L191+$M191)))),"")</f>
        <v/>
      </c>
      <c r="X191" s="29">
        <f>IFERROR(IF($B191="","",INDEX('Key Inventory'!$I$5:$I$104,MATCH($B191,'Key Inventory'!$A$5:$A$104,0))),"")</f>
        <v/>
      </c>
      <c r="Y191" s="25">
        <f>IFERROR(IF(AND(OR($V191="Checked Out",$V191="Overdue"),$X191&gt;=Dashboard!$B$9),"Review",""),"")</f>
        <v/>
      </c>
      <c r="Z191" s="24" t="n"/>
      <c r="AA191" s="25">
        <f>IFERROR(IF(OR($V191="Checked Out",$V191="Overdue"),$B191,""),"")</f>
        <v/>
      </c>
    </row>
    <row r="192">
      <c r="A192" s="24" t="n"/>
      <c r="B192" s="24" t="n"/>
      <c r="C192" s="25">
        <f>IFERROR(IF($B192="","",INDEX('Key Inventory'!$B$5:$B$104,MATCH($B192,'Key Inventory'!$A$5:$A$104,0))),"")</f>
        <v/>
      </c>
      <c r="D192" s="25">
        <f>IFERROR(IF($B192="","",INDEX('Key Inventory'!$C$5:$C$104,MATCH($B192,'Key Inventory'!$A$5:$A$104,0))),"")</f>
        <v/>
      </c>
      <c r="E192" s="25">
        <f>IFERROR(IF($B192="","",INDEX('Key Inventory'!$D$5:$D$104,MATCH($B192,'Key Inventory'!$A$5:$A$104,0))),"")</f>
        <v/>
      </c>
      <c r="F192" s="24" t="n"/>
      <c r="G192" s="24" t="n"/>
      <c r="H192" s="24" t="n"/>
      <c r="I192" s="24" t="n"/>
      <c r="J192" s="24" t="n"/>
      <c r="K192" s="24" t="n"/>
      <c r="L192" s="26" t="n"/>
      <c r="M192" s="27" t="n"/>
      <c r="N192" s="26" t="n"/>
      <c r="O192" s="27" t="n"/>
      <c r="P192" s="26" t="n"/>
      <c r="Q192" s="27" t="n"/>
      <c r="R192" s="24" t="n"/>
      <c r="S192" s="24" t="n"/>
      <c r="T192" s="24" t="n"/>
      <c r="U192" s="24" t="n"/>
      <c r="V192" s="25">
        <f>IFERROR(IF(OR($A192="",$B192=""),"",IF($P192&lt;&gt;"","Returned",IF(NOW()&gt;$N192+$O192+(Dashboard!$B$7/24),"Overdue","Checked Out"))),"")</f>
        <v/>
      </c>
      <c r="W192" s="28">
        <f>IFERROR(IF($L192="","",MAX(0,24*((IF($P192&lt;&gt;"",$P192+$Q192,NOW()))-($L192+$M192)))),"")</f>
        <v/>
      </c>
      <c r="X192" s="29">
        <f>IFERROR(IF($B192="","",INDEX('Key Inventory'!$I$5:$I$104,MATCH($B192,'Key Inventory'!$A$5:$A$104,0))),"")</f>
        <v/>
      </c>
      <c r="Y192" s="25">
        <f>IFERROR(IF(AND(OR($V192="Checked Out",$V192="Overdue"),$X192&gt;=Dashboard!$B$9),"Review",""),"")</f>
        <v/>
      </c>
      <c r="Z192" s="24" t="n"/>
      <c r="AA192" s="25">
        <f>IFERROR(IF(OR($V192="Checked Out",$V192="Overdue"),$B192,""),"")</f>
        <v/>
      </c>
    </row>
    <row r="193">
      <c r="A193" s="24" t="n"/>
      <c r="B193" s="24" t="n"/>
      <c r="C193" s="25">
        <f>IFERROR(IF($B193="","",INDEX('Key Inventory'!$B$5:$B$104,MATCH($B193,'Key Inventory'!$A$5:$A$104,0))),"")</f>
        <v/>
      </c>
      <c r="D193" s="25">
        <f>IFERROR(IF($B193="","",INDEX('Key Inventory'!$C$5:$C$104,MATCH($B193,'Key Inventory'!$A$5:$A$104,0))),"")</f>
        <v/>
      </c>
      <c r="E193" s="25">
        <f>IFERROR(IF($B193="","",INDEX('Key Inventory'!$D$5:$D$104,MATCH($B193,'Key Inventory'!$A$5:$A$104,0))),"")</f>
        <v/>
      </c>
      <c r="F193" s="24" t="n"/>
      <c r="G193" s="24" t="n"/>
      <c r="H193" s="24" t="n"/>
      <c r="I193" s="24" t="n"/>
      <c r="J193" s="24" t="n"/>
      <c r="K193" s="24" t="n"/>
      <c r="L193" s="26" t="n"/>
      <c r="M193" s="27" t="n"/>
      <c r="N193" s="26" t="n"/>
      <c r="O193" s="27" t="n"/>
      <c r="P193" s="26" t="n"/>
      <c r="Q193" s="27" t="n"/>
      <c r="R193" s="24" t="n"/>
      <c r="S193" s="24" t="n"/>
      <c r="T193" s="24" t="n"/>
      <c r="U193" s="24" t="n"/>
      <c r="V193" s="25">
        <f>IFERROR(IF(OR($A193="",$B193=""),"",IF($P193&lt;&gt;"","Returned",IF(NOW()&gt;$N193+$O193+(Dashboard!$B$7/24),"Overdue","Checked Out"))),"")</f>
        <v/>
      </c>
      <c r="W193" s="28">
        <f>IFERROR(IF($L193="","",MAX(0,24*((IF($P193&lt;&gt;"",$P193+$Q193,NOW()))-($L193+$M193)))),"")</f>
        <v/>
      </c>
      <c r="X193" s="29">
        <f>IFERROR(IF($B193="","",INDEX('Key Inventory'!$I$5:$I$104,MATCH($B193,'Key Inventory'!$A$5:$A$104,0))),"")</f>
        <v/>
      </c>
      <c r="Y193" s="25">
        <f>IFERROR(IF(AND(OR($V193="Checked Out",$V193="Overdue"),$X193&gt;=Dashboard!$B$9),"Review",""),"")</f>
        <v/>
      </c>
      <c r="Z193" s="24" t="n"/>
      <c r="AA193" s="25">
        <f>IFERROR(IF(OR($V193="Checked Out",$V193="Overdue"),$B193,""),"")</f>
        <v/>
      </c>
    </row>
    <row r="194">
      <c r="A194" s="24" t="n"/>
      <c r="B194" s="24" t="n"/>
      <c r="C194" s="25">
        <f>IFERROR(IF($B194="","",INDEX('Key Inventory'!$B$5:$B$104,MATCH($B194,'Key Inventory'!$A$5:$A$104,0))),"")</f>
        <v/>
      </c>
      <c r="D194" s="25">
        <f>IFERROR(IF($B194="","",INDEX('Key Inventory'!$C$5:$C$104,MATCH($B194,'Key Inventory'!$A$5:$A$104,0))),"")</f>
        <v/>
      </c>
      <c r="E194" s="25">
        <f>IFERROR(IF($B194="","",INDEX('Key Inventory'!$D$5:$D$104,MATCH($B194,'Key Inventory'!$A$5:$A$104,0))),"")</f>
        <v/>
      </c>
      <c r="F194" s="24" t="n"/>
      <c r="G194" s="24" t="n"/>
      <c r="H194" s="24" t="n"/>
      <c r="I194" s="24" t="n"/>
      <c r="J194" s="24" t="n"/>
      <c r="K194" s="24" t="n"/>
      <c r="L194" s="26" t="n"/>
      <c r="M194" s="27" t="n"/>
      <c r="N194" s="26" t="n"/>
      <c r="O194" s="27" t="n"/>
      <c r="P194" s="26" t="n"/>
      <c r="Q194" s="27" t="n"/>
      <c r="R194" s="24" t="n"/>
      <c r="S194" s="24" t="n"/>
      <c r="T194" s="24" t="n"/>
      <c r="U194" s="24" t="n"/>
      <c r="V194" s="25">
        <f>IFERROR(IF(OR($A194="",$B194=""),"",IF($P194&lt;&gt;"","Returned",IF(NOW()&gt;$N194+$O194+(Dashboard!$B$7/24),"Overdue","Checked Out"))),"")</f>
        <v/>
      </c>
      <c r="W194" s="28">
        <f>IFERROR(IF($L194="","",MAX(0,24*((IF($P194&lt;&gt;"",$P194+$Q194,NOW()))-($L194+$M194)))),"")</f>
        <v/>
      </c>
      <c r="X194" s="29">
        <f>IFERROR(IF($B194="","",INDEX('Key Inventory'!$I$5:$I$104,MATCH($B194,'Key Inventory'!$A$5:$A$104,0))),"")</f>
        <v/>
      </c>
      <c r="Y194" s="25">
        <f>IFERROR(IF(AND(OR($V194="Checked Out",$V194="Overdue"),$X194&gt;=Dashboard!$B$9),"Review",""),"")</f>
        <v/>
      </c>
      <c r="Z194" s="24" t="n"/>
      <c r="AA194" s="25">
        <f>IFERROR(IF(OR($V194="Checked Out",$V194="Overdue"),$B194,""),"")</f>
        <v/>
      </c>
    </row>
    <row r="195">
      <c r="A195" s="24" t="n"/>
      <c r="B195" s="24" t="n"/>
      <c r="C195" s="25">
        <f>IFERROR(IF($B195="","",INDEX('Key Inventory'!$B$5:$B$104,MATCH($B195,'Key Inventory'!$A$5:$A$104,0))),"")</f>
        <v/>
      </c>
      <c r="D195" s="25">
        <f>IFERROR(IF($B195="","",INDEX('Key Inventory'!$C$5:$C$104,MATCH($B195,'Key Inventory'!$A$5:$A$104,0))),"")</f>
        <v/>
      </c>
      <c r="E195" s="25">
        <f>IFERROR(IF($B195="","",INDEX('Key Inventory'!$D$5:$D$104,MATCH($B195,'Key Inventory'!$A$5:$A$104,0))),"")</f>
        <v/>
      </c>
      <c r="F195" s="24" t="n"/>
      <c r="G195" s="24" t="n"/>
      <c r="H195" s="24" t="n"/>
      <c r="I195" s="24" t="n"/>
      <c r="J195" s="24" t="n"/>
      <c r="K195" s="24" t="n"/>
      <c r="L195" s="26" t="n"/>
      <c r="M195" s="27" t="n"/>
      <c r="N195" s="26" t="n"/>
      <c r="O195" s="27" t="n"/>
      <c r="P195" s="26" t="n"/>
      <c r="Q195" s="27" t="n"/>
      <c r="R195" s="24" t="n"/>
      <c r="S195" s="24" t="n"/>
      <c r="T195" s="24" t="n"/>
      <c r="U195" s="24" t="n"/>
      <c r="V195" s="25">
        <f>IFERROR(IF(OR($A195="",$B195=""),"",IF($P195&lt;&gt;"","Returned",IF(NOW()&gt;$N195+$O195+(Dashboard!$B$7/24),"Overdue","Checked Out"))),"")</f>
        <v/>
      </c>
      <c r="W195" s="28">
        <f>IFERROR(IF($L195="","",MAX(0,24*((IF($P195&lt;&gt;"",$P195+$Q195,NOW()))-($L195+$M195)))),"")</f>
        <v/>
      </c>
      <c r="X195" s="29">
        <f>IFERROR(IF($B195="","",INDEX('Key Inventory'!$I$5:$I$104,MATCH($B195,'Key Inventory'!$A$5:$A$104,0))),"")</f>
        <v/>
      </c>
      <c r="Y195" s="25">
        <f>IFERROR(IF(AND(OR($V195="Checked Out",$V195="Overdue"),$X195&gt;=Dashboard!$B$9),"Review",""),"")</f>
        <v/>
      </c>
      <c r="Z195" s="24" t="n"/>
      <c r="AA195" s="25">
        <f>IFERROR(IF(OR($V195="Checked Out",$V195="Overdue"),$B195,""),"")</f>
        <v/>
      </c>
    </row>
    <row r="196">
      <c r="A196" s="24" t="n"/>
      <c r="B196" s="24" t="n"/>
      <c r="C196" s="25">
        <f>IFERROR(IF($B196="","",INDEX('Key Inventory'!$B$5:$B$104,MATCH($B196,'Key Inventory'!$A$5:$A$104,0))),"")</f>
        <v/>
      </c>
      <c r="D196" s="25">
        <f>IFERROR(IF($B196="","",INDEX('Key Inventory'!$C$5:$C$104,MATCH($B196,'Key Inventory'!$A$5:$A$104,0))),"")</f>
        <v/>
      </c>
      <c r="E196" s="25">
        <f>IFERROR(IF($B196="","",INDEX('Key Inventory'!$D$5:$D$104,MATCH($B196,'Key Inventory'!$A$5:$A$104,0))),"")</f>
        <v/>
      </c>
      <c r="F196" s="24" t="n"/>
      <c r="G196" s="24" t="n"/>
      <c r="H196" s="24" t="n"/>
      <c r="I196" s="24" t="n"/>
      <c r="J196" s="24" t="n"/>
      <c r="K196" s="24" t="n"/>
      <c r="L196" s="26" t="n"/>
      <c r="M196" s="27" t="n"/>
      <c r="N196" s="26" t="n"/>
      <c r="O196" s="27" t="n"/>
      <c r="P196" s="26" t="n"/>
      <c r="Q196" s="27" t="n"/>
      <c r="R196" s="24" t="n"/>
      <c r="S196" s="24" t="n"/>
      <c r="T196" s="24" t="n"/>
      <c r="U196" s="24" t="n"/>
      <c r="V196" s="25">
        <f>IFERROR(IF(OR($A196="",$B196=""),"",IF($P196&lt;&gt;"","Returned",IF(NOW()&gt;$N196+$O196+(Dashboard!$B$7/24),"Overdue","Checked Out"))),"")</f>
        <v/>
      </c>
      <c r="W196" s="28">
        <f>IFERROR(IF($L196="","",MAX(0,24*((IF($P196&lt;&gt;"",$P196+$Q196,NOW()))-($L196+$M196)))),"")</f>
        <v/>
      </c>
      <c r="X196" s="29">
        <f>IFERROR(IF($B196="","",INDEX('Key Inventory'!$I$5:$I$104,MATCH($B196,'Key Inventory'!$A$5:$A$104,0))),"")</f>
        <v/>
      </c>
      <c r="Y196" s="25">
        <f>IFERROR(IF(AND(OR($V196="Checked Out",$V196="Overdue"),$X196&gt;=Dashboard!$B$9),"Review",""),"")</f>
        <v/>
      </c>
      <c r="Z196" s="24" t="n"/>
      <c r="AA196" s="25">
        <f>IFERROR(IF(OR($V196="Checked Out",$V196="Overdue"),$B196,""),"")</f>
        <v/>
      </c>
    </row>
    <row r="197">
      <c r="A197" s="24" t="n"/>
      <c r="B197" s="24" t="n"/>
      <c r="C197" s="25">
        <f>IFERROR(IF($B197="","",INDEX('Key Inventory'!$B$5:$B$104,MATCH($B197,'Key Inventory'!$A$5:$A$104,0))),"")</f>
        <v/>
      </c>
      <c r="D197" s="25">
        <f>IFERROR(IF($B197="","",INDEX('Key Inventory'!$C$5:$C$104,MATCH($B197,'Key Inventory'!$A$5:$A$104,0))),"")</f>
        <v/>
      </c>
      <c r="E197" s="25">
        <f>IFERROR(IF($B197="","",INDEX('Key Inventory'!$D$5:$D$104,MATCH($B197,'Key Inventory'!$A$5:$A$104,0))),"")</f>
        <v/>
      </c>
      <c r="F197" s="24" t="n"/>
      <c r="G197" s="24" t="n"/>
      <c r="H197" s="24" t="n"/>
      <c r="I197" s="24" t="n"/>
      <c r="J197" s="24" t="n"/>
      <c r="K197" s="24" t="n"/>
      <c r="L197" s="26" t="n"/>
      <c r="M197" s="27" t="n"/>
      <c r="N197" s="26" t="n"/>
      <c r="O197" s="27" t="n"/>
      <c r="P197" s="26" t="n"/>
      <c r="Q197" s="27" t="n"/>
      <c r="R197" s="24" t="n"/>
      <c r="S197" s="24" t="n"/>
      <c r="T197" s="24" t="n"/>
      <c r="U197" s="24" t="n"/>
      <c r="V197" s="25">
        <f>IFERROR(IF(OR($A197="",$B197=""),"",IF($P197&lt;&gt;"","Returned",IF(NOW()&gt;$N197+$O197+(Dashboard!$B$7/24),"Overdue","Checked Out"))),"")</f>
        <v/>
      </c>
      <c r="W197" s="28">
        <f>IFERROR(IF($L197="","",MAX(0,24*((IF($P197&lt;&gt;"",$P197+$Q197,NOW()))-($L197+$M197)))),"")</f>
        <v/>
      </c>
      <c r="X197" s="29">
        <f>IFERROR(IF($B197="","",INDEX('Key Inventory'!$I$5:$I$104,MATCH($B197,'Key Inventory'!$A$5:$A$104,0))),"")</f>
        <v/>
      </c>
      <c r="Y197" s="25">
        <f>IFERROR(IF(AND(OR($V197="Checked Out",$V197="Overdue"),$X197&gt;=Dashboard!$B$9),"Review",""),"")</f>
        <v/>
      </c>
      <c r="Z197" s="24" t="n"/>
      <c r="AA197" s="25">
        <f>IFERROR(IF(OR($V197="Checked Out",$V197="Overdue"),$B197,""),"")</f>
        <v/>
      </c>
    </row>
    <row r="198">
      <c r="A198" s="24" t="n"/>
      <c r="B198" s="24" t="n"/>
      <c r="C198" s="25">
        <f>IFERROR(IF($B198="","",INDEX('Key Inventory'!$B$5:$B$104,MATCH($B198,'Key Inventory'!$A$5:$A$104,0))),"")</f>
        <v/>
      </c>
      <c r="D198" s="25">
        <f>IFERROR(IF($B198="","",INDEX('Key Inventory'!$C$5:$C$104,MATCH($B198,'Key Inventory'!$A$5:$A$104,0))),"")</f>
        <v/>
      </c>
      <c r="E198" s="25">
        <f>IFERROR(IF($B198="","",INDEX('Key Inventory'!$D$5:$D$104,MATCH($B198,'Key Inventory'!$A$5:$A$104,0))),"")</f>
        <v/>
      </c>
      <c r="F198" s="24" t="n"/>
      <c r="G198" s="24" t="n"/>
      <c r="H198" s="24" t="n"/>
      <c r="I198" s="24" t="n"/>
      <c r="J198" s="24" t="n"/>
      <c r="K198" s="24" t="n"/>
      <c r="L198" s="26" t="n"/>
      <c r="M198" s="27" t="n"/>
      <c r="N198" s="26" t="n"/>
      <c r="O198" s="27" t="n"/>
      <c r="P198" s="26" t="n"/>
      <c r="Q198" s="27" t="n"/>
      <c r="R198" s="24" t="n"/>
      <c r="S198" s="24" t="n"/>
      <c r="T198" s="24" t="n"/>
      <c r="U198" s="24" t="n"/>
      <c r="V198" s="25">
        <f>IFERROR(IF(OR($A198="",$B198=""),"",IF($P198&lt;&gt;"","Returned",IF(NOW()&gt;$N198+$O198+(Dashboard!$B$7/24),"Overdue","Checked Out"))),"")</f>
        <v/>
      </c>
      <c r="W198" s="28">
        <f>IFERROR(IF($L198="","",MAX(0,24*((IF($P198&lt;&gt;"",$P198+$Q198,NOW()))-($L198+$M198)))),"")</f>
        <v/>
      </c>
      <c r="X198" s="29">
        <f>IFERROR(IF($B198="","",INDEX('Key Inventory'!$I$5:$I$104,MATCH($B198,'Key Inventory'!$A$5:$A$104,0))),"")</f>
        <v/>
      </c>
      <c r="Y198" s="25">
        <f>IFERROR(IF(AND(OR($V198="Checked Out",$V198="Overdue"),$X198&gt;=Dashboard!$B$9),"Review",""),"")</f>
        <v/>
      </c>
      <c r="Z198" s="24" t="n"/>
      <c r="AA198" s="25">
        <f>IFERROR(IF(OR($V198="Checked Out",$V198="Overdue"),$B198,""),"")</f>
        <v/>
      </c>
    </row>
    <row r="199">
      <c r="A199" s="24" t="n"/>
      <c r="B199" s="24" t="n"/>
      <c r="C199" s="25">
        <f>IFERROR(IF($B199="","",INDEX('Key Inventory'!$B$5:$B$104,MATCH($B199,'Key Inventory'!$A$5:$A$104,0))),"")</f>
        <v/>
      </c>
      <c r="D199" s="25">
        <f>IFERROR(IF($B199="","",INDEX('Key Inventory'!$C$5:$C$104,MATCH($B199,'Key Inventory'!$A$5:$A$104,0))),"")</f>
        <v/>
      </c>
      <c r="E199" s="25">
        <f>IFERROR(IF($B199="","",INDEX('Key Inventory'!$D$5:$D$104,MATCH($B199,'Key Inventory'!$A$5:$A$104,0))),"")</f>
        <v/>
      </c>
      <c r="F199" s="24" t="n"/>
      <c r="G199" s="24" t="n"/>
      <c r="H199" s="24" t="n"/>
      <c r="I199" s="24" t="n"/>
      <c r="J199" s="24" t="n"/>
      <c r="K199" s="24" t="n"/>
      <c r="L199" s="26" t="n"/>
      <c r="M199" s="27" t="n"/>
      <c r="N199" s="26" t="n"/>
      <c r="O199" s="27" t="n"/>
      <c r="P199" s="26" t="n"/>
      <c r="Q199" s="27" t="n"/>
      <c r="R199" s="24" t="n"/>
      <c r="S199" s="24" t="n"/>
      <c r="T199" s="24" t="n"/>
      <c r="U199" s="24" t="n"/>
      <c r="V199" s="25">
        <f>IFERROR(IF(OR($A199="",$B199=""),"",IF($P199&lt;&gt;"","Returned",IF(NOW()&gt;$N199+$O199+(Dashboard!$B$7/24),"Overdue","Checked Out"))),"")</f>
        <v/>
      </c>
      <c r="W199" s="28">
        <f>IFERROR(IF($L199="","",MAX(0,24*((IF($P199&lt;&gt;"",$P199+$Q199,NOW()))-($L199+$M199)))),"")</f>
        <v/>
      </c>
      <c r="X199" s="29">
        <f>IFERROR(IF($B199="","",INDEX('Key Inventory'!$I$5:$I$104,MATCH($B199,'Key Inventory'!$A$5:$A$104,0))),"")</f>
        <v/>
      </c>
      <c r="Y199" s="25">
        <f>IFERROR(IF(AND(OR($V199="Checked Out",$V199="Overdue"),$X199&gt;=Dashboard!$B$9),"Review",""),"")</f>
        <v/>
      </c>
      <c r="Z199" s="24" t="n"/>
      <c r="AA199" s="25">
        <f>IFERROR(IF(OR($V199="Checked Out",$V199="Overdue"),$B199,""),"")</f>
        <v/>
      </c>
    </row>
    <row r="200">
      <c r="A200" s="24" t="n"/>
      <c r="B200" s="24" t="n"/>
      <c r="C200" s="25">
        <f>IFERROR(IF($B200="","",INDEX('Key Inventory'!$B$5:$B$104,MATCH($B200,'Key Inventory'!$A$5:$A$104,0))),"")</f>
        <v/>
      </c>
      <c r="D200" s="25">
        <f>IFERROR(IF($B200="","",INDEX('Key Inventory'!$C$5:$C$104,MATCH($B200,'Key Inventory'!$A$5:$A$104,0))),"")</f>
        <v/>
      </c>
      <c r="E200" s="25">
        <f>IFERROR(IF($B200="","",INDEX('Key Inventory'!$D$5:$D$104,MATCH($B200,'Key Inventory'!$A$5:$A$104,0))),"")</f>
        <v/>
      </c>
      <c r="F200" s="24" t="n"/>
      <c r="G200" s="24" t="n"/>
      <c r="H200" s="24" t="n"/>
      <c r="I200" s="24" t="n"/>
      <c r="J200" s="24" t="n"/>
      <c r="K200" s="24" t="n"/>
      <c r="L200" s="26" t="n"/>
      <c r="M200" s="27" t="n"/>
      <c r="N200" s="26" t="n"/>
      <c r="O200" s="27" t="n"/>
      <c r="P200" s="26" t="n"/>
      <c r="Q200" s="27" t="n"/>
      <c r="R200" s="24" t="n"/>
      <c r="S200" s="24" t="n"/>
      <c r="T200" s="24" t="n"/>
      <c r="U200" s="24" t="n"/>
      <c r="V200" s="25">
        <f>IFERROR(IF(OR($A200="",$B200=""),"",IF($P200&lt;&gt;"","Returned",IF(NOW()&gt;$N200+$O200+(Dashboard!$B$7/24),"Overdue","Checked Out"))),"")</f>
        <v/>
      </c>
      <c r="W200" s="28">
        <f>IFERROR(IF($L200="","",MAX(0,24*((IF($P200&lt;&gt;"",$P200+$Q200,NOW()))-($L200+$M200)))),"")</f>
        <v/>
      </c>
      <c r="X200" s="29">
        <f>IFERROR(IF($B200="","",INDEX('Key Inventory'!$I$5:$I$104,MATCH($B200,'Key Inventory'!$A$5:$A$104,0))),"")</f>
        <v/>
      </c>
      <c r="Y200" s="25">
        <f>IFERROR(IF(AND(OR($V200="Checked Out",$V200="Overdue"),$X200&gt;=Dashboard!$B$9),"Review",""),"")</f>
        <v/>
      </c>
      <c r="Z200" s="24" t="n"/>
      <c r="AA200" s="25">
        <f>IFERROR(IF(OR($V200="Checked Out",$V200="Overdue"),$B200,""),"")</f>
        <v/>
      </c>
    </row>
    <row r="201">
      <c r="A201" s="24" t="n"/>
      <c r="B201" s="24" t="n"/>
      <c r="C201" s="25">
        <f>IFERROR(IF($B201="","",INDEX('Key Inventory'!$B$5:$B$104,MATCH($B201,'Key Inventory'!$A$5:$A$104,0))),"")</f>
        <v/>
      </c>
      <c r="D201" s="25">
        <f>IFERROR(IF($B201="","",INDEX('Key Inventory'!$C$5:$C$104,MATCH($B201,'Key Inventory'!$A$5:$A$104,0))),"")</f>
        <v/>
      </c>
      <c r="E201" s="25">
        <f>IFERROR(IF($B201="","",INDEX('Key Inventory'!$D$5:$D$104,MATCH($B201,'Key Inventory'!$A$5:$A$104,0))),"")</f>
        <v/>
      </c>
      <c r="F201" s="24" t="n"/>
      <c r="G201" s="24" t="n"/>
      <c r="H201" s="24" t="n"/>
      <c r="I201" s="24" t="n"/>
      <c r="J201" s="24" t="n"/>
      <c r="K201" s="24" t="n"/>
      <c r="L201" s="26" t="n"/>
      <c r="M201" s="27" t="n"/>
      <c r="N201" s="26" t="n"/>
      <c r="O201" s="27" t="n"/>
      <c r="P201" s="26" t="n"/>
      <c r="Q201" s="27" t="n"/>
      <c r="R201" s="24" t="n"/>
      <c r="S201" s="24" t="n"/>
      <c r="T201" s="24" t="n"/>
      <c r="U201" s="24" t="n"/>
      <c r="V201" s="25">
        <f>IFERROR(IF(OR($A201="",$B201=""),"",IF($P201&lt;&gt;"","Returned",IF(NOW()&gt;$N201+$O201+(Dashboard!$B$7/24),"Overdue","Checked Out"))),"")</f>
        <v/>
      </c>
      <c r="W201" s="28">
        <f>IFERROR(IF($L201="","",MAX(0,24*((IF($P201&lt;&gt;"",$P201+$Q201,NOW()))-($L201+$M201)))),"")</f>
        <v/>
      </c>
      <c r="X201" s="29">
        <f>IFERROR(IF($B201="","",INDEX('Key Inventory'!$I$5:$I$104,MATCH($B201,'Key Inventory'!$A$5:$A$104,0))),"")</f>
        <v/>
      </c>
      <c r="Y201" s="25">
        <f>IFERROR(IF(AND(OR($V201="Checked Out",$V201="Overdue"),$X201&gt;=Dashboard!$B$9),"Review",""),"")</f>
        <v/>
      </c>
      <c r="Z201" s="24" t="n"/>
      <c r="AA201" s="25">
        <f>IFERROR(IF(OR($V201="Checked Out",$V201="Overdue"),$B201,""),"")</f>
        <v/>
      </c>
    </row>
    <row r="202">
      <c r="A202" s="24" t="n"/>
      <c r="B202" s="24" t="n"/>
      <c r="C202" s="25">
        <f>IFERROR(IF($B202="","",INDEX('Key Inventory'!$B$5:$B$104,MATCH($B202,'Key Inventory'!$A$5:$A$104,0))),"")</f>
        <v/>
      </c>
      <c r="D202" s="25">
        <f>IFERROR(IF($B202="","",INDEX('Key Inventory'!$C$5:$C$104,MATCH($B202,'Key Inventory'!$A$5:$A$104,0))),"")</f>
        <v/>
      </c>
      <c r="E202" s="25">
        <f>IFERROR(IF($B202="","",INDEX('Key Inventory'!$D$5:$D$104,MATCH($B202,'Key Inventory'!$A$5:$A$104,0))),"")</f>
        <v/>
      </c>
      <c r="F202" s="24" t="n"/>
      <c r="G202" s="24" t="n"/>
      <c r="H202" s="24" t="n"/>
      <c r="I202" s="24" t="n"/>
      <c r="J202" s="24" t="n"/>
      <c r="K202" s="24" t="n"/>
      <c r="L202" s="26" t="n"/>
      <c r="M202" s="27" t="n"/>
      <c r="N202" s="26" t="n"/>
      <c r="O202" s="27" t="n"/>
      <c r="P202" s="26" t="n"/>
      <c r="Q202" s="27" t="n"/>
      <c r="R202" s="24" t="n"/>
      <c r="S202" s="24" t="n"/>
      <c r="T202" s="24" t="n"/>
      <c r="U202" s="24" t="n"/>
      <c r="V202" s="25">
        <f>IFERROR(IF(OR($A202="",$B202=""),"",IF($P202&lt;&gt;"","Returned",IF(NOW()&gt;$N202+$O202+(Dashboard!$B$7/24),"Overdue","Checked Out"))),"")</f>
        <v/>
      </c>
      <c r="W202" s="28">
        <f>IFERROR(IF($L202="","",MAX(0,24*((IF($P202&lt;&gt;"",$P202+$Q202,NOW()))-($L202+$M202)))),"")</f>
        <v/>
      </c>
      <c r="X202" s="29">
        <f>IFERROR(IF($B202="","",INDEX('Key Inventory'!$I$5:$I$104,MATCH($B202,'Key Inventory'!$A$5:$A$104,0))),"")</f>
        <v/>
      </c>
      <c r="Y202" s="25">
        <f>IFERROR(IF(AND(OR($V202="Checked Out",$V202="Overdue"),$X202&gt;=Dashboard!$B$9),"Review",""),"")</f>
        <v/>
      </c>
      <c r="Z202" s="24" t="n"/>
      <c r="AA202" s="25">
        <f>IFERROR(IF(OR($V202="Checked Out",$V202="Overdue"),$B202,""),"")</f>
        <v/>
      </c>
    </row>
    <row r="203">
      <c r="A203" s="24" t="n"/>
      <c r="B203" s="24" t="n"/>
      <c r="C203" s="25">
        <f>IFERROR(IF($B203="","",INDEX('Key Inventory'!$B$5:$B$104,MATCH($B203,'Key Inventory'!$A$5:$A$104,0))),"")</f>
        <v/>
      </c>
      <c r="D203" s="25">
        <f>IFERROR(IF($B203="","",INDEX('Key Inventory'!$C$5:$C$104,MATCH($B203,'Key Inventory'!$A$5:$A$104,0))),"")</f>
        <v/>
      </c>
      <c r="E203" s="25">
        <f>IFERROR(IF($B203="","",INDEX('Key Inventory'!$D$5:$D$104,MATCH($B203,'Key Inventory'!$A$5:$A$104,0))),"")</f>
        <v/>
      </c>
      <c r="F203" s="24" t="n"/>
      <c r="G203" s="24" t="n"/>
      <c r="H203" s="24" t="n"/>
      <c r="I203" s="24" t="n"/>
      <c r="J203" s="24" t="n"/>
      <c r="K203" s="24" t="n"/>
      <c r="L203" s="26" t="n"/>
      <c r="M203" s="27" t="n"/>
      <c r="N203" s="26" t="n"/>
      <c r="O203" s="27" t="n"/>
      <c r="P203" s="26" t="n"/>
      <c r="Q203" s="27" t="n"/>
      <c r="R203" s="24" t="n"/>
      <c r="S203" s="24" t="n"/>
      <c r="T203" s="24" t="n"/>
      <c r="U203" s="24" t="n"/>
      <c r="V203" s="25">
        <f>IFERROR(IF(OR($A203="",$B203=""),"",IF($P203&lt;&gt;"","Returned",IF(NOW()&gt;$N203+$O203+(Dashboard!$B$7/24),"Overdue","Checked Out"))),"")</f>
        <v/>
      </c>
      <c r="W203" s="28">
        <f>IFERROR(IF($L203="","",MAX(0,24*((IF($P203&lt;&gt;"",$P203+$Q203,NOW()))-($L203+$M203)))),"")</f>
        <v/>
      </c>
      <c r="X203" s="29">
        <f>IFERROR(IF($B203="","",INDEX('Key Inventory'!$I$5:$I$104,MATCH($B203,'Key Inventory'!$A$5:$A$104,0))),"")</f>
        <v/>
      </c>
      <c r="Y203" s="25">
        <f>IFERROR(IF(AND(OR($V203="Checked Out",$V203="Overdue"),$X203&gt;=Dashboard!$B$9),"Review",""),"")</f>
        <v/>
      </c>
      <c r="Z203" s="24" t="n"/>
      <c r="AA203" s="25">
        <f>IFERROR(IF(OR($V203="Checked Out",$V203="Overdue"),$B203,""),"")</f>
        <v/>
      </c>
    </row>
    <row r="204">
      <c r="A204" s="24" t="n"/>
      <c r="B204" s="24" t="n"/>
      <c r="C204" s="25">
        <f>IFERROR(IF($B204="","",INDEX('Key Inventory'!$B$5:$B$104,MATCH($B204,'Key Inventory'!$A$5:$A$104,0))),"")</f>
        <v/>
      </c>
      <c r="D204" s="25">
        <f>IFERROR(IF($B204="","",INDEX('Key Inventory'!$C$5:$C$104,MATCH($B204,'Key Inventory'!$A$5:$A$104,0))),"")</f>
        <v/>
      </c>
      <c r="E204" s="25">
        <f>IFERROR(IF($B204="","",INDEX('Key Inventory'!$D$5:$D$104,MATCH($B204,'Key Inventory'!$A$5:$A$104,0))),"")</f>
        <v/>
      </c>
      <c r="F204" s="24" t="n"/>
      <c r="G204" s="24" t="n"/>
      <c r="H204" s="24" t="n"/>
      <c r="I204" s="24" t="n"/>
      <c r="J204" s="24" t="n"/>
      <c r="K204" s="24" t="n"/>
      <c r="L204" s="26" t="n"/>
      <c r="M204" s="27" t="n"/>
      <c r="N204" s="26" t="n"/>
      <c r="O204" s="27" t="n"/>
      <c r="P204" s="26" t="n"/>
      <c r="Q204" s="27" t="n"/>
      <c r="R204" s="24" t="n"/>
      <c r="S204" s="24" t="n"/>
      <c r="T204" s="24" t="n"/>
      <c r="U204" s="24" t="n"/>
      <c r="V204" s="25">
        <f>IFERROR(IF(OR($A204="",$B204=""),"",IF($P204&lt;&gt;"","Returned",IF(NOW()&gt;$N204+$O204+(Dashboard!$B$7/24),"Overdue","Checked Out"))),"")</f>
        <v/>
      </c>
      <c r="W204" s="28">
        <f>IFERROR(IF($L204="","",MAX(0,24*((IF($P204&lt;&gt;"",$P204+$Q204,NOW()))-($L204+$M204)))),"")</f>
        <v/>
      </c>
      <c r="X204" s="29">
        <f>IFERROR(IF($B204="","",INDEX('Key Inventory'!$I$5:$I$104,MATCH($B204,'Key Inventory'!$A$5:$A$104,0))),"")</f>
        <v/>
      </c>
      <c r="Y204" s="25">
        <f>IFERROR(IF(AND(OR($V204="Checked Out",$V204="Overdue"),$X204&gt;=Dashboard!$B$9),"Review",""),"")</f>
        <v/>
      </c>
      <c r="Z204" s="24" t="n"/>
      <c r="AA204" s="25">
        <f>IFERROR(IF(OR($V204="Checked Out",$V204="Overdue"),$B204,""),"")</f>
        <v/>
      </c>
    </row>
    <row r="205">
      <c r="A205" s="24" t="n"/>
      <c r="B205" s="24" t="n"/>
      <c r="C205" s="25">
        <f>IFERROR(IF($B205="","",INDEX('Key Inventory'!$B$5:$B$104,MATCH($B205,'Key Inventory'!$A$5:$A$104,0))),"")</f>
        <v/>
      </c>
      <c r="D205" s="25">
        <f>IFERROR(IF($B205="","",INDEX('Key Inventory'!$C$5:$C$104,MATCH($B205,'Key Inventory'!$A$5:$A$104,0))),"")</f>
        <v/>
      </c>
      <c r="E205" s="25">
        <f>IFERROR(IF($B205="","",INDEX('Key Inventory'!$D$5:$D$104,MATCH($B205,'Key Inventory'!$A$5:$A$104,0))),"")</f>
        <v/>
      </c>
      <c r="F205" s="24" t="n"/>
      <c r="G205" s="24" t="n"/>
      <c r="H205" s="24" t="n"/>
      <c r="I205" s="24" t="n"/>
      <c r="J205" s="24" t="n"/>
      <c r="K205" s="24" t="n"/>
      <c r="L205" s="26" t="n"/>
      <c r="M205" s="27" t="n"/>
      <c r="N205" s="26" t="n"/>
      <c r="O205" s="27" t="n"/>
      <c r="P205" s="26" t="n"/>
      <c r="Q205" s="27" t="n"/>
      <c r="R205" s="24" t="n"/>
      <c r="S205" s="24" t="n"/>
      <c r="T205" s="24" t="n"/>
      <c r="U205" s="24" t="n"/>
      <c r="V205" s="25">
        <f>IFERROR(IF(OR($A205="",$B205=""),"",IF($P205&lt;&gt;"","Returned",IF(NOW()&gt;$N205+$O205+(Dashboard!$B$7/24),"Overdue","Checked Out"))),"")</f>
        <v/>
      </c>
      <c r="W205" s="28">
        <f>IFERROR(IF($L205="","",MAX(0,24*((IF($P205&lt;&gt;"",$P205+$Q205,NOW()))-($L205+$M205)))),"")</f>
        <v/>
      </c>
      <c r="X205" s="29">
        <f>IFERROR(IF($B205="","",INDEX('Key Inventory'!$I$5:$I$104,MATCH($B205,'Key Inventory'!$A$5:$A$104,0))),"")</f>
        <v/>
      </c>
      <c r="Y205" s="25">
        <f>IFERROR(IF(AND(OR($V205="Checked Out",$V205="Overdue"),$X205&gt;=Dashboard!$B$9),"Review",""),"")</f>
        <v/>
      </c>
      <c r="Z205" s="24" t="n"/>
      <c r="AA205" s="25">
        <f>IFERROR(IF(OR($V205="Checked Out",$V205="Overdue"),$B205,""),"")</f>
        <v/>
      </c>
    </row>
    <row r="206">
      <c r="A206" s="24" t="n"/>
      <c r="B206" s="24" t="n"/>
      <c r="C206" s="25">
        <f>IFERROR(IF($B206="","",INDEX('Key Inventory'!$B$5:$B$104,MATCH($B206,'Key Inventory'!$A$5:$A$104,0))),"")</f>
        <v/>
      </c>
      <c r="D206" s="25">
        <f>IFERROR(IF($B206="","",INDEX('Key Inventory'!$C$5:$C$104,MATCH($B206,'Key Inventory'!$A$5:$A$104,0))),"")</f>
        <v/>
      </c>
      <c r="E206" s="25">
        <f>IFERROR(IF($B206="","",INDEX('Key Inventory'!$D$5:$D$104,MATCH($B206,'Key Inventory'!$A$5:$A$104,0))),"")</f>
        <v/>
      </c>
      <c r="F206" s="24" t="n"/>
      <c r="G206" s="24" t="n"/>
      <c r="H206" s="24" t="n"/>
      <c r="I206" s="24" t="n"/>
      <c r="J206" s="24" t="n"/>
      <c r="K206" s="24" t="n"/>
      <c r="L206" s="26" t="n"/>
      <c r="M206" s="27" t="n"/>
      <c r="N206" s="26" t="n"/>
      <c r="O206" s="27" t="n"/>
      <c r="P206" s="26" t="n"/>
      <c r="Q206" s="27" t="n"/>
      <c r="R206" s="24" t="n"/>
      <c r="S206" s="24" t="n"/>
      <c r="T206" s="24" t="n"/>
      <c r="U206" s="24" t="n"/>
      <c r="V206" s="25">
        <f>IFERROR(IF(OR($A206="",$B206=""),"",IF($P206&lt;&gt;"","Returned",IF(NOW()&gt;$N206+$O206+(Dashboard!$B$7/24),"Overdue","Checked Out"))),"")</f>
        <v/>
      </c>
      <c r="W206" s="28">
        <f>IFERROR(IF($L206="","",MAX(0,24*((IF($P206&lt;&gt;"",$P206+$Q206,NOW()))-($L206+$M206)))),"")</f>
        <v/>
      </c>
      <c r="X206" s="29">
        <f>IFERROR(IF($B206="","",INDEX('Key Inventory'!$I$5:$I$104,MATCH($B206,'Key Inventory'!$A$5:$A$104,0))),"")</f>
        <v/>
      </c>
      <c r="Y206" s="25">
        <f>IFERROR(IF(AND(OR($V206="Checked Out",$V206="Overdue"),$X206&gt;=Dashboard!$B$9),"Review",""),"")</f>
        <v/>
      </c>
      <c r="Z206" s="24" t="n"/>
      <c r="AA206" s="25">
        <f>IFERROR(IF(OR($V206="Checked Out",$V206="Overdue"),$B206,""),"")</f>
        <v/>
      </c>
    </row>
    <row r="207">
      <c r="A207" s="24" t="n"/>
      <c r="B207" s="24" t="n"/>
      <c r="C207" s="25">
        <f>IFERROR(IF($B207="","",INDEX('Key Inventory'!$B$5:$B$104,MATCH($B207,'Key Inventory'!$A$5:$A$104,0))),"")</f>
        <v/>
      </c>
      <c r="D207" s="25">
        <f>IFERROR(IF($B207="","",INDEX('Key Inventory'!$C$5:$C$104,MATCH($B207,'Key Inventory'!$A$5:$A$104,0))),"")</f>
        <v/>
      </c>
      <c r="E207" s="25">
        <f>IFERROR(IF($B207="","",INDEX('Key Inventory'!$D$5:$D$104,MATCH($B207,'Key Inventory'!$A$5:$A$104,0))),"")</f>
        <v/>
      </c>
      <c r="F207" s="24" t="n"/>
      <c r="G207" s="24" t="n"/>
      <c r="H207" s="24" t="n"/>
      <c r="I207" s="24" t="n"/>
      <c r="J207" s="24" t="n"/>
      <c r="K207" s="24" t="n"/>
      <c r="L207" s="26" t="n"/>
      <c r="M207" s="27" t="n"/>
      <c r="N207" s="26" t="n"/>
      <c r="O207" s="27" t="n"/>
      <c r="P207" s="26" t="n"/>
      <c r="Q207" s="27" t="n"/>
      <c r="R207" s="24" t="n"/>
      <c r="S207" s="24" t="n"/>
      <c r="T207" s="24" t="n"/>
      <c r="U207" s="24" t="n"/>
      <c r="V207" s="25">
        <f>IFERROR(IF(OR($A207="",$B207=""),"",IF($P207&lt;&gt;"","Returned",IF(NOW()&gt;$N207+$O207+(Dashboard!$B$7/24),"Overdue","Checked Out"))),"")</f>
        <v/>
      </c>
      <c r="W207" s="28">
        <f>IFERROR(IF($L207="","",MAX(0,24*((IF($P207&lt;&gt;"",$P207+$Q207,NOW()))-($L207+$M207)))),"")</f>
        <v/>
      </c>
      <c r="X207" s="29">
        <f>IFERROR(IF($B207="","",INDEX('Key Inventory'!$I$5:$I$104,MATCH($B207,'Key Inventory'!$A$5:$A$104,0))),"")</f>
        <v/>
      </c>
      <c r="Y207" s="25">
        <f>IFERROR(IF(AND(OR($V207="Checked Out",$V207="Overdue"),$X207&gt;=Dashboard!$B$9),"Review",""),"")</f>
        <v/>
      </c>
      <c r="Z207" s="24" t="n"/>
      <c r="AA207" s="25">
        <f>IFERROR(IF(OR($V207="Checked Out",$V207="Overdue"),$B207,""),"")</f>
        <v/>
      </c>
    </row>
    <row r="208">
      <c r="A208" s="24" t="n"/>
      <c r="B208" s="24" t="n"/>
      <c r="C208" s="25">
        <f>IFERROR(IF($B208="","",INDEX('Key Inventory'!$B$5:$B$104,MATCH($B208,'Key Inventory'!$A$5:$A$104,0))),"")</f>
        <v/>
      </c>
      <c r="D208" s="25">
        <f>IFERROR(IF($B208="","",INDEX('Key Inventory'!$C$5:$C$104,MATCH($B208,'Key Inventory'!$A$5:$A$104,0))),"")</f>
        <v/>
      </c>
      <c r="E208" s="25">
        <f>IFERROR(IF($B208="","",INDEX('Key Inventory'!$D$5:$D$104,MATCH($B208,'Key Inventory'!$A$5:$A$104,0))),"")</f>
        <v/>
      </c>
      <c r="F208" s="24" t="n"/>
      <c r="G208" s="24" t="n"/>
      <c r="H208" s="24" t="n"/>
      <c r="I208" s="24" t="n"/>
      <c r="J208" s="24" t="n"/>
      <c r="K208" s="24" t="n"/>
      <c r="L208" s="26" t="n"/>
      <c r="M208" s="27" t="n"/>
      <c r="N208" s="26" t="n"/>
      <c r="O208" s="27" t="n"/>
      <c r="P208" s="26" t="n"/>
      <c r="Q208" s="27" t="n"/>
      <c r="R208" s="24" t="n"/>
      <c r="S208" s="24" t="n"/>
      <c r="T208" s="24" t="n"/>
      <c r="U208" s="24" t="n"/>
      <c r="V208" s="25">
        <f>IFERROR(IF(OR($A208="",$B208=""),"",IF($P208&lt;&gt;"","Returned",IF(NOW()&gt;$N208+$O208+(Dashboard!$B$7/24),"Overdue","Checked Out"))),"")</f>
        <v/>
      </c>
      <c r="W208" s="28">
        <f>IFERROR(IF($L208="","",MAX(0,24*((IF($P208&lt;&gt;"",$P208+$Q208,NOW()))-($L208+$M208)))),"")</f>
        <v/>
      </c>
      <c r="X208" s="29">
        <f>IFERROR(IF($B208="","",INDEX('Key Inventory'!$I$5:$I$104,MATCH($B208,'Key Inventory'!$A$5:$A$104,0))),"")</f>
        <v/>
      </c>
      <c r="Y208" s="25">
        <f>IFERROR(IF(AND(OR($V208="Checked Out",$V208="Overdue"),$X208&gt;=Dashboard!$B$9),"Review",""),"")</f>
        <v/>
      </c>
      <c r="Z208" s="24" t="n"/>
      <c r="AA208" s="25">
        <f>IFERROR(IF(OR($V208="Checked Out",$V208="Overdue"),$B208,""),"")</f>
        <v/>
      </c>
    </row>
    <row r="209">
      <c r="A209" s="24" t="n"/>
      <c r="B209" s="24" t="n"/>
      <c r="C209" s="25">
        <f>IFERROR(IF($B209="","",INDEX('Key Inventory'!$B$5:$B$104,MATCH($B209,'Key Inventory'!$A$5:$A$104,0))),"")</f>
        <v/>
      </c>
      <c r="D209" s="25">
        <f>IFERROR(IF($B209="","",INDEX('Key Inventory'!$C$5:$C$104,MATCH($B209,'Key Inventory'!$A$5:$A$104,0))),"")</f>
        <v/>
      </c>
      <c r="E209" s="25">
        <f>IFERROR(IF($B209="","",INDEX('Key Inventory'!$D$5:$D$104,MATCH($B209,'Key Inventory'!$A$5:$A$104,0))),"")</f>
        <v/>
      </c>
      <c r="F209" s="24" t="n"/>
      <c r="G209" s="24" t="n"/>
      <c r="H209" s="24" t="n"/>
      <c r="I209" s="24" t="n"/>
      <c r="J209" s="24" t="n"/>
      <c r="K209" s="24" t="n"/>
      <c r="L209" s="26" t="n"/>
      <c r="M209" s="27" t="n"/>
      <c r="N209" s="26" t="n"/>
      <c r="O209" s="27" t="n"/>
      <c r="P209" s="26" t="n"/>
      <c r="Q209" s="27" t="n"/>
      <c r="R209" s="24" t="n"/>
      <c r="S209" s="24" t="n"/>
      <c r="T209" s="24" t="n"/>
      <c r="U209" s="24" t="n"/>
      <c r="V209" s="25">
        <f>IFERROR(IF(OR($A209="",$B209=""),"",IF($P209&lt;&gt;"","Returned",IF(NOW()&gt;$N209+$O209+(Dashboard!$B$7/24),"Overdue","Checked Out"))),"")</f>
        <v/>
      </c>
      <c r="W209" s="28">
        <f>IFERROR(IF($L209="","",MAX(0,24*((IF($P209&lt;&gt;"",$P209+$Q209,NOW()))-($L209+$M209)))),"")</f>
        <v/>
      </c>
      <c r="X209" s="29">
        <f>IFERROR(IF($B209="","",INDEX('Key Inventory'!$I$5:$I$104,MATCH($B209,'Key Inventory'!$A$5:$A$104,0))),"")</f>
        <v/>
      </c>
      <c r="Y209" s="25">
        <f>IFERROR(IF(AND(OR($V209="Checked Out",$V209="Overdue"),$X209&gt;=Dashboard!$B$9),"Review",""),"")</f>
        <v/>
      </c>
      <c r="Z209" s="24" t="n"/>
      <c r="AA209" s="25">
        <f>IFERROR(IF(OR($V209="Checked Out",$V209="Overdue"),$B209,""),"")</f>
        <v/>
      </c>
    </row>
    <row r="210">
      <c r="A210" s="24" t="n"/>
      <c r="B210" s="24" t="n"/>
      <c r="C210" s="25">
        <f>IFERROR(IF($B210="","",INDEX('Key Inventory'!$B$5:$B$104,MATCH($B210,'Key Inventory'!$A$5:$A$104,0))),"")</f>
        <v/>
      </c>
      <c r="D210" s="25">
        <f>IFERROR(IF($B210="","",INDEX('Key Inventory'!$C$5:$C$104,MATCH($B210,'Key Inventory'!$A$5:$A$104,0))),"")</f>
        <v/>
      </c>
      <c r="E210" s="25">
        <f>IFERROR(IF($B210="","",INDEX('Key Inventory'!$D$5:$D$104,MATCH($B210,'Key Inventory'!$A$5:$A$104,0))),"")</f>
        <v/>
      </c>
      <c r="F210" s="24" t="n"/>
      <c r="G210" s="24" t="n"/>
      <c r="H210" s="24" t="n"/>
      <c r="I210" s="24" t="n"/>
      <c r="J210" s="24" t="n"/>
      <c r="K210" s="24" t="n"/>
      <c r="L210" s="26" t="n"/>
      <c r="M210" s="27" t="n"/>
      <c r="N210" s="26" t="n"/>
      <c r="O210" s="27" t="n"/>
      <c r="P210" s="26" t="n"/>
      <c r="Q210" s="27" t="n"/>
      <c r="R210" s="24" t="n"/>
      <c r="S210" s="24" t="n"/>
      <c r="T210" s="24" t="n"/>
      <c r="U210" s="24" t="n"/>
      <c r="V210" s="25">
        <f>IFERROR(IF(OR($A210="",$B210=""),"",IF($P210&lt;&gt;"","Returned",IF(NOW()&gt;$N210+$O210+(Dashboard!$B$7/24),"Overdue","Checked Out"))),"")</f>
        <v/>
      </c>
      <c r="W210" s="28">
        <f>IFERROR(IF($L210="","",MAX(0,24*((IF($P210&lt;&gt;"",$P210+$Q210,NOW()))-($L210+$M210)))),"")</f>
        <v/>
      </c>
      <c r="X210" s="29">
        <f>IFERROR(IF($B210="","",INDEX('Key Inventory'!$I$5:$I$104,MATCH($B210,'Key Inventory'!$A$5:$A$104,0))),"")</f>
        <v/>
      </c>
      <c r="Y210" s="25">
        <f>IFERROR(IF(AND(OR($V210="Checked Out",$V210="Overdue"),$X210&gt;=Dashboard!$B$9),"Review",""),"")</f>
        <v/>
      </c>
      <c r="Z210" s="24" t="n"/>
      <c r="AA210" s="25">
        <f>IFERROR(IF(OR($V210="Checked Out",$V210="Overdue"),$B210,""),"")</f>
        <v/>
      </c>
    </row>
    <row r="211">
      <c r="A211" s="24" t="n"/>
      <c r="B211" s="24" t="n"/>
      <c r="C211" s="25">
        <f>IFERROR(IF($B211="","",INDEX('Key Inventory'!$B$5:$B$104,MATCH($B211,'Key Inventory'!$A$5:$A$104,0))),"")</f>
        <v/>
      </c>
      <c r="D211" s="25">
        <f>IFERROR(IF($B211="","",INDEX('Key Inventory'!$C$5:$C$104,MATCH($B211,'Key Inventory'!$A$5:$A$104,0))),"")</f>
        <v/>
      </c>
      <c r="E211" s="25">
        <f>IFERROR(IF($B211="","",INDEX('Key Inventory'!$D$5:$D$104,MATCH($B211,'Key Inventory'!$A$5:$A$104,0))),"")</f>
        <v/>
      </c>
      <c r="F211" s="24" t="n"/>
      <c r="G211" s="24" t="n"/>
      <c r="H211" s="24" t="n"/>
      <c r="I211" s="24" t="n"/>
      <c r="J211" s="24" t="n"/>
      <c r="K211" s="24" t="n"/>
      <c r="L211" s="26" t="n"/>
      <c r="M211" s="27" t="n"/>
      <c r="N211" s="26" t="n"/>
      <c r="O211" s="27" t="n"/>
      <c r="P211" s="26" t="n"/>
      <c r="Q211" s="27" t="n"/>
      <c r="R211" s="24" t="n"/>
      <c r="S211" s="24" t="n"/>
      <c r="T211" s="24" t="n"/>
      <c r="U211" s="24" t="n"/>
      <c r="V211" s="25">
        <f>IFERROR(IF(OR($A211="",$B211=""),"",IF($P211&lt;&gt;"","Returned",IF(NOW()&gt;$N211+$O211+(Dashboard!$B$7/24),"Overdue","Checked Out"))),"")</f>
        <v/>
      </c>
      <c r="W211" s="28">
        <f>IFERROR(IF($L211="","",MAX(0,24*((IF($P211&lt;&gt;"",$P211+$Q211,NOW()))-($L211+$M211)))),"")</f>
        <v/>
      </c>
      <c r="X211" s="29">
        <f>IFERROR(IF($B211="","",INDEX('Key Inventory'!$I$5:$I$104,MATCH($B211,'Key Inventory'!$A$5:$A$104,0))),"")</f>
        <v/>
      </c>
      <c r="Y211" s="25">
        <f>IFERROR(IF(AND(OR($V211="Checked Out",$V211="Overdue"),$X211&gt;=Dashboard!$B$9),"Review",""),"")</f>
        <v/>
      </c>
      <c r="Z211" s="24" t="n"/>
      <c r="AA211" s="25">
        <f>IFERROR(IF(OR($V211="Checked Out",$V211="Overdue"),$B211,""),"")</f>
        <v/>
      </c>
    </row>
    <row r="212">
      <c r="A212" s="24" t="n"/>
      <c r="B212" s="24" t="n"/>
      <c r="C212" s="25">
        <f>IFERROR(IF($B212="","",INDEX('Key Inventory'!$B$5:$B$104,MATCH($B212,'Key Inventory'!$A$5:$A$104,0))),"")</f>
        <v/>
      </c>
      <c r="D212" s="25">
        <f>IFERROR(IF($B212="","",INDEX('Key Inventory'!$C$5:$C$104,MATCH($B212,'Key Inventory'!$A$5:$A$104,0))),"")</f>
        <v/>
      </c>
      <c r="E212" s="25">
        <f>IFERROR(IF($B212="","",INDEX('Key Inventory'!$D$5:$D$104,MATCH($B212,'Key Inventory'!$A$5:$A$104,0))),"")</f>
        <v/>
      </c>
      <c r="F212" s="24" t="n"/>
      <c r="G212" s="24" t="n"/>
      <c r="H212" s="24" t="n"/>
      <c r="I212" s="24" t="n"/>
      <c r="J212" s="24" t="n"/>
      <c r="K212" s="24" t="n"/>
      <c r="L212" s="26" t="n"/>
      <c r="M212" s="27" t="n"/>
      <c r="N212" s="26" t="n"/>
      <c r="O212" s="27" t="n"/>
      <c r="P212" s="26" t="n"/>
      <c r="Q212" s="27" t="n"/>
      <c r="R212" s="24" t="n"/>
      <c r="S212" s="24" t="n"/>
      <c r="T212" s="24" t="n"/>
      <c r="U212" s="24" t="n"/>
      <c r="V212" s="25">
        <f>IFERROR(IF(OR($A212="",$B212=""),"",IF($P212&lt;&gt;"","Returned",IF(NOW()&gt;$N212+$O212+(Dashboard!$B$7/24),"Overdue","Checked Out"))),"")</f>
        <v/>
      </c>
      <c r="W212" s="28">
        <f>IFERROR(IF($L212="","",MAX(0,24*((IF($P212&lt;&gt;"",$P212+$Q212,NOW()))-($L212+$M212)))),"")</f>
        <v/>
      </c>
      <c r="X212" s="29">
        <f>IFERROR(IF($B212="","",INDEX('Key Inventory'!$I$5:$I$104,MATCH($B212,'Key Inventory'!$A$5:$A$104,0))),"")</f>
        <v/>
      </c>
      <c r="Y212" s="25">
        <f>IFERROR(IF(AND(OR($V212="Checked Out",$V212="Overdue"),$X212&gt;=Dashboard!$B$9),"Review",""),"")</f>
        <v/>
      </c>
      <c r="Z212" s="24" t="n"/>
      <c r="AA212" s="25">
        <f>IFERROR(IF(OR($V212="Checked Out",$V212="Overdue"),$B212,""),"")</f>
        <v/>
      </c>
    </row>
    <row r="213">
      <c r="A213" s="24" t="n"/>
      <c r="B213" s="24" t="n"/>
      <c r="C213" s="25">
        <f>IFERROR(IF($B213="","",INDEX('Key Inventory'!$B$5:$B$104,MATCH($B213,'Key Inventory'!$A$5:$A$104,0))),"")</f>
        <v/>
      </c>
      <c r="D213" s="25">
        <f>IFERROR(IF($B213="","",INDEX('Key Inventory'!$C$5:$C$104,MATCH($B213,'Key Inventory'!$A$5:$A$104,0))),"")</f>
        <v/>
      </c>
      <c r="E213" s="25">
        <f>IFERROR(IF($B213="","",INDEX('Key Inventory'!$D$5:$D$104,MATCH($B213,'Key Inventory'!$A$5:$A$104,0))),"")</f>
        <v/>
      </c>
      <c r="F213" s="24" t="n"/>
      <c r="G213" s="24" t="n"/>
      <c r="H213" s="24" t="n"/>
      <c r="I213" s="24" t="n"/>
      <c r="J213" s="24" t="n"/>
      <c r="K213" s="24" t="n"/>
      <c r="L213" s="26" t="n"/>
      <c r="M213" s="27" t="n"/>
      <c r="N213" s="26" t="n"/>
      <c r="O213" s="27" t="n"/>
      <c r="P213" s="26" t="n"/>
      <c r="Q213" s="27" t="n"/>
      <c r="R213" s="24" t="n"/>
      <c r="S213" s="24" t="n"/>
      <c r="T213" s="24" t="n"/>
      <c r="U213" s="24" t="n"/>
      <c r="V213" s="25">
        <f>IFERROR(IF(OR($A213="",$B213=""),"",IF($P213&lt;&gt;"","Returned",IF(NOW()&gt;$N213+$O213+(Dashboard!$B$7/24),"Overdue","Checked Out"))),"")</f>
        <v/>
      </c>
      <c r="W213" s="28">
        <f>IFERROR(IF($L213="","",MAX(0,24*((IF($P213&lt;&gt;"",$P213+$Q213,NOW()))-($L213+$M213)))),"")</f>
        <v/>
      </c>
      <c r="X213" s="29">
        <f>IFERROR(IF($B213="","",INDEX('Key Inventory'!$I$5:$I$104,MATCH($B213,'Key Inventory'!$A$5:$A$104,0))),"")</f>
        <v/>
      </c>
      <c r="Y213" s="25">
        <f>IFERROR(IF(AND(OR($V213="Checked Out",$V213="Overdue"),$X213&gt;=Dashboard!$B$9),"Review",""),"")</f>
        <v/>
      </c>
      <c r="Z213" s="24" t="n"/>
      <c r="AA213" s="25">
        <f>IFERROR(IF(OR($V213="Checked Out",$V213="Overdue"),$B213,""),"")</f>
        <v/>
      </c>
    </row>
    <row r="214">
      <c r="A214" s="24" t="n"/>
      <c r="B214" s="24" t="n"/>
      <c r="C214" s="25">
        <f>IFERROR(IF($B214="","",INDEX('Key Inventory'!$B$5:$B$104,MATCH($B214,'Key Inventory'!$A$5:$A$104,0))),"")</f>
        <v/>
      </c>
      <c r="D214" s="25">
        <f>IFERROR(IF($B214="","",INDEX('Key Inventory'!$C$5:$C$104,MATCH($B214,'Key Inventory'!$A$5:$A$104,0))),"")</f>
        <v/>
      </c>
      <c r="E214" s="25">
        <f>IFERROR(IF($B214="","",INDEX('Key Inventory'!$D$5:$D$104,MATCH($B214,'Key Inventory'!$A$5:$A$104,0))),"")</f>
        <v/>
      </c>
      <c r="F214" s="24" t="n"/>
      <c r="G214" s="24" t="n"/>
      <c r="H214" s="24" t="n"/>
      <c r="I214" s="24" t="n"/>
      <c r="J214" s="24" t="n"/>
      <c r="K214" s="24" t="n"/>
      <c r="L214" s="26" t="n"/>
      <c r="M214" s="27" t="n"/>
      <c r="N214" s="26" t="n"/>
      <c r="O214" s="27" t="n"/>
      <c r="P214" s="26" t="n"/>
      <c r="Q214" s="27" t="n"/>
      <c r="R214" s="24" t="n"/>
      <c r="S214" s="24" t="n"/>
      <c r="T214" s="24" t="n"/>
      <c r="U214" s="24" t="n"/>
      <c r="V214" s="25">
        <f>IFERROR(IF(OR($A214="",$B214=""),"",IF($P214&lt;&gt;"","Returned",IF(NOW()&gt;$N214+$O214+(Dashboard!$B$7/24),"Overdue","Checked Out"))),"")</f>
        <v/>
      </c>
      <c r="W214" s="28">
        <f>IFERROR(IF($L214="","",MAX(0,24*((IF($P214&lt;&gt;"",$P214+$Q214,NOW()))-($L214+$M214)))),"")</f>
        <v/>
      </c>
      <c r="X214" s="29">
        <f>IFERROR(IF($B214="","",INDEX('Key Inventory'!$I$5:$I$104,MATCH($B214,'Key Inventory'!$A$5:$A$104,0))),"")</f>
        <v/>
      </c>
      <c r="Y214" s="25">
        <f>IFERROR(IF(AND(OR($V214="Checked Out",$V214="Overdue"),$X214&gt;=Dashboard!$B$9),"Review",""),"")</f>
        <v/>
      </c>
      <c r="Z214" s="24" t="n"/>
      <c r="AA214" s="25">
        <f>IFERROR(IF(OR($V214="Checked Out",$V214="Overdue"),$B214,""),"")</f>
        <v/>
      </c>
    </row>
    <row r="215">
      <c r="A215" s="24" t="n"/>
      <c r="B215" s="24" t="n"/>
      <c r="C215" s="25">
        <f>IFERROR(IF($B215="","",INDEX('Key Inventory'!$B$5:$B$104,MATCH($B215,'Key Inventory'!$A$5:$A$104,0))),"")</f>
        <v/>
      </c>
      <c r="D215" s="25">
        <f>IFERROR(IF($B215="","",INDEX('Key Inventory'!$C$5:$C$104,MATCH($B215,'Key Inventory'!$A$5:$A$104,0))),"")</f>
        <v/>
      </c>
      <c r="E215" s="25">
        <f>IFERROR(IF($B215="","",INDEX('Key Inventory'!$D$5:$D$104,MATCH($B215,'Key Inventory'!$A$5:$A$104,0))),"")</f>
        <v/>
      </c>
      <c r="F215" s="24" t="n"/>
      <c r="G215" s="24" t="n"/>
      <c r="H215" s="24" t="n"/>
      <c r="I215" s="24" t="n"/>
      <c r="J215" s="24" t="n"/>
      <c r="K215" s="24" t="n"/>
      <c r="L215" s="26" t="n"/>
      <c r="M215" s="27" t="n"/>
      <c r="N215" s="26" t="n"/>
      <c r="O215" s="27" t="n"/>
      <c r="P215" s="26" t="n"/>
      <c r="Q215" s="27" t="n"/>
      <c r="R215" s="24" t="n"/>
      <c r="S215" s="24" t="n"/>
      <c r="T215" s="24" t="n"/>
      <c r="U215" s="24" t="n"/>
      <c r="V215" s="25">
        <f>IFERROR(IF(OR($A215="",$B215=""),"",IF($P215&lt;&gt;"","Returned",IF(NOW()&gt;$N215+$O215+(Dashboard!$B$7/24),"Overdue","Checked Out"))),"")</f>
        <v/>
      </c>
      <c r="W215" s="28">
        <f>IFERROR(IF($L215="","",MAX(0,24*((IF($P215&lt;&gt;"",$P215+$Q215,NOW()))-($L215+$M215)))),"")</f>
        <v/>
      </c>
      <c r="X215" s="29">
        <f>IFERROR(IF($B215="","",INDEX('Key Inventory'!$I$5:$I$104,MATCH($B215,'Key Inventory'!$A$5:$A$104,0))),"")</f>
        <v/>
      </c>
      <c r="Y215" s="25">
        <f>IFERROR(IF(AND(OR($V215="Checked Out",$V215="Overdue"),$X215&gt;=Dashboard!$B$9),"Review",""),"")</f>
        <v/>
      </c>
      <c r="Z215" s="24" t="n"/>
      <c r="AA215" s="25">
        <f>IFERROR(IF(OR($V215="Checked Out",$V215="Overdue"),$B215,""),"")</f>
        <v/>
      </c>
    </row>
    <row r="216">
      <c r="A216" s="24" t="n"/>
      <c r="B216" s="24" t="n"/>
      <c r="C216" s="25">
        <f>IFERROR(IF($B216="","",INDEX('Key Inventory'!$B$5:$B$104,MATCH($B216,'Key Inventory'!$A$5:$A$104,0))),"")</f>
        <v/>
      </c>
      <c r="D216" s="25">
        <f>IFERROR(IF($B216="","",INDEX('Key Inventory'!$C$5:$C$104,MATCH($B216,'Key Inventory'!$A$5:$A$104,0))),"")</f>
        <v/>
      </c>
      <c r="E216" s="25">
        <f>IFERROR(IF($B216="","",INDEX('Key Inventory'!$D$5:$D$104,MATCH($B216,'Key Inventory'!$A$5:$A$104,0))),"")</f>
        <v/>
      </c>
      <c r="F216" s="24" t="n"/>
      <c r="G216" s="24" t="n"/>
      <c r="H216" s="24" t="n"/>
      <c r="I216" s="24" t="n"/>
      <c r="J216" s="24" t="n"/>
      <c r="K216" s="24" t="n"/>
      <c r="L216" s="26" t="n"/>
      <c r="M216" s="27" t="n"/>
      <c r="N216" s="26" t="n"/>
      <c r="O216" s="27" t="n"/>
      <c r="P216" s="26" t="n"/>
      <c r="Q216" s="27" t="n"/>
      <c r="R216" s="24" t="n"/>
      <c r="S216" s="24" t="n"/>
      <c r="T216" s="24" t="n"/>
      <c r="U216" s="24" t="n"/>
      <c r="V216" s="25">
        <f>IFERROR(IF(OR($A216="",$B216=""),"",IF($P216&lt;&gt;"","Returned",IF(NOW()&gt;$N216+$O216+(Dashboard!$B$7/24),"Overdue","Checked Out"))),"")</f>
        <v/>
      </c>
      <c r="W216" s="28">
        <f>IFERROR(IF($L216="","",MAX(0,24*((IF($P216&lt;&gt;"",$P216+$Q216,NOW()))-($L216+$M216)))),"")</f>
        <v/>
      </c>
      <c r="X216" s="29">
        <f>IFERROR(IF($B216="","",INDEX('Key Inventory'!$I$5:$I$104,MATCH($B216,'Key Inventory'!$A$5:$A$104,0))),"")</f>
        <v/>
      </c>
      <c r="Y216" s="25">
        <f>IFERROR(IF(AND(OR($V216="Checked Out",$V216="Overdue"),$X216&gt;=Dashboard!$B$9),"Review",""),"")</f>
        <v/>
      </c>
      <c r="Z216" s="24" t="n"/>
      <c r="AA216" s="25">
        <f>IFERROR(IF(OR($V216="Checked Out",$V216="Overdue"),$B216,""),"")</f>
        <v/>
      </c>
    </row>
    <row r="217">
      <c r="A217" s="24" t="n"/>
      <c r="B217" s="24" t="n"/>
      <c r="C217" s="25">
        <f>IFERROR(IF($B217="","",INDEX('Key Inventory'!$B$5:$B$104,MATCH($B217,'Key Inventory'!$A$5:$A$104,0))),"")</f>
        <v/>
      </c>
      <c r="D217" s="25">
        <f>IFERROR(IF($B217="","",INDEX('Key Inventory'!$C$5:$C$104,MATCH($B217,'Key Inventory'!$A$5:$A$104,0))),"")</f>
        <v/>
      </c>
      <c r="E217" s="25">
        <f>IFERROR(IF($B217="","",INDEX('Key Inventory'!$D$5:$D$104,MATCH($B217,'Key Inventory'!$A$5:$A$104,0))),"")</f>
        <v/>
      </c>
      <c r="F217" s="24" t="n"/>
      <c r="G217" s="24" t="n"/>
      <c r="H217" s="24" t="n"/>
      <c r="I217" s="24" t="n"/>
      <c r="J217" s="24" t="n"/>
      <c r="K217" s="24" t="n"/>
      <c r="L217" s="26" t="n"/>
      <c r="M217" s="27" t="n"/>
      <c r="N217" s="26" t="n"/>
      <c r="O217" s="27" t="n"/>
      <c r="P217" s="26" t="n"/>
      <c r="Q217" s="27" t="n"/>
      <c r="R217" s="24" t="n"/>
      <c r="S217" s="24" t="n"/>
      <c r="T217" s="24" t="n"/>
      <c r="U217" s="24" t="n"/>
      <c r="V217" s="25">
        <f>IFERROR(IF(OR($A217="",$B217=""),"",IF($P217&lt;&gt;"","Returned",IF(NOW()&gt;$N217+$O217+(Dashboard!$B$7/24),"Overdue","Checked Out"))),"")</f>
        <v/>
      </c>
      <c r="W217" s="28">
        <f>IFERROR(IF($L217="","",MAX(0,24*((IF($P217&lt;&gt;"",$P217+$Q217,NOW()))-($L217+$M217)))),"")</f>
        <v/>
      </c>
      <c r="X217" s="29">
        <f>IFERROR(IF($B217="","",INDEX('Key Inventory'!$I$5:$I$104,MATCH($B217,'Key Inventory'!$A$5:$A$104,0))),"")</f>
        <v/>
      </c>
      <c r="Y217" s="25">
        <f>IFERROR(IF(AND(OR($V217="Checked Out",$V217="Overdue"),$X217&gt;=Dashboard!$B$9),"Review",""),"")</f>
        <v/>
      </c>
      <c r="Z217" s="24" t="n"/>
      <c r="AA217" s="25">
        <f>IFERROR(IF(OR($V217="Checked Out",$V217="Overdue"),$B217,""),"")</f>
        <v/>
      </c>
    </row>
    <row r="218">
      <c r="A218" s="24" t="n"/>
      <c r="B218" s="24" t="n"/>
      <c r="C218" s="25">
        <f>IFERROR(IF($B218="","",INDEX('Key Inventory'!$B$5:$B$104,MATCH($B218,'Key Inventory'!$A$5:$A$104,0))),"")</f>
        <v/>
      </c>
      <c r="D218" s="25">
        <f>IFERROR(IF($B218="","",INDEX('Key Inventory'!$C$5:$C$104,MATCH($B218,'Key Inventory'!$A$5:$A$104,0))),"")</f>
        <v/>
      </c>
      <c r="E218" s="25">
        <f>IFERROR(IF($B218="","",INDEX('Key Inventory'!$D$5:$D$104,MATCH($B218,'Key Inventory'!$A$5:$A$104,0))),"")</f>
        <v/>
      </c>
      <c r="F218" s="24" t="n"/>
      <c r="G218" s="24" t="n"/>
      <c r="H218" s="24" t="n"/>
      <c r="I218" s="24" t="n"/>
      <c r="J218" s="24" t="n"/>
      <c r="K218" s="24" t="n"/>
      <c r="L218" s="26" t="n"/>
      <c r="M218" s="27" t="n"/>
      <c r="N218" s="26" t="n"/>
      <c r="O218" s="27" t="n"/>
      <c r="P218" s="26" t="n"/>
      <c r="Q218" s="27" t="n"/>
      <c r="R218" s="24" t="n"/>
      <c r="S218" s="24" t="n"/>
      <c r="T218" s="24" t="n"/>
      <c r="U218" s="24" t="n"/>
      <c r="V218" s="25">
        <f>IFERROR(IF(OR($A218="",$B218=""),"",IF($P218&lt;&gt;"","Returned",IF(NOW()&gt;$N218+$O218+(Dashboard!$B$7/24),"Overdue","Checked Out"))),"")</f>
        <v/>
      </c>
      <c r="W218" s="28">
        <f>IFERROR(IF($L218="","",MAX(0,24*((IF($P218&lt;&gt;"",$P218+$Q218,NOW()))-($L218+$M218)))),"")</f>
        <v/>
      </c>
      <c r="X218" s="29">
        <f>IFERROR(IF($B218="","",INDEX('Key Inventory'!$I$5:$I$104,MATCH($B218,'Key Inventory'!$A$5:$A$104,0))),"")</f>
        <v/>
      </c>
      <c r="Y218" s="25">
        <f>IFERROR(IF(AND(OR($V218="Checked Out",$V218="Overdue"),$X218&gt;=Dashboard!$B$9),"Review",""),"")</f>
        <v/>
      </c>
      <c r="Z218" s="24" t="n"/>
      <c r="AA218" s="25">
        <f>IFERROR(IF(OR($V218="Checked Out",$V218="Overdue"),$B218,""),"")</f>
        <v/>
      </c>
    </row>
    <row r="219">
      <c r="A219" s="24" t="n"/>
      <c r="B219" s="24" t="n"/>
      <c r="C219" s="25">
        <f>IFERROR(IF($B219="","",INDEX('Key Inventory'!$B$5:$B$104,MATCH($B219,'Key Inventory'!$A$5:$A$104,0))),"")</f>
        <v/>
      </c>
      <c r="D219" s="25">
        <f>IFERROR(IF($B219="","",INDEX('Key Inventory'!$C$5:$C$104,MATCH($B219,'Key Inventory'!$A$5:$A$104,0))),"")</f>
        <v/>
      </c>
      <c r="E219" s="25">
        <f>IFERROR(IF($B219="","",INDEX('Key Inventory'!$D$5:$D$104,MATCH($B219,'Key Inventory'!$A$5:$A$104,0))),"")</f>
        <v/>
      </c>
      <c r="F219" s="24" t="n"/>
      <c r="G219" s="24" t="n"/>
      <c r="H219" s="24" t="n"/>
      <c r="I219" s="24" t="n"/>
      <c r="J219" s="24" t="n"/>
      <c r="K219" s="24" t="n"/>
      <c r="L219" s="26" t="n"/>
      <c r="M219" s="27" t="n"/>
      <c r="N219" s="26" t="n"/>
      <c r="O219" s="27" t="n"/>
      <c r="P219" s="26" t="n"/>
      <c r="Q219" s="27" t="n"/>
      <c r="R219" s="24" t="n"/>
      <c r="S219" s="24" t="n"/>
      <c r="T219" s="24" t="n"/>
      <c r="U219" s="24" t="n"/>
      <c r="V219" s="25">
        <f>IFERROR(IF(OR($A219="",$B219=""),"",IF($P219&lt;&gt;"","Returned",IF(NOW()&gt;$N219+$O219+(Dashboard!$B$7/24),"Overdue","Checked Out"))),"")</f>
        <v/>
      </c>
      <c r="W219" s="28">
        <f>IFERROR(IF($L219="","",MAX(0,24*((IF($P219&lt;&gt;"",$P219+$Q219,NOW()))-($L219+$M219)))),"")</f>
        <v/>
      </c>
      <c r="X219" s="29">
        <f>IFERROR(IF($B219="","",INDEX('Key Inventory'!$I$5:$I$104,MATCH($B219,'Key Inventory'!$A$5:$A$104,0))),"")</f>
        <v/>
      </c>
      <c r="Y219" s="25">
        <f>IFERROR(IF(AND(OR($V219="Checked Out",$V219="Overdue"),$X219&gt;=Dashboard!$B$9),"Review",""),"")</f>
        <v/>
      </c>
      <c r="Z219" s="24" t="n"/>
      <c r="AA219" s="25">
        <f>IFERROR(IF(OR($V219="Checked Out",$V219="Overdue"),$B219,""),"")</f>
        <v/>
      </c>
    </row>
    <row r="220">
      <c r="A220" s="24" t="n"/>
      <c r="B220" s="24" t="n"/>
      <c r="C220" s="25">
        <f>IFERROR(IF($B220="","",INDEX('Key Inventory'!$B$5:$B$104,MATCH($B220,'Key Inventory'!$A$5:$A$104,0))),"")</f>
        <v/>
      </c>
      <c r="D220" s="25">
        <f>IFERROR(IF($B220="","",INDEX('Key Inventory'!$C$5:$C$104,MATCH($B220,'Key Inventory'!$A$5:$A$104,0))),"")</f>
        <v/>
      </c>
      <c r="E220" s="25">
        <f>IFERROR(IF($B220="","",INDEX('Key Inventory'!$D$5:$D$104,MATCH($B220,'Key Inventory'!$A$5:$A$104,0))),"")</f>
        <v/>
      </c>
      <c r="F220" s="24" t="n"/>
      <c r="G220" s="24" t="n"/>
      <c r="H220" s="24" t="n"/>
      <c r="I220" s="24" t="n"/>
      <c r="J220" s="24" t="n"/>
      <c r="K220" s="24" t="n"/>
      <c r="L220" s="26" t="n"/>
      <c r="M220" s="27" t="n"/>
      <c r="N220" s="26" t="n"/>
      <c r="O220" s="27" t="n"/>
      <c r="P220" s="26" t="n"/>
      <c r="Q220" s="27" t="n"/>
      <c r="R220" s="24" t="n"/>
      <c r="S220" s="24" t="n"/>
      <c r="T220" s="24" t="n"/>
      <c r="U220" s="24" t="n"/>
      <c r="V220" s="25">
        <f>IFERROR(IF(OR($A220="",$B220=""),"",IF($P220&lt;&gt;"","Returned",IF(NOW()&gt;$N220+$O220+(Dashboard!$B$7/24),"Overdue","Checked Out"))),"")</f>
        <v/>
      </c>
      <c r="W220" s="28">
        <f>IFERROR(IF($L220="","",MAX(0,24*((IF($P220&lt;&gt;"",$P220+$Q220,NOW()))-($L220+$M220)))),"")</f>
        <v/>
      </c>
      <c r="X220" s="29">
        <f>IFERROR(IF($B220="","",INDEX('Key Inventory'!$I$5:$I$104,MATCH($B220,'Key Inventory'!$A$5:$A$104,0))),"")</f>
        <v/>
      </c>
      <c r="Y220" s="25">
        <f>IFERROR(IF(AND(OR($V220="Checked Out",$V220="Overdue"),$X220&gt;=Dashboard!$B$9),"Review",""),"")</f>
        <v/>
      </c>
      <c r="Z220" s="24" t="n"/>
      <c r="AA220" s="25">
        <f>IFERROR(IF(OR($V220="Checked Out",$V220="Overdue"),$B220,""),"")</f>
        <v/>
      </c>
    </row>
    <row r="221">
      <c r="A221" s="24" t="n"/>
      <c r="B221" s="24" t="n"/>
      <c r="C221" s="25">
        <f>IFERROR(IF($B221="","",INDEX('Key Inventory'!$B$5:$B$104,MATCH($B221,'Key Inventory'!$A$5:$A$104,0))),"")</f>
        <v/>
      </c>
      <c r="D221" s="25">
        <f>IFERROR(IF($B221="","",INDEX('Key Inventory'!$C$5:$C$104,MATCH($B221,'Key Inventory'!$A$5:$A$104,0))),"")</f>
        <v/>
      </c>
      <c r="E221" s="25">
        <f>IFERROR(IF($B221="","",INDEX('Key Inventory'!$D$5:$D$104,MATCH($B221,'Key Inventory'!$A$5:$A$104,0))),"")</f>
        <v/>
      </c>
      <c r="F221" s="24" t="n"/>
      <c r="G221" s="24" t="n"/>
      <c r="H221" s="24" t="n"/>
      <c r="I221" s="24" t="n"/>
      <c r="J221" s="24" t="n"/>
      <c r="K221" s="24" t="n"/>
      <c r="L221" s="26" t="n"/>
      <c r="M221" s="27" t="n"/>
      <c r="N221" s="26" t="n"/>
      <c r="O221" s="27" t="n"/>
      <c r="P221" s="26" t="n"/>
      <c r="Q221" s="27" t="n"/>
      <c r="R221" s="24" t="n"/>
      <c r="S221" s="24" t="n"/>
      <c r="T221" s="24" t="n"/>
      <c r="U221" s="24" t="n"/>
      <c r="V221" s="25">
        <f>IFERROR(IF(OR($A221="",$B221=""),"",IF($P221&lt;&gt;"","Returned",IF(NOW()&gt;$N221+$O221+(Dashboard!$B$7/24),"Overdue","Checked Out"))),"")</f>
        <v/>
      </c>
      <c r="W221" s="28">
        <f>IFERROR(IF($L221="","",MAX(0,24*((IF($P221&lt;&gt;"",$P221+$Q221,NOW()))-($L221+$M221)))),"")</f>
        <v/>
      </c>
      <c r="X221" s="29">
        <f>IFERROR(IF($B221="","",INDEX('Key Inventory'!$I$5:$I$104,MATCH($B221,'Key Inventory'!$A$5:$A$104,0))),"")</f>
        <v/>
      </c>
      <c r="Y221" s="25">
        <f>IFERROR(IF(AND(OR($V221="Checked Out",$V221="Overdue"),$X221&gt;=Dashboard!$B$9),"Review",""),"")</f>
        <v/>
      </c>
      <c r="Z221" s="24" t="n"/>
      <c r="AA221" s="25">
        <f>IFERROR(IF(OR($V221="Checked Out",$V221="Overdue"),$B221,""),"")</f>
        <v/>
      </c>
    </row>
    <row r="222">
      <c r="A222" s="24" t="n"/>
      <c r="B222" s="24" t="n"/>
      <c r="C222" s="25">
        <f>IFERROR(IF($B222="","",INDEX('Key Inventory'!$B$5:$B$104,MATCH($B222,'Key Inventory'!$A$5:$A$104,0))),"")</f>
        <v/>
      </c>
      <c r="D222" s="25">
        <f>IFERROR(IF($B222="","",INDEX('Key Inventory'!$C$5:$C$104,MATCH($B222,'Key Inventory'!$A$5:$A$104,0))),"")</f>
        <v/>
      </c>
      <c r="E222" s="25">
        <f>IFERROR(IF($B222="","",INDEX('Key Inventory'!$D$5:$D$104,MATCH($B222,'Key Inventory'!$A$5:$A$104,0))),"")</f>
        <v/>
      </c>
      <c r="F222" s="24" t="n"/>
      <c r="G222" s="24" t="n"/>
      <c r="H222" s="24" t="n"/>
      <c r="I222" s="24" t="n"/>
      <c r="J222" s="24" t="n"/>
      <c r="K222" s="24" t="n"/>
      <c r="L222" s="26" t="n"/>
      <c r="M222" s="27" t="n"/>
      <c r="N222" s="26" t="n"/>
      <c r="O222" s="27" t="n"/>
      <c r="P222" s="26" t="n"/>
      <c r="Q222" s="27" t="n"/>
      <c r="R222" s="24" t="n"/>
      <c r="S222" s="24" t="n"/>
      <c r="T222" s="24" t="n"/>
      <c r="U222" s="24" t="n"/>
      <c r="V222" s="25">
        <f>IFERROR(IF(OR($A222="",$B222=""),"",IF($P222&lt;&gt;"","Returned",IF(NOW()&gt;$N222+$O222+(Dashboard!$B$7/24),"Overdue","Checked Out"))),"")</f>
        <v/>
      </c>
      <c r="W222" s="28">
        <f>IFERROR(IF($L222="","",MAX(0,24*((IF($P222&lt;&gt;"",$P222+$Q222,NOW()))-($L222+$M222)))),"")</f>
        <v/>
      </c>
      <c r="X222" s="29">
        <f>IFERROR(IF($B222="","",INDEX('Key Inventory'!$I$5:$I$104,MATCH($B222,'Key Inventory'!$A$5:$A$104,0))),"")</f>
        <v/>
      </c>
      <c r="Y222" s="25">
        <f>IFERROR(IF(AND(OR($V222="Checked Out",$V222="Overdue"),$X222&gt;=Dashboard!$B$9),"Review",""),"")</f>
        <v/>
      </c>
      <c r="Z222" s="24" t="n"/>
      <c r="AA222" s="25">
        <f>IFERROR(IF(OR($V222="Checked Out",$V222="Overdue"),$B222,""),"")</f>
        <v/>
      </c>
    </row>
    <row r="223">
      <c r="A223" s="24" t="n"/>
      <c r="B223" s="24" t="n"/>
      <c r="C223" s="25">
        <f>IFERROR(IF($B223="","",INDEX('Key Inventory'!$B$5:$B$104,MATCH($B223,'Key Inventory'!$A$5:$A$104,0))),"")</f>
        <v/>
      </c>
      <c r="D223" s="25">
        <f>IFERROR(IF($B223="","",INDEX('Key Inventory'!$C$5:$C$104,MATCH($B223,'Key Inventory'!$A$5:$A$104,0))),"")</f>
        <v/>
      </c>
      <c r="E223" s="25">
        <f>IFERROR(IF($B223="","",INDEX('Key Inventory'!$D$5:$D$104,MATCH($B223,'Key Inventory'!$A$5:$A$104,0))),"")</f>
        <v/>
      </c>
      <c r="F223" s="24" t="n"/>
      <c r="G223" s="24" t="n"/>
      <c r="H223" s="24" t="n"/>
      <c r="I223" s="24" t="n"/>
      <c r="J223" s="24" t="n"/>
      <c r="K223" s="24" t="n"/>
      <c r="L223" s="26" t="n"/>
      <c r="M223" s="27" t="n"/>
      <c r="N223" s="26" t="n"/>
      <c r="O223" s="27" t="n"/>
      <c r="P223" s="26" t="n"/>
      <c r="Q223" s="27" t="n"/>
      <c r="R223" s="24" t="n"/>
      <c r="S223" s="24" t="n"/>
      <c r="T223" s="24" t="n"/>
      <c r="U223" s="24" t="n"/>
      <c r="V223" s="25">
        <f>IFERROR(IF(OR($A223="",$B223=""),"",IF($P223&lt;&gt;"","Returned",IF(NOW()&gt;$N223+$O223+(Dashboard!$B$7/24),"Overdue","Checked Out"))),"")</f>
        <v/>
      </c>
      <c r="W223" s="28">
        <f>IFERROR(IF($L223="","",MAX(0,24*((IF($P223&lt;&gt;"",$P223+$Q223,NOW()))-($L223+$M223)))),"")</f>
        <v/>
      </c>
      <c r="X223" s="29">
        <f>IFERROR(IF($B223="","",INDEX('Key Inventory'!$I$5:$I$104,MATCH($B223,'Key Inventory'!$A$5:$A$104,0))),"")</f>
        <v/>
      </c>
      <c r="Y223" s="25">
        <f>IFERROR(IF(AND(OR($V223="Checked Out",$V223="Overdue"),$X223&gt;=Dashboard!$B$9),"Review",""),"")</f>
        <v/>
      </c>
      <c r="Z223" s="24" t="n"/>
      <c r="AA223" s="25">
        <f>IFERROR(IF(OR($V223="Checked Out",$V223="Overdue"),$B223,""),"")</f>
        <v/>
      </c>
    </row>
    <row r="224">
      <c r="A224" s="24" t="n"/>
      <c r="B224" s="24" t="n"/>
      <c r="C224" s="25">
        <f>IFERROR(IF($B224="","",INDEX('Key Inventory'!$B$5:$B$104,MATCH($B224,'Key Inventory'!$A$5:$A$104,0))),"")</f>
        <v/>
      </c>
      <c r="D224" s="25">
        <f>IFERROR(IF($B224="","",INDEX('Key Inventory'!$C$5:$C$104,MATCH($B224,'Key Inventory'!$A$5:$A$104,0))),"")</f>
        <v/>
      </c>
      <c r="E224" s="25">
        <f>IFERROR(IF($B224="","",INDEX('Key Inventory'!$D$5:$D$104,MATCH($B224,'Key Inventory'!$A$5:$A$104,0))),"")</f>
        <v/>
      </c>
      <c r="F224" s="24" t="n"/>
      <c r="G224" s="24" t="n"/>
      <c r="H224" s="24" t="n"/>
      <c r="I224" s="24" t="n"/>
      <c r="J224" s="24" t="n"/>
      <c r="K224" s="24" t="n"/>
      <c r="L224" s="26" t="n"/>
      <c r="M224" s="27" t="n"/>
      <c r="N224" s="26" t="n"/>
      <c r="O224" s="27" t="n"/>
      <c r="P224" s="26" t="n"/>
      <c r="Q224" s="27" t="n"/>
      <c r="R224" s="24" t="n"/>
      <c r="S224" s="24" t="n"/>
      <c r="T224" s="24" t="n"/>
      <c r="U224" s="24" t="n"/>
      <c r="V224" s="25">
        <f>IFERROR(IF(OR($A224="",$B224=""),"",IF($P224&lt;&gt;"","Returned",IF(NOW()&gt;$N224+$O224+(Dashboard!$B$7/24),"Overdue","Checked Out"))),"")</f>
        <v/>
      </c>
      <c r="W224" s="28">
        <f>IFERROR(IF($L224="","",MAX(0,24*((IF($P224&lt;&gt;"",$P224+$Q224,NOW()))-($L224+$M224)))),"")</f>
        <v/>
      </c>
      <c r="X224" s="29">
        <f>IFERROR(IF($B224="","",INDEX('Key Inventory'!$I$5:$I$104,MATCH($B224,'Key Inventory'!$A$5:$A$104,0))),"")</f>
        <v/>
      </c>
      <c r="Y224" s="25">
        <f>IFERROR(IF(AND(OR($V224="Checked Out",$V224="Overdue"),$X224&gt;=Dashboard!$B$9),"Review",""),"")</f>
        <v/>
      </c>
      <c r="Z224" s="24" t="n"/>
      <c r="AA224" s="25">
        <f>IFERROR(IF(OR($V224="Checked Out",$V224="Overdue"),$B224,""),"")</f>
        <v/>
      </c>
    </row>
    <row r="225">
      <c r="A225" s="24" t="n"/>
      <c r="B225" s="24" t="n"/>
      <c r="C225" s="25">
        <f>IFERROR(IF($B225="","",INDEX('Key Inventory'!$B$5:$B$104,MATCH($B225,'Key Inventory'!$A$5:$A$104,0))),"")</f>
        <v/>
      </c>
      <c r="D225" s="25">
        <f>IFERROR(IF($B225="","",INDEX('Key Inventory'!$C$5:$C$104,MATCH($B225,'Key Inventory'!$A$5:$A$104,0))),"")</f>
        <v/>
      </c>
      <c r="E225" s="25">
        <f>IFERROR(IF($B225="","",INDEX('Key Inventory'!$D$5:$D$104,MATCH($B225,'Key Inventory'!$A$5:$A$104,0))),"")</f>
        <v/>
      </c>
      <c r="F225" s="24" t="n"/>
      <c r="G225" s="24" t="n"/>
      <c r="H225" s="24" t="n"/>
      <c r="I225" s="24" t="n"/>
      <c r="J225" s="24" t="n"/>
      <c r="K225" s="24" t="n"/>
      <c r="L225" s="26" t="n"/>
      <c r="M225" s="27" t="n"/>
      <c r="N225" s="26" t="n"/>
      <c r="O225" s="27" t="n"/>
      <c r="P225" s="26" t="n"/>
      <c r="Q225" s="27" t="n"/>
      <c r="R225" s="24" t="n"/>
      <c r="S225" s="24" t="n"/>
      <c r="T225" s="24" t="n"/>
      <c r="U225" s="24" t="n"/>
      <c r="V225" s="25">
        <f>IFERROR(IF(OR($A225="",$B225=""),"",IF($P225&lt;&gt;"","Returned",IF(NOW()&gt;$N225+$O225+(Dashboard!$B$7/24),"Overdue","Checked Out"))),"")</f>
        <v/>
      </c>
      <c r="W225" s="28">
        <f>IFERROR(IF($L225="","",MAX(0,24*((IF($P225&lt;&gt;"",$P225+$Q225,NOW()))-($L225+$M225)))),"")</f>
        <v/>
      </c>
      <c r="X225" s="29">
        <f>IFERROR(IF($B225="","",INDEX('Key Inventory'!$I$5:$I$104,MATCH($B225,'Key Inventory'!$A$5:$A$104,0))),"")</f>
        <v/>
      </c>
      <c r="Y225" s="25">
        <f>IFERROR(IF(AND(OR($V225="Checked Out",$V225="Overdue"),$X225&gt;=Dashboard!$B$9),"Review",""),"")</f>
        <v/>
      </c>
      <c r="Z225" s="24" t="n"/>
      <c r="AA225" s="25">
        <f>IFERROR(IF(OR($V225="Checked Out",$V225="Overdue"),$B225,""),"")</f>
        <v/>
      </c>
    </row>
    <row r="226">
      <c r="A226" s="24" t="n"/>
      <c r="B226" s="24" t="n"/>
      <c r="C226" s="25">
        <f>IFERROR(IF($B226="","",INDEX('Key Inventory'!$B$5:$B$104,MATCH($B226,'Key Inventory'!$A$5:$A$104,0))),"")</f>
        <v/>
      </c>
      <c r="D226" s="25">
        <f>IFERROR(IF($B226="","",INDEX('Key Inventory'!$C$5:$C$104,MATCH($B226,'Key Inventory'!$A$5:$A$104,0))),"")</f>
        <v/>
      </c>
      <c r="E226" s="25">
        <f>IFERROR(IF($B226="","",INDEX('Key Inventory'!$D$5:$D$104,MATCH($B226,'Key Inventory'!$A$5:$A$104,0))),"")</f>
        <v/>
      </c>
      <c r="F226" s="24" t="n"/>
      <c r="G226" s="24" t="n"/>
      <c r="H226" s="24" t="n"/>
      <c r="I226" s="24" t="n"/>
      <c r="J226" s="24" t="n"/>
      <c r="K226" s="24" t="n"/>
      <c r="L226" s="26" t="n"/>
      <c r="M226" s="27" t="n"/>
      <c r="N226" s="26" t="n"/>
      <c r="O226" s="27" t="n"/>
      <c r="P226" s="26" t="n"/>
      <c r="Q226" s="27" t="n"/>
      <c r="R226" s="24" t="n"/>
      <c r="S226" s="24" t="n"/>
      <c r="T226" s="24" t="n"/>
      <c r="U226" s="24" t="n"/>
      <c r="V226" s="25">
        <f>IFERROR(IF(OR($A226="",$B226=""),"",IF($P226&lt;&gt;"","Returned",IF(NOW()&gt;$N226+$O226+(Dashboard!$B$7/24),"Overdue","Checked Out"))),"")</f>
        <v/>
      </c>
      <c r="W226" s="28">
        <f>IFERROR(IF($L226="","",MAX(0,24*((IF($P226&lt;&gt;"",$P226+$Q226,NOW()))-($L226+$M226)))),"")</f>
        <v/>
      </c>
      <c r="X226" s="29">
        <f>IFERROR(IF($B226="","",INDEX('Key Inventory'!$I$5:$I$104,MATCH($B226,'Key Inventory'!$A$5:$A$104,0))),"")</f>
        <v/>
      </c>
      <c r="Y226" s="25">
        <f>IFERROR(IF(AND(OR($V226="Checked Out",$V226="Overdue"),$X226&gt;=Dashboard!$B$9),"Review",""),"")</f>
        <v/>
      </c>
      <c r="Z226" s="24" t="n"/>
      <c r="AA226" s="25">
        <f>IFERROR(IF(OR($V226="Checked Out",$V226="Overdue"),$B226,""),"")</f>
        <v/>
      </c>
    </row>
    <row r="227">
      <c r="A227" s="24" t="n"/>
      <c r="B227" s="24" t="n"/>
      <c r="C227" s="25">
        <f>IFERROR(IF($B227="","",INDEX('Key Inventory'!$B$5:$B$104,MATCH($B227,'Key Inventory'!$A$5:$A$104,0))),"")</f>
        <v/>
      </c>
      <c r="D227" s="25">
        <f>IFERROR(IF($B227="","",INDEX('Key Inventory'!$C$5:$C$104,MATCH($B227,'Key Inventory'!$A$5:$A$104,0))),"")</f>
        <v/>
      </c>
      <c r="E227" s="25">
        <f>IFERROR(IF($B227="","",INDEX('Key Inventory'!$D$5:$D$104,MATCH($B227,'Key Inventory'!$A$5:$A$104,0))),"")</f>
        <v/>
      </c>
      <c r="F227" s="24" t="n"/>
      <c r="G227" s="24" t="n"/>
      <c r="H227" s="24" t="n"/>
      <c r="I227" s="24" t="n"/>
      <c r="J227" s="24" t="n"/>
      <c r="K227" s="24" t="n"/>
      <c r="L227" s="26" t="n"/>
      <c r="M227" s="27" t="n"/>
      <c r="N227" s="26" t="n"/>
      <c r="O227" s="27" t="n"/>
      <c r="P227" s="26" t="n"/>
      <c r="Q227" s="27" t="n"/>
      <c r="R227" s="24" t="n"/>
      <c r="S227" s="24" t="n"/>
      <c r="T227" s="24" t="n"/>
      <c r="U227" s="24" t="n"/>
      <c r="V227" s="25">
        <f>IFERROR(IF(OR($A227="",$B227=""),"",IF($P227&lt;&gt;"","Returned",IF(NOW()&gt;$N227+$O227+(Dashboard!$B$7/24),"Overdue","Checked Out"))),"")</f>
        <v/>
      </c>
      <c r="W227" s="28">
        <f>IFERROR(IF($L227="","",MAX(0,24*((IF($P227&lt;&gt;"",$P227+$Q227,NOW()))-($L227+$M227)))),"")</f>
        <v/>
      </c>
      <c r="X227" s="29">
        <f>IFERROR(IF($B227="","",INDEX('Key Inventory'!$I$5:$I$104,MATCH($B227,'Key Inventory'!$A$5:$A$104,0))),"")</f>
        <v/>
      </c>
      <c r="Y227" s="25">
        <f>IFERROR(IF(AND(OR($V227="Checked Out",$V227="Overdue"),$X227&gt;=Dashboard!$B$9),"Review",""),"")</f>
        <v/>
      </c>
      <c r="Z227" s="24" t="n"/>
      <c r="AA227" s="25">
        <f>IFERROR(IF(OR($V227="Checked Out",$V227="Overdue"),$B227,""),"")</f>
        <v/>
      </c>
    </row>
    <row r="228">
      <c r="A228" s="24" t="n"/>
      <c r="B228" s="24" t="n"/>
      <c r="C228" s="25">
        <f>IFERROR(IF($B228="","",INDEX('Key Inventory'!$B$5:$B$104,MATCH($B228,'Key Inventory'!$A$5:$A$104,0))),"")</f>
        <v/>
      </c>
      <c r="D228" s="25">
        <f>IFERROR(IF($B228="","",INDEX('Key Inventory'!$C$5:$C$104,MATCH($B228,'Key Inventory'!$A$5:$A$104,0))),"")</f>
        <v/>
      </c>
      <c r="E228" s="25">
        <f>IFERROR(IF($B228="","",INDEX('Key Inventory'!$D$5:$D$104,MATCH($B228,'Key Inventory'!$A$5:$A$104,0))),"")</f>
        <v/>
      </c>
      <c r="F228" s="24" t="n"/>
      <c r="G228" s="24" t="n"/>
      <c r="H228" s="24" t="n"/>
      <c r="I228" s="24" t="n"/>
      <c r="J228" s="24" t="n"/>
      <c r="K228" s="24" t="n"/>
      <c r="L228" s="26" t="n"/>
      <c r="M228" s="27" t="n"/>
      <c r="N228" s="26" t="n"/>
      <c r="O228" s="27" t="n"/>
      <c r="P228" s="26" t="n"/>
      <c r="Q228" s="27" t="n"/>
      <c r="R228" s="24" t="n"/>
      <c r="S228" s="24" t="n"/>
      <c r="T228" s="24" t="n"/>
      <c r="U228" s="24" t="n"/>
      <c r="V228" s="25">
        <f>IFERROR(IF(OR($A228="",$B228=""),"",IF($P228&lt;&gt;"","Returned",IF(NOW()&gt;$N228+$O228+(Dashboard!$B$7/24),"Overdue","Checked Out"))),"")</f>
        <v/>
      </c>
      <c r="W228" s="28">
        <f>IFERROR(IF($L228="","",MAX(0,24*((IF($P228&lt;&gt;"",$P228+$Q228,NOW()))-($L228+$M228)))),"")</f>
        <v/>
      </c>
      <c r="X228" s="29">
        <f>IFERROR(IF($B228="","",INDEX('Key Inventory'!$I$5:$I$104,MATCH($B228,'Key Inventory'!$A$5:$A$104,0))),"")</f>
        <v/>
      </c>
      <c r="Y228" s="25">
        <f>IFERROR(IF(AND(OR($V228="Checked Out",$V228="Overdue"),$X228&gt;=Dashboard!$B$9),"Review",""),"")</f>
        <v/>
      </c>
      <c r="Z228" s="24" t="n"/>
      <c r="AA228" s="25">
        <f>IFERROR(IF(OR($V228="Checked Out",$V228="Overdue"),$B228,""),"")</f>
        <v/>
      </c>
    </row>
    <row r="229">
      <c r="A229" s="24" t="n"/>
      <c r="B229" s="24" t="n"/>
      <c r="C229" s="25">
        <f>IFERROR(IF($B229="","",INDEX('Key Inventory'!$B$5:$B$104,MATCH($B229,'Key Inventory'!$A$5:$A$104,0))),"")</f>
        <v/>
      </c>
      <c r="D229" s="25">
        <f>IFERROR(IF($B229="","",INDEX('Key Inventory'!$C$5:$C$104,MATCH($B229,'Key Inventory'!$A$5:$A$104,0))),"")</f>
        <v/>
      </c>
      <c r="E229" s="25">
        <f>IFERROR(IF($B229="","",INDEX('Key Inventory'!$D$5:$D$104,MATCH($B229,'Key Inventory'!$A$5:$A$104,0))),"")</f>
        <v/>
      </c>
      <c r="F229" s="24" t="n"/>
      <c r="G229" s="24" t="n"/>
      <c r="H229" s="24" t="n"/>
      <c r="I229" s="24" t="n"/>
      <c r="J229" s="24" t="n"/>
      <c r="K229" s="24" t="n"/>
      <c r="L229" s="26" t="n"/>
      <c r="M229" s="27" t="n"/>
      <c r="N229" s="26" t="n"/>
      <c r="O229" s="27" t="n"/>
      <c r="P229" s="26" t="n"/>
      <c r="Q229" s="27" t="n"/>
      <c r="R229" s="24" t="n"/>
      <c r="S229" s="24" t="n"/>
      <c r="T229" s="24" t="n"/>
      <c r="U229" s="24" t="n"/>
      <c r="V229" s="25">
        <f>IFERROR(IF(OR($A229="",$B229=""),"",IF($P229&lt;&gt;"","Returned",IF(NOW()&gt;$N229+$O229+(Dashboard!$B$7/24),"Overdue","Checked Out"))),"")</f>
        <v/>
      </c>
      <c r="W229" s="28">
        <f>IFERROR(IF($L229="","",MAX(0,24*((IF($P229&lt;&gt;"",$P229+$Q229,NOW()))-($L229+$M229)))),"")</f>
        <v/>
      </c>
      <c r="X229" s="29">
        <f>IFERROR(IF($B229="","",INDEX('Key Inventory'!$I$5:$I$104,MATCH($B229,'Key Inventory'!$A$5:$A$104,0))),"")</f>
        <v/>
      </c>
      <c r="Y229" s="25">
        <f>IFERROR(IF(AND(OR($V229="Checked Out",$V229="Overdue"),$X229&gt;=Dashboard!$B$9),"Review",""),"")</f>
        <v/>
      </c>
      <c r="Z229" s="24" t="n"/>
      <c r="AA229" s="25">
        <f>IFERROR(IF(OR($V229="Checked Out",$V229="Overdue"),$B229,""),"")</f>
        <v/>
      </c>
    </row>
    <row r="230">
      <c r="A230" s="24" t="n"/>
      <c r="B230" s="24" t="n"/>
      <c r="C230" s="25">
        <f>IFERROR(IF($B230="","",INDEX('Key Inventory'!$B$5:$B$104,MATCH($B230,'Key Inventory'!$A$5:$A$104,0))),"")</f>
        <v/>
      </c>
      <c r="D230" s="25">
        <f>IFERROR(IF($B230="","",INDEX('Key Inventory'!$C$5:$C$104,MATCH($B230,'Key Inventory'!$A$5:$A$104,0))),"")</f>
        <v/>
      </c>
      <c r="E230" s="25">
        <f>IFERROR(IF($B230="","",INDEX('Key Inventory'!$D$5:$D$104,MATCH($B230,'Key Inventory'!$A$5:$A$104,0))),"")</f>
        <v/>
      </c>
      <c r="F230" s="24" t="n"/>
      <c r="G230" s="24" t="n"/>
      <c r="H230" s="24" t="n"/>
      <c r="I230" s="24" t="n"/>
      <c r="J230" s="24" t="n"/>
      <c r="K230" s="24" t="n"/>
      <c r="L230" s="26" t="n"/>
      <c r="M230" s="27" t="n"/>
      <c r="N230" s="26" t="n"/>
      <c r="O230" s="27" t="n"/>
      <c r="P230" s="26" t="n"/>
      <c r="Q230" s="27" t="n"/>
      <c r="R230" s="24" t="n"/>
      <c r="S230" s="24" t="n"/>
      <c r="T230" s="24" t="n"/>
      <c r="U230" s="24" t="n"/>
      <c r="V230" s="25">
        <f>IFERROR(IF(OR($A230="",$B230=""),"",IF($P230&lt;&gt;"","Returned",IF(NOW()&gt;$N230+$O230+(Dashboard!$B$7/24),"Overdue","Checked Out"))),"")</f>
        <v/>
      </c>
      <c r="W230" s="28">
        <f>IFERROR(IF($L230="","",MAX(0,24*((IF($P230&lt;&gt;"",$P230+$Q230,NOW()))-($L230+$M230)))),"")</f>
        <v/>
      </c>
      <c r="X230" s="29">
        <f>IFERROR(IF($B230="","",INDEX('Key Inventory'!$I$5:$I$104,MATCH($B230,'Key Inventory'!$A$5:$A$104,0))),"")</f>
        <v/>
      </c>
      <c r="Y230" s="25">
        <f>IFERROR(IF(AND(OR($V230="Checked Out",$V230="Overdue"),$X230&gt;=Dashboard!$B$9),"Review",""),"")</f>
        <v/>
      </c>
      <c r="Z230" s="24" t="n"/>
      <c r="AA230" s="25">
        <f>IFERROR(IF(OR($V230="Checked Out",$V230="Overdue"),$B230,""),"")</f>
        <v/>
      </c>
    </row>
    <row r="231">
      <c r="A231" s="24" t="n"/>
      <c r="B231" s="24" t="n"/>
      <c r="C231" s="25">
        <f>IFERROR(IF($B231="","",INDEX('Key Inventory'!$B$5:$B$104,MATCH($B231,'Key Inventory'!$A$5:$A$104,0))),"")</f>
        <v/>
      </c>
      <c r="D231" s="25">
        <f>IFERROR(IF($B231="","",INDEX('Key Inventory'!$C$5:$C$104,MATCH($B231,'Key Inventory'!$A$5:$A$104,0))),"")</f>
        <v/>
      </c>
      <c r="E231" s="25">
        <f>IFERROR(IF($B231="","",INDEX('Key Inventory'!$D$5:$D$104,MATCH($B231,'Key Inventory'!$A$5:$A$104,0))),"")</f>
        <v/>
      </c>
      <c r="F231" s="24" t="n"/>
      <c r="G231" s="24" t="n"/>
      <c r="H231" s="24" t="n"/>
      <c r="I231" s="24" t="n"/>
      <c r="J231" s="24" t="n"/>
      <c r="K231" s="24" t="n"/>
      <c r="L231" s="26" t="n"/>
      <c r="M231" s="27" t="n"/>
      <c r="N231" s="26" t="n"/>
      <c r="O231" s="27" t="n"/>
      <c r="P231" s="26" t="n"/>
      <c r="Q231" s="27" t="n"/>
      <c r="R231" s="24" t="n"/>
      <c r="S231" s="24" t="n"/>
      <c r="T231" s="24" t="n"/>
      <c r="U231" s="24" t="n"/>
      <c r="V231" s="25">
        <f>IFERROR(IF(OR($A231="",$B231=""),"",IF($P231&lt;&gt;"","Returned",IF(NOW()&gt;$N231+$O231+(Dashboard!$B$7/24),"Overdue","Checked Out"))),"")</f>
        <v/>
      </c>
      <c r="W231" s="28">
        <f>IFERROR(IF($L231="","",MAX(0,24*((IF($P231&lt;&gt;"",$P231+$Q231,NOW()))-($L231+$M231)))),"")</f>
        <v/>
      </c>
      <c r="X231" s="29">
        <f>IFERROR(IF($B231="","",INDEX('Key Inventory'!$I$5:$I$104,MATCH($B231,'Key Inventory'!$A$5:$A$104,0))),"")</f>
        <v/>
      </c>
      <c r="Y231" s="25">
        <f>IFERROR(IF(AND(OR($V231="Checked Out",$V231="Overdue"),$X231&gt;=Dashboard!$B$9),"Review",""),"")</f>
        <v/>
      </c>
      <c r="Z231" s="24" t="n"/>
      <c r="AA231" s="25">
        <f>IFERROR(IF(OR($V231="Checked Out",$V231="Overdue"),$B231,""),"")</f>
        <v/>
      </c>
    </row>
    <row r="232">
      <c r="A232" s="24" t="n"/>
      <c r="B232" s="24" t="n"/>
      <c r="C232" s="25">
        <f>IFERROR(IF($B232="","",INDEX('Key Inventory'!$B$5:$B$104,MATCH($B232,'Key Inventory'!$A$5:$A$104,0))),"")</f>
        <v/>
      </c>
      <c r="D232" s="25">
        <f>IFERROR(IF($B232="","",INDEX('Key Inventory'!$C$5:$C$104,MATCH($B232,'Key Inventory'!$A$5:$A$104,0))),"")</f>
        <v/>
      </c>
      <c r="E232" s="25">
        <f>IFERROR(IF($B232="","",INDEX('Key Inventory'!$D$5:$D$104,MATCH($B232,'Key Inventory'!$A$5:$A$104,0))),"")</f>
        <v/>
      </c>
      <c r="F232" s="24" t="n"/>
      <c r="G232" s="24" t="n"/>
      <c r="H232" s="24" t="n"/>
      <c r="I232" s="24" t="n"/>
      <c r="J232" s="24" t="n"/>
      <c r="K232" s="24" t="n"/>
      <c r="L232" s="26" t="n"/>
      <c r="M232" s="27" t="n"/>
      <c r="N232" s="26" t="n"/>
      <c r="O232" s="27" t="n"/>
      <c r="P232" s="26" t="n"/>
      <c r="Q232" s="27" t="n"/>
      <c r="R232" s="24" t="n"/>
      <c r="S232" s="24" t="n"/>
      <c r="T232" s="24" t="n"/>
      <c r="U232" s="24" t="n"/>
      <c r="V232" s="25">
        <f>IFERROR(IF(OR($A232="",$B232=""),"",IF($P232&lt;&gt;"","Returned",IF(NOW()&gt;$N232+$O232+(Dashboard!$B$7/24),"Overdue","Checked Out"))),"")</f>
        <v/>
      </c>
      <c r="W232" s="28">
        <f>IFERROR(IF($L232="","",MAX(0,24*((IF($P232&lt;&gt;"",$P232+$Q232,NOW()))-($L232+$M232)))),"")</f>
        <v/>
      </c>
      <c r="X232" s="29">
        <f>IFERROR(IF($B232="","",INDEX('Key Inventory'!$I$5:$I$104,MATCH($B232,'Key Inventory'!$A$5:$A$104,0))),"")</f>
        <v/>
      </c>
      <c r="Y232" s="25">
        <f>IFERROR(IF(AND(OR($V232="Checked Out",$V232="Overdue"),$X232&gt;=Dashboard!$B$9),"Review",""),"")</f>
        <v/>
      </c>
      <c r="Z232" s="24" t="n"/>
      <c r="AA232" s="25">
        <f>IFERROR(IF(OR($V232="Checked Out",$V232="Overdue"),$B232,""),"")</f>
        <v/>
      </c>
    </row>
    <row r="233">
      <c r="A233" s="24" t="n"/>
      <c r="B233" s="24" t="n"/>
      <c r="C233" s="25">
        <f>IFERROR(IF($B233="","",INDEX('Key Inventory'!$B$5:$B$104,MATCH($B233,'Key Inventory'!$A$5:$A$104,0))),"")</f>
        <v/>
      </c>
      <c r="D233" s="25">
        <f>IFERROR(IF($B233="","",INDEX('Key Inventory'!$C$5:$C$104,MATCH($B233,'Key Inventory'!$A$5:$A$104,0))),"")</f>
        <v/>
      </c>
      <c r="E233" s="25">
        <f>IFERROR(IF($B233="","",INDEX('Key Inventory'!$D$5:$D$104,MATCH($B233,'Key Inventory'!$A$5:$A$104,0))),"")</f>
        <v/>
      </c>
      <c r="F233" s="24" t="n"/>
      <c r="G233" s="24" t="n"/>
      <c r="H233" s="24" t="n"/>
      <c r="I233" s="24" t="n"/>
      <c r="J233" s="24" t="n"/>
      <c r="K233" s="24" t="n"/>
      <c r="L233" s="26" t="n"/>
      <c r="M233" s="27" t="n"/>
      <c r="N233" s="26" t="n"/>
      <c r="O233" s="27" t="n"/>
      <c r="P233" s="26" t="n"/>
      <c r="Q233" s="27" t="n"/>
      <c r="R233" s="24" t="n"/>
      <c r="S233" s="24" t="n"/>
      <c r="T233" s="24" t="n"/>
      <c r="U233" s="24" t="n"/>
      <c r="V233" s="25">
        <f>IFERROR(IF(OR($A233="",$B233=""),"",IF($P233&lt;&gt;"","Returned",IF(NOW()&gt;$N233+$O233+(Dashboard!$B$7/24),"Overdue","Checked Out"))),"")</f>
        <v/>
      </c>
      <c r="W233" s="28">
        <f>IFERROR(IF($L233="","",MAX(0,24*((IF($P233&lt;&gt;"",$P233+$Q233,NOW()))-($L233+$M233)))),"")</f>
        <v/>
      </c>
      <c r="X233" s="29">
        <f>IFERROR(IF($B233="","",INDEX('Key Inventory'!$I$5:$I$104,MATCH($B233,'Key Inventory'!$A$5:$A$104,0))),"")</f>
        <v/>
      </c>
      <c r="Y233" s="25">
        <f>IFERROR(IF(AND(OR($V233="Checked Out",$V233="Overdue"),$X233&gt;=Dashboard!$B$9),"Review",""),"")</f>
        <v/>
      </c>
      <c r="Z233" s="24" t="n"/>
      <c r="AA233" s="25">
        <f>IFERROR(IF(OR($V233="Checked Out",$V233="Overdue"),$B233,""),"")</f>
        <v/>
      </c>
    </row>
    <row r="234">
      <c r="A234" s="24" t="n"/>
      <c r="B234" s="24" t="n"/>
      <c r="C234" s="25">
        <f>IFERROR(IF($B234="","",INDEX('Key Inventory'!$B$5:$B$104,MATCH($B234,'Key Inventory'!$A$5:$A$104,0))),"")</f>
        <v/>
      </c>
      <c r="D234" s="25">
        <f>IFERROR(IF($B234="","",INDEX('Key Inventory'!$C$5:$C$104,MATCH($B234,'Key Inventory'!$A$5:$A$104,0))),"")</f>
        <v/>
      </c>
      <c r="E234" s="25">
        <f>IFERROR(IF($B234="","",INDEX('Key Inventory'!$D$5:$D$104,MATCH($B234,'Key Inventory'!$A$5:$A$104,0))),"")</f>
        <v/>
      </c>
      <c r="F234" s="24" t="n"/>
      <c r="G234" s="24" t="n"/>
      <c r="H234" s="24" t="n"/>
      <c r="I234" s="24" t="n"/>
      <c r="J234" s="24" t="n"/>
      <c r="K234" s="24" t="n"/>
      <c r="L234" s="26" t="n"/>
      <c r="M234" s="27" t="n"/>
      <c r="N234" s="26" t="n"/>
      <c r="O234" s="27" t="n"/>
      <c r="P234" s="26" t="n"/>
      <c r="Q234" s="27" t="n"/>
      <c r="R234" s="24" t="n"/>
      <c r="S234" s="24" t="n"/>
      <c r="T234" s="24" t="n"/>
      <c r="U234" s="24" t="n"/>
      <c r="V234" s="25">
        <f>IFERROR(IF(OR($A234="",$B234=""),"",IF($P234&lt;&gt;"","Returned",IF(NOW()&gt;$N234+$O234+(Dashboard!$B$7/24),"Overdue","Checked Out"))),"")</f>
        <v/>
      </c>
      <c r="W234" s="28">
        <f>IFERROR(IF($L234="","",MAX(0,24*((IF($P234&lt;&gt;"",$P234+$Q234,NOW()))-($L234+$M234)))),"")</f>
        <v/>
      </c>
      <c r="X234" s="29">
        <f>IFERROR(IF($B234="","",INDEX('Key Inventory'!$I$5:$I$104,MATCH($B234,'Key Inventory'!$A$5:$A$104,0))),"")</f>
        <v/>
      </c>
      <c r="Y234" s="25">
        <f>IFERROR(IF(AND(OR($V234="Checked Out",$V234="Overdue"),$X234&gt;=Dashboard!$B$9),"Review",""),"")</f>
        <v/>
      </c>
      <c r="Z234" s="24" t="n"/>
      <c r="AA234" s="25">
        <f>IFERROR(IF(OR($V234="Checked Out",$V234="Overdue"),$B234,""),"")</f>
        <v/>
      </c>
    </row>
    <row r="235">
      <c r="A235" s="24" t="n"/>
      <c r="B235" s="24" t="n"/>
      <c r="C235" s="25">
        <f>IFERROR(IF($B235="","",INDEX('Key Inventory'!$B$5:$B$104,MATCH($B235,'Key Inventory'!$A$5:$A$104,0))),"")</f>
        <v/>
      </c>
      <c r="D235" s="25">
        <f>IFERROR(IF($B235="","",INDEX('Key Inventory'!$C$5:$C$104,MATCH($B235,'Key Inventory'!$A$5:$A$104,0))),"")</f>
        <v/>
      </c>
      <c r="E235" s="25">
        <f>IFERROR(IF($B235="","",INDEX('Key Inventory'!$D$5:$D$104,MATCH($B235,'Key Inventory'!$A$5:$A$104,0))),"")</f>
        <v/>
      </c>
      <c r="F235" s="24" t="n"/>
      <c r="G235" s="24" t="n"/>
      <c r="H235" s="24" t="n"/>
      <c r="I235" s="24" t="n"/>
      <c r="J235" s="24" t="n"/>
      <c r="K235" s="24" t="n"/>
      <c r="L235" s="26" t="n"/>
      <c r="M235" s="27" t="n"/>
      <c r="N235" s="26" t="n"/>
      <c r="O235" s="27" t="n"/>
      <c r="P235" s="26" t="n"/>
      <c r="Q235" s="27" t="n"/>
      <c r="R235" s="24" t="n"/>
      <c r="S235" s="24" t="n"/>
      <c r="T235" s="24" t="n"/>
      <c r="U235" s="24" t="n"/>
      <c r="V235" s="25">
        <f>IFERROR(IF(OR($A235="",$B235=""),"",IF($P235&lt;&gt;"","Returned",IF(NOW()&gt;$N235+$O235+(Dashboard!$B$7/24),"Overdue","Checked Out"))),"")</f>
        <v/>
      </c>
      <c r="W235" s="28">
        <f>IFERROR(IF($L235="","",MAX(0,24*((IF($P235&lt;&gt;"",$P235+$Q235,NOW()))-($L235+$M235)))),"")</f>
        <v/>
      </c>
      <c r="X235" s="29">
        <f>IFERROR(IF($B235="","",INDEX('Key Inventory'!$I$5:$I$104,MATCH($B235,'Key Inventory'!$A$5:$A$104,0))),"")</f>
        <v/>
      </c>
      <c r="Y235" s="25">
        <f>IFERROR(IF(AND(OR($V235="Checked Out",$V235="Overdue"),$X235&gt;=Dashboard!$B$9),"Review",""),"")</f>
        <v/>
      </c>
      <c r="Z235" s="24" t="n"/>
      <c r="AA235" s="25">
        <f>IFERROR(IF(OR($V235="Checked Out",$V235="Overdue"),$B235,""),"")</f>
        <v/>
      </c>
    </row>
    <row r="236">
      <c r="A236" s="24" t="n"/>
      <c r="B236" s="24" t="n"/>
      <c r="C236" s="25">
        <f>IFERROR(IF($B236="","",INDEX('Key Inventory'!$B$5:$B$104,MATCH($B236,'Key Inventory'!$A$5:$A$104,0))),"")</f>
        <v/>
      </c>
      <c r="D236" s="25">
        <f>IFERROR(IF($B236="","",INDEX('Key Inventory'!$C$5:$C$104,MATCH($B236,'Key Inventory'!$A$5:$A$104,0))),"")</f>
        <v/>
      </c>
      <c r="E236" s="25">
        <f>IFERROR(IF($B236="","",INDEX('Key Inventory'!$D$5:$D$104,MATCH($B236,'Key Inventory'!$A$5:$A$104,0))),"")</f>
        <v/>
      </c>
      <c r="F236" s="24" t="n"/>
      <c r="G236" s="24" t="n"/>
      <c r="H236" s="24" t="n"/>
      <c r="I236" s="24" t="n"/>
      <c r="J236" s="24" t="n"/>
      <c r="K236" s="24" t="n"/>
      <c r="L236" s="26" t="n"/>
      <c r="M236" s="27" t="n"/>
      <c r="N236" s="26" t="n"/>
      <c r="O236" s="27" t="n"/>
      <c r="P236" s="26" t="n"/>
      <c r="Q236" s="27" t="n"/>
      <c r="R236" s="24" t="n"/>
      <c r="S236" s="24" t="n"/>
      <c r="T236" s="24" t="n"/>
      <c r="U236" s="24" t="n"/>
      <c r="V236" s="25">
        <f>IFERROR(IF(OR($A236="",$B236=""),"",IF($P236&lt;&gt;"","Returned",IF(NOW()&gt;$N236+$O236+(Dashboard!$B$7/24),"Overdue","Checked Out"))),"")</f>
        <v/>
      </c>
      <c r="W236" s="28">
        <f>IFERROR(IF($L236="","",MAX(0,24*((IF($P236&lt;&gt;"",$P236+$Q236,NOW()))-($L236+$M236)))),"")</f>
        <v/>
      </c>
      <c r="X236" s="29">
        <f>IFERROR(IF($B236="","",INDEX('Key Inventory'!$I$5:$I$104,MATCH($B236,'Key Inventory'!$A$5:$A$104,0))),"")</f>
        <v/>
      </c>
      <c r="Y236" s="25">
        <f>IFERROR(IF(AND(OR($V236="Checked Out",$V236="Overdue"),$X236&gt;=Dashboard!$B$9),"Review",""),"")</f>
        <v/>
      </c>
      <c r="Z236" s="24" t="n"/>
      <c r="AA236" s="25">
        <f>IFERROR(IF(OR($V236="Checked Out",$V236="Overdue"),$B236,""),"")</f>
        <v/>
      </c>
    </row>
    <row r="237">
      <c r="A237" s="24" t="n"/>
      <c r="B237" s="24" t="n"/>
      <c r="C237" s="25">
        <f>IFERROR(IF($B237="","",INDEX('Key Inventory'!$B$5:$B$104,MATCH($B237,'Key Inventory'!$A$5:$A$104,0))),"")</f>
        <v/>
      </c>
      <c r="D237" s="25">
        <f>IFERROR(IF($B237="","",INDEX('Key Inventory'!$C$5:$C$104,MATCH($B237,'Key Inventory'!$A$5:$A$104,0))),"")</f>
        <v/>
      </c>
      <c r="E237" s="25">
        <f>IFERROR(IF($B237="","",INDEX('Key Inventory'!$D$5:$D$104,MATCH($B237,'Key Inventory'!$A$5:$A$104,0))),"")</f>
        <v/>
      </c>
      <c r="F237" s="24" t="n"/>
      <c r="G237" s="24" t="n"/>
      <c r="H237" s="24" t="n"/>
      <c r="I237" s="24" t="n"/>
      <c r="J237" s="24" t="n"/>
      <c r="K237" s="24" t="n"/>
      <c r="L237" s="26" t="n"/>
      <c r="M237" s="27" t="n"/>
      <c r="N237" s="26" t="n"/>
      <c r="O237" s="27" t="n"/>
      <c r="P237" s="26" t="n"/>
      <c r="Q237" s="27" t="n"/>
      <c r="R237" s="24" t="n"/>
      <c r="S237" s="24" t="n"/>
      <c r="T237" s="24" t="n"/>
      <c r="U237" s="24" t="n"/>
      <c r="V237" s="25">
        <f>IFERROR(IF(OR($A237="",$B237=""),"",IF($P237&lt;&gt;"","Returned",IF(NOW()&gt;$N237+$O237+(Dashboard!$B$7/24),"Overdue","Checked Out"))),"")</f>
        <v/>
      </c>
      <c r="W237" s="28">
        <f>IFERROR(IF($L237="","",MAX(0,24*((IF($P237&lt;&gt;"",$P237+$Q237,NOW()))-($L237+$M237)))),"")</f>
        <v/>
      </c>
      <c r="X237" s="29">
        <f>IFERROR(IF($B237="","",INDEX('Key Inventory'!$I$5:$I$104,MATCH($B237,'Key Inventory'!$A$5:$A$104,0))),"")</f>
        <v/>
      </c>
      <c r="Y237" s="25">
        <f>IFERROR(IF(AND(OR($V237="Checked Out",$V237="Overdue"),$X237&gt;=Dashboard!$B$9),"Review",""),"")</f>
        <v/>
      </c>
      <c r="Z237" s="24" t="n"/>
      <c r="AA237" s="25">
        <f>IFERROR(IF(OR($V237="Checked Out",$V237="Overdue"),$B237,""),"")</f>
        <v/>
      </c>
    </row>
    <row r="238">
      <c r="A238" s="24" t="n"/>
      <c r="B238" s="24" t="n"/>
      <c r="C238" s="25">
        <f>IFERROR(IF($B238="","",INDEX('Key Inventory'!$B$5:$B$104,MATCH($B238,'Key Inventory'!$A$5:$A$104,0))),"")</f>
        <v/>
      </c>
      <c r="D238" s="25">
        <f>IFERROR(IF($B238="","",INDEX('Key Inventory'!$C$5:$C$104,MATCH($B238,'Key Inventory'!$A$5:$A$104,0))),"")</f>
        <v/>
      </c>
      <c r="E238" s="25">
        <f>IFERROR(IF($B238="","",INDEX('Key Inventory'!$D$5:$D$104,MATCH($B238,'Key Inventory'!$A$5:$A$104,0))),"")</f>
        <v/>
      </c>
      <c r="F238" s="24" t="n"/>
      <c r="G238" s="24" t="n"/>
      <c r="H238" s="24" t="n"/>
      <c r="I238" s="24" t="n"/>
      <c r="J238" s="24" t="n"/>
      <c r="K238" s="24" t="n"/>
      <c r="L238" s="26" t="n"/>
      <c r="M238" s="27" t="n"/>
      <c r="N238" s="26" t="n"/>
      <c r="O238" s="27" t="n"/>
      <c r="P238" s="26" t="n"/>
      <c r="Q238" s="27" t="n"/>
      <c r="R238" s="24" t="n"/>
      <c r="S238" s="24" t="n"/>
      <c r="T238" s="24" t="n"/>
      <c r="U238" s="24" t="n"/>
      <c r="V238" s="25">
        <f>IFERROR(IF(OR($A238="",$B238=""),"",IF($P238&lt;&gt;"","Returned",IF(NOW()&gt;$N238+$O238+(Dashboard!$B$7/24),"Overdue","Checked Out"))),"")</f>
        <v/>
      </c>
      <c r="W238" s="28">
        <f>IFERROR(IF($L238="","",MAX(0,24*((IF($P238&lt;&gt;"",$P238+$Q238,NOW()))-($L238+$M238)))),"")</f>
        <v/>
      </c>
      <c r="X238" s="29">
        <f>IFERROR(IF($B238="","",INDEX('Key Inventory'!$I$5:$I$104,MATCH($B238,'Key Inventory'!$A$5:$A$104,0))),"")</f>
        <v/>
      </c>
      <c r="Y238" s="25">
        <f>IFERROR(IF(AND(OR($V238="Checked Out",$V238="Overdue"),$X238&gt;=Dashboard!$B$9),"Review",""),"")</f>
        <v/>
      </c>
      <c r="Z238" s="24" t="n"/>
      <c r="AA238" s="25">
        <f>IFERROR(IF(OR($V238="Checked Out",$V238="Overdue"),$B238,""),"")</f>
        <v/>
      </c>
    </row>
    <row r="239">
      <c r="A239" s="24" t="n"/>
      <c r="B239" s="24" t="n"/>
      <c r="C239" s="25">
        <f>IFERROR(IF($B239="","",INDEX('Key Inventory'!$B$5:$B$104,MATCH($B239,'Key Inventory'!$A$5:$A$104,0))),"")</f>
        <v/>
      </c>
      <c r="D239" s="25">
        <f>IFERROR(IF($B239="","",INDEX('Key Inventory'!$C$5:$C$104,MATCH($B239,'Key Inventory'!$A$5:$A$104,0))),"")</f>
        <v/>
      </c>
      <c r="E239" s="25">
        <f>IFERROR(IF($B239="","",INDEX('Key Inventory'!$D$5:$D$104,MATCH($B239,'Key Inventory'!$A$5:$A$104,0))),"")</f>
        <v/>
      </c>
      <c r="F239" s="24" t="n"/>
      <c r="G239" s="24" t="n"/>
      <c r="H239" s="24" t="n"/>
      <c r="I239" s="24" t="n"/>
      <c r="J239" s="24" t="n"/>
      <c r="K239" s="24" t="n"/>
      <c r="L239" s="26" t="n"/>
      <c r="M239" s="27" t="n"/>
      <c r="N239" s="26" t="n"/>
      <c r="O239" s="27" t="n"/>
      <c r="P239" s="26" t="n"/>
      <c r="Q239" s="27" t="n"/>
      <c r="R239" s="24" t="n"/>
      <c r="S239" s="24" t="n"/>
      <c r="T239" s="24" t="n"/>
      <c r="U239" s="24" t="n"/>
      <c r="V239" s="25">
        <f>IFERROR(IF(OR($A239="",$B239=""),"",IF($P239&lt;&gt;"","Returned",IF(NOW()&gt;$N239+$O239+(Dashboard!$B$7/24),"Overdue","Checked Out"))),"")</f>
        <v/>
      </c>
      <c r="W239" s="28">
        <f>IFERROR(IF($L239="","",MAX(0,24*((IF($P239&lt;&gt;"",$P239+$Q239,NOW()))-($L239+$M239)))),"")</f>
        <v/>
      </c>
      <c r="X239" s="29">
        <f>IFERROR(IF($B239="","",INDEX('Key Inventory'!$I$5:$I$104,MATCH($B239,'Key Inventory'!$A$5:$A$104,0))),"")</f>
        <v/>
      </c>
      <c r="Y239" s="25">
        <f>IFERROR(IF(AND(OR($V239="Checked Out",$V239="Overdue"),$X239&gt;=Dashboard!$B$9),"Review",""),"")</f>
        <v/>
      </c>
      <c r="Z239" s="24" t="n"/>
      <c r="AA239" s="25">
        <f>IFERROR(IF(OR($V239="Checked Out",$V239="Overdue"),$B239,""),"")</f>
        <v/>
      </c>
    </row>
    <row r="240">
      <c r="A240" s="24" t="n"/>
      <c r="B240" s="24" t="n"/>
      <c r="C240" s="25">
        <f>IFERROR(IF($B240="","",INDEX('Key Inventory'!$B$5:$B$104,MATCH($B240,'Key Inventory'!$A$5:$A$104,0))),"")</f>
        <v/>
      </c>
      <c r="D240" s="25">
        <f>IFERROR(IF($B240="","",INDEX('Key Inventory'!$C$5:$C$104,MATCH($B240,'Key Inventory'!$A$5:$A$104,0))),"")</f>
        <v/>
      </c>
      <c r="E240" s="25">
        <f>IFERROR(IF($B240="","",INDEX('Key Inventory'!$D$5:$D$104,MATCH($B240,'Key Inventory'!$A$5:$A$104,0))),"")</f>
        <v/>
      </c>
      <c r="F240" s="24" t="n"/>
      <c r="G240" s="24" t="n"/>
      <c r="H240" s="24" t="n"/>
      <c r="I240" s="24" t="n"/>
      <c r="J240" s="24" t="n"/>
      <c r="K240" s="24" t="n"/>
      <c r="L240" s="26" t="n"/>
      <c r="M240" s="27" t="n"/>
      <c r="N240" s="26" t="n"/>
      <c r="O240" s="27" t="n"/>
      <c r="P240" s="26" t="n"/>
      <c r="Q240" s="27" t="n"/>
      <c r="R240" s="24" t="n"/>
      <c r="S240" s="24" t="n"/>
      <c r="T240" s="24" t="n"/>
      <c r="U240" s="24" t="n"/>
      <c r="V240" s="25">
        <f>IFERROR(IF(OR($A240="",$B240=""),"",IF($P240&lt;&gt;"","Returned",IF(NOW()&gt;$N240+$O240+(Dashboard!$B$7/24),"Overdue","Checked Out"))),"")</f>
        <v/>
      </c>
      <c r="W240" s="28">
        <f>IFERROR(IF($L240="","",MAX(0,24*((IF($P240&lt;&gt;"",$P240+$Q240,NOW()))-($L240+$M240)))),"")</f>
        <v/>
      </c>
      <c r="X240" s="29">
        <f>IFERROR(IF($B240="","",INDEX('Key Inventory'!$I$5:$I$104,MATCH($B240,'Key Inventory'!$A$5:$A$104,0))),"")</f>
        <v/>
      </c>
      <c r="Y240" s="25">
        <f>IFERROR(IF(AND(OR($V240="Checked Out",$V240="Overdue"),$X240&gt;=Dashboard!$B$9),"Review",""),"")</f>
        <v/>
      </c>
      <c r="Z240" s="24" t="n"/>
      <c r="AA240" s="25">
        <f>IFERROR(IF(OR($V240="Checked Out",$V240="Overdue"),$B240,""),"")</f>
        <v/>
      </c>
    </row>
    <row r="241">
      <c r="A241" s="24" t="n"/>
      <c r="B241" s="24" t="n"/>
      <c r="C241" s="25">
        <f>IFERROR(IF($B241="","",INDEX('Key Inventory'!$B$5:$B$104,MATCH($B241,'Key Inventory'!$A$5:$A$104,0))),"")</f>
        <v/>
      </c>
      <c r="D241" s="25">
        <f>IFERROR(IF($B241="","",INDEX('Key Inventory'!$C$5:$C$104,MATCH($B241,'Key Inventory'!$A$5:$A$104,0))),"")</f>
        <v/>
      </c>
      <c r="E241" s="25">
        <f>IFERROR(IF($B241="","",INDEX('Key Inventory'!$D$5:$D$104,MATCH($B241,'Key Inventory'!$A$5:$A$104,0))),"")</f>
        <v/>
      </c>
      <c r="F241" s="24" t="n"/>
      <c r="G241" s="24" t="n"/>
      <c r="H241" s="24" t="n"/>
      <c r="I241" s="24" t="n"/>
      <c r="J241" s="24" t="n"/>
      <c r="K241" s="24" t="n"/>
      <c r="L241" s="26" t="n"/>
      <c r="M241" s="27" t="n"/>
      <c r="N241" s="26" t="n"/>
      <c r="O241" s="27" t="n"/>
      <c r="P241" s="26" t="n"/>
      <c r="Q241" s="27" t="n"/>
      <c r="R241" s="24" t="n"/>
      <c r="S241" s="24" t="n"/>
      <c r="T241" s="24" t="n"/>
      <c r="U241" s="24" t="n"/>
      <c r="V241" s="25">
        <f>IFERROR(IF(OR($A241="",$B241=""),"",IF($P241&lt;&gt;"","Returned",IF(NOW()&gt;$N241+$O241+(Dashboard!$B$7/24),"Overdue","Checked Out"))),"")</f>
        <v/>
      </c>
      <c r="W241" s="28">
        <f>IFERROR(IF($L241="","",MAX(0,24*((IF($P241&lt;&gt;"",$P241+$Q241,NOW()))-($L241+$M241)))),"")</f>
        <v/>
      </c>
      <c r="X241" s="29">
        <f>IFERROR(IF($B241="","",INDEX('Key Inventory'!$I$5:$I$104,MATCH($B241,'Key Inventory'!$A$5:$A$104,0))),"")</f>
        <v/>
      </c>
      <c r="Y241" s="25">
        <f>IFERROR(IF(AND(OR($V241="Checked Out",$V241="Overdue"),$X241&gt;=Dashboard!$B$9),"Review",""),"")</f>
        <v/>
      </c>
      <c r="Z241" s="24" t="n"/>
      <c r="AA241" s="25">
        <f>IFERROR(IF(OR($V241="Checked Out",$V241="Overdue"),$B241,""),"")</f>
        <v/>
      </c>
    </row>
    <row r="242">
      <c r="A242" s="24" t="n"/>
      <c r="B242" s="24" t="n"/>
      <c r="C242" s="25">
        <f>IFERROR(IF($B242="","",INDEX('Key Inventory'!$B$5:$B$104,MATCH($B242,'Key Inventory'!$A$5:$A$104,0))),"")</f>
        <v/>
      </c>
      <c r="D242" s="25">
        <f>IFERROR(IF($B242="","",INDEX('Key Inventory'!$C$5:$C$104,MATCH($B242,'Key Inventory'!$A$5:$A$104,0))),"")</f>
        <v/>
      </c>
      <c r="E242" s="25">
        <f>IFERROR(IF($B242="","",INDEX('Key Inventory'!$D$5:$D$104,MATCH($B242,'Key Inventory'!$A$5:$A$104,0))),"")</f>
        <v/>
      </c>
      <c r="F242" s="24" t="n"/>
      <c r="G242" s="24" t="n"/>
      <c r="H242" s="24" t="n"/>
      <c r="I242" s="24" t="n"/>
      <c r="J242" s="24" t="n"/>
      <c r="K242" s="24" t="n"/>
      <c r="L242" s="26" t="n"/>
      <c r="M242" s="27" t="n"/>
      <c r="N242" s="26" t="n"/>
      <c r="O242" s="27" t="n"/>
      <c r="P242" s="26" t="n"/>
      <c r="Q242" s="27" t="n"/>
      <c r="R242" s="24" t="n"/>
      <c r="S242" s="24" t="n"/>
      <c r="T242" s="24" t="n"/>
      <c r="U242" s="24" t="n"/>
      <c r="V242" s="25">
        <f>IFERROR(IF(OR($A242="",$B242=""),"",IF($P242&lt;&gt;"","Returned",IF(NOW()&gt;$N242+$O242+(Dashboard!$B$7/24),"Overdue","Checked Out"))),"")</f>
        <v/>
      </c>
      <c r="W242" s="28">
        <f>IFERROR(IF($L242="","",MAX(0,24*((IF($P242&lt;&gt;"",$P242+$Q242,NOW()))-($L242+$M242)))),"")</f>
        <v/>
      </c>
      <c r="X242" s="29">
        <f>IFERROR(IF($B242="","",INDEX('Key Inventory'!$I$5:$I$104,MATCH($B242,'Key Inventory'!$A$5:$A$104,0))),"")</f>
        <v/>
      </c>
      <c r="Y242" s="25">
        <f>IFERROR(IF(AND(OR($V242="Checked Out",$V242="Overdue"),$X242&gt;=Dashboard!$B$9),"Review",""),"")</f>
        <v/>
      </c>
      <c r="Z242" s="24" t="n"/>
      <c r="AA242" s="25">
        <f>IFERROR(IF(OR($V242="Checked Out",$V242="Overdue"),$B242,""),"")</f>
        <v/>
      </c>
    </row>
    <row r="243">
      <c r="A243" s="24" t="n"/>
      <c r="B243" s="24" t="n"/>
      <c r="C243" s="25">
        <f>IFERROR(IF($B243="","",INDEX('Key Inventory'!$B$5:$B$104,MATCH($B243,'Key Inventory'!$A$5:$A$104,0))),"")</f>
        <v/>
      </c>
      <c r="D243" s="25">
        <f>IFERROR(IF($B243="","",INDEX('Key Inventory'!$C$5:$C$104,MATCH($B243,'Key Inventory'!$A$5:$A$104,0))),"")</f>
        <v/>
      </c>
      <c r="E243" s="25">
        <f>IFERROR(IF($B243="","",INDEX('Key Inventory'!$D$5:$D$104,MATCH($B243,'Key Inventory'!$A$5:$A$104,0))),"")</f>
        <v/>
      </c>
      <c r="F243" s="24" t="n"/>
      <c r="G243" s="24" t="n"/>
      <c r="H243" s="24" t="n"/>
      <c r="I243" s="24" t="n"/>
      <c r="J243" s="24" t="n"/>
      <c r="K243" s="24" t="n"/>
      <c r="L243" s="26" t="n"/>
      <c r="M243" s="27" t="n"/>
      <c r="N243" s="26" t="n"/>
      <c r="O243" s="27" t="n"/>
      <c r="P243" s="26" t="n"/>
      <c r="Q243" s="27" t="n"/>
      <c r="R243" s="24" t="n"/>
      <c r="S243" s="24" t="n"/>
      <c r="T243" s="24" t="n"/>
      <c r="U243" s="24" t="n"/>
      <c r="V243" s="25">
        <f>IFERROR(IF(OR($A243="",$B243=""),"",IF($P243&lt;&gt;"","Returned",IF(NOW()&gt;$N243+$O243+(Dashboard!$B$7/24),"Overdue","Checked Out"))),"")</f>
        <v/>
      </c>
      <c r="W243" s="28">
        <f>IFERROR(IF($L243="","",MAX(0,24*((IF($P243&lt;&gt;"",$P243+$Q243,NOW()))-($L243+$M243)))),"")</f>
        <v/>
      </c>
      <c r="X243" s="29">
        <f>IFERROR(IF($B243="","",INDEX('Key Inventory'!$I$5:$I$104,MATCH($B243,'Key Inventory'!$A$5:$A$104,0))),"")</f>
        <v/>
      </c>
      <c r="Y243" s="25">
        <f>IFERROR(IF(AND(OR($V243="Checked Out",$V243="Overdue"),$X243&gt;=Dashboard!$B$9),"Review",""),"")</f>
        <v/>
      </c>
      <c r="Z243" s="24" t="n"/>
      <c r="AA243" s="25">
        <f>IFERROR(IF(OR($V243="Checked Out",$V243="Overdue"),$B243,""),"")</f>
        <v/>
      </c>
    </row>
    <row r="244">
      <c r="A244" s="24" t="n"/>
      <c r="B244" s="24" t="n"/>
      <c r="C244" s="25">
        <f>IFERROR(IF($B244="","",INDEX('Key Inventory'!$B$5:$B$104,MATCH($B244,'Key Inventory'!$A$5:$A$104,0))),"")</f>
        <v/>
      </c>
      <c r="D244" s="25">
        <f>IFERROR(IF($B244="","",INDEX('Key Inventory'!$C$5:$C$104,MATCH($B244,'Key Inventory'!$A$5:$A$104,0))),"")</f>
        <v/>
      </c>
      <c r="E244" s="25">
        <f>IFERROR(IF($B244="","",INDEX('Key Inventory'!$D$5:$D$104,MATCH($B244,'Key Inventory'!$A$5:$A$104,0))),"")</f>
        <v/>
      </c>
      <c r="F244" s="24" t="n"/>
      <c r="G244" s="24" t="n"/>
      <c r="H244" s="24" t="n"/>
      <c r="I244" s="24" t="n"/>
      <c r="J244" s="24" t="n"/>
      <c r="K244" s="24" t="n"/>
      <c r="L244" s="26" t="n"/>
      <c r="M244" s="27" t="n"/>
      <c r="N244" s="26" t="n"/>
      <c r="O244" s="27" t="n"/>
      <c r="P244" s="26" t="n"/>
      <c r="Q244" s="27" t="n"/>
      <c r="R244" s="24" t="n"/>
      <c r="S244" s="24" t="n"/>
      <c r="T244" s="24" t="n"/>
      <c r="U244" s="24" t="n"/>
      <c r="V244" s="25">
        <f>IFERROR(IF(OR($A244="",$B244=""),"",IF($P244&lt;&gt;"","Returned",IF(NOW()&gt;$N244+$O244+(Dashboard!$B$7/24),"Overdue","Checked Out"))),"")</f>
        <v/>
      </c>
      <c r="W244" s="28">
        <f>IFERROR(IF($L244="","",MAX(0,24*((IF($P244&lt;&gt;"",$P244+$Q244,NOW()))-($L244+$M244)))),"")</f>
        <v/>
      </c>
      <c r="X244" s="29">
        <f>IFERROR(IF($B244="","",INDEX('Key Inventory'!$I$5:$I$104,MATCH($B244,'Key Inventory'!$A$5:$A$104,0))),"")</f>
        <v/>
      </c>
      <c r="Y244" s="25">
        <f>IFERROR(IF(AND(OR($V244="Checked Out",$V244="Overdue"),$X244&gt;=Dashboard!$B$9),"Review",""),"")</f>
        <v/>
      </c>
      <c r="Z244" s="24" t="n"/>
      <c r="AA244" s="25">
        <f>IFERROR(IF(OR($V244="Checked Out",$V244="Overdue"),$B244,""),"")</f>
        <v/>
      </c>
    </row>
    <row r="245">
      <c r="A245" s="24" t="n"/>
      <c r="B245" s="24" t="n"/>
      <c r="C245" s="25">
        <f>IFERROR(IF($B245="","",INDEX('Key Inventory'!$B$5:$B$104,MATCH($B245,'Key Inventory'!$A$5:$A$104,0))),"")</f>
        <v/>
      </c>
      <c r="D245" s="25">
        <f>IFERROR(IF($B245="","",INDEX('Key Inventory'!$C$5:$C$104,MATCH($B245,'Key Inventory'!$A$5:$A$104,0))),"")</f>
        <v/>
      </c>
      <c r="E245" s="25">
        <f>IFERROR(IF($B245="","",INDEX('Key Inventory'!$D$5:$D$104,MATCH($B245,'Key Inventory'!$A$5:$A$104,0))),"")</f>
        <v/>
      </c>
      <c r="F245" s="24" t="n"/>
      <c r="G245" s="24" t="n"/>
      <c r="H245" s="24" t="n"/>
      <c r="I245" s="24" t="n"/>
      <c r="J245" s="24" t="n"/>
      <c r="K245" s="24" t="n"/>
      <c r="L245" s="26" t="n"/>
      <c r="M245" s="27" t="n"/>
      <c r="N245" s="26" t="n"/>
      <c r="O245" s="27" t="n"/>
      <c r="P245" s="26" t="n"/>
      <c r="Q245" s="27" t="n"/>
      <c r="R245" s="24" t="n"/>
      <c r="S245" s="24" t="n"/>
      <c r="T245" s="24" t="n"/>
      <c r="U245" s="24" t="n"/>
      <c r="V245" s="25">
        <f>IFERROR(IF(OR($A245="",$B245=""),"",IF($P245&lt;&gt;"","Returned",IF(NOW()&gt;$N245+$O245+(Dashboard!$B$7/24),"Overdue","Checked Out"))),"")</f>
        <v/>
      </c>
      <c r="W245" s="28">
        <f>IFERROR(IF($L245="","",MAX(0,24*((IF($P245&lt;&gt;"",$P245+$Q245,NOW()))-($L245+$M245)))),"")</f>
        <v/>
      </c>
      <c r="X245" s="29">
        <f>IFERROR(IF($B245="","",INDEX('Key Inventory'!$I$5:$I$104,MATCH($B245,'Key Inventory'!$A$5:$A$104,0))),"")</f>
        <v/>
      </c>
      <c r="Y245" s="25">
        <f>IFERROR(IF(AND(OR($V245="Checked Out",$V245="Overdue"),$X245&gt;=Dashboard!$B$9),"Review",""),"")</f>
        <v/>
      </c>
      <c r="Z245" s="24" t="n"/>
      <c r="AA245" s="25">
        <f>IFERROR(IF(OR($V245="Checked Out",$V245="Overdue"),$B245,""),"")</f>
        <v/>
      </c>
    </row>
    <row r="246">
      <c r="A246" s="24" t="n"/>
      <c r="B246" s="24" t="n"/>
      <c r="C246" s="25">
        <f>IFERROR(IF($B246="","",INDEX('Key Inventory'!$B$5:$B$104,MATCH($B246,'Key Inventory'!$A$5:$A$104,0))),"")</f>
        <v/>
      </c>
      <c r="D246" s="25">
        <f>IFERROR(IF($B246="","",INDEX('Key Inventory'!$C$5:$C$104,MATCH($B246,'Key Inventory'!$A$5:$A$104,0))),"")</f>
        <v/>
      </c>
      <c r="E246" s="25">
        <f>IFERROR(IF($B246="","",INDEX('Key Inventory'!$D$5:$D$104,MATCH($B246,'Key Inventory'!$A$5:$A$104,0))),"")</f>
        <v/>
      </c>
      <c r="F246" s="24" t="n"/>
      <c r="G246" s="24" t="n"/>
      <c r="H246" s="24" t="n"/>
      <c r="I246" s="24" t="n"/>
      <c r="J246" s="24" t="n"/>
      <c r="K246" s="24" t="n"/>
      <c r="L246" s="26" t="n"/>
      <c r="M246" s="27" t="n"/>
      <c r="N246" s="26" t="n"/>
      <c r="O246" s="27" t="n"/>
      <c r="P246" s="26" t="n"/>
      <c r="Q246" s="27" t="n"/>
      <c r="R246" s="24" t="n"/>
      <c r="S246" s="24" t="n"/>
      <c r="T246" s="24" t="n"/>
      <c r="U246" s="24" t="n"/>
      <c r="V246" s="25">
        <f>IFERROR(IF(OR($A246="",$B246=""),"",IF($P246&lt;&gt;"","Returned",IF(NOW()&gt;$N246+$O246+(Dashboard!$B$7/24),"Overdue","Checked Out"))),"")</f>
        <v/>
      </c>
      <c r="W246" s="28">
        <f>IFERROR(IF($L246="","",MAX(0,24*((IF($P246&lt;&gt;"",$P246+$Q246,NOW()))-($L246+$M246)))),"")</f>
        <v/>
      </c>
      <c r="X246" s="29">
        <f>IFERROR(IF($B246="","",INDEX('Key Inventory'!$I$5:$I$104,MATCH($B246,'Key Inventory'!$A$5:$A$104,0))),"")</f>
        <v/>
      </c>
      <c r="Y246" s="25">
        <f>IFERROR(IF(AND(OR($V246="Checked Out",$V246="Overdue"),$X246&gt;=Dashboard!$B$9),"Review",""),"")</f>
        <v/>
      </c>
      <c r="Z246" s="24" t="n"/>
      <c r="AA246" s="25">
        <f>IFERROR(IF(OR($V246="Checked Out",$V246="Overdue"),$B246,""),"")</f>
        <v/>
      </c>
    </row>
    <row r="247">
      <c r="A247" s="24" t="n"/>
      <c r="B247" s="24" t="n"/>
      <c r="C247" s="25">
        <f>IFERROR(IF($B247="","",INDEX('Key Inventory'!$B$5:$B$104,MATCH($B247,'Key Inventory'!$A$5:$A$104,0))),"")</f>
        <v/>
      </c>
      <c r="D247" s="25">
        <f>IFERROR(IF($B247="","",INDEX('Key Inventory'!$C$5:$C$104,MATCH($B247,'Key Inventory'!$A$5:$A$104,0))),"")</f>
        <v/>
      </c>
      <c r="E247" s="25">
        <f>IFERROR(IF($B247="","",INDEX('Key Inventory'!$D$5:$D$104,MATCH($B247,'Key Inventory'!$A$5:$A$104,0))),"")</f>
        <v/>
      </c>
      <c r="F247" s="24" t="n"/>
      <c r="G247" s="24" t="n"/>
      <c r="H247" s="24" t="n"/>
      <c r="I247" s="24" t="n"/>
      <c r="J247" s="24" t="n"/>
      <c r="K247" s="24" t="n"/>
      <c r="L247" s="26" t="n"/>
      <c r="M247" s="27" t="n"/>
      <c r="N247" s="26" t="n"/>
      <c r="O247" s="27" t="n"/>
      <c r="P247" s="26" t="n"/>
      <c r="Q247" s="27" t="n"/>
      <c r="R247" s="24" t="n"/>
      <c r="S247" s="24" t="n"/>
      <c r="T247" s="24" t="n"/>
      <c r="U247" s="24" t="n"/>
      <c r="V247" s="25">
        <f>IFERROR(IF(OR($A247="",$B247=""),"",IF($P247&lt;&gt;"","Returned",IF(NOW()&gt;$N247+$O247+(Dashboard!$B$7/24),"Overdue","Checked Out"))),"")</f>
        <v/>
      </c>
      <c r="W247" s="28">
        <f>IFERROR(IF($L247="","",MAX(0,24*((IF($P247&lt;&gt;"",$P247+$Q247,NOW()))-($L247+$M247)))),"")</f>
        <v/>
      </c>
      <c r="X247" s="29">
        <f>IFERROR(IF($B247="","",INDEX('Key Inventory'!$I$5:$I$104,MATCH($B247,'Key Inventory'!$A$5:$A$104,0))),"")</f>
        <v/>
      </c>
      <c r="Y247" s="25">
        <f>IFERROR(IF(AND(OR($V247="Checked Out",$V247="Overdue"),$X247&gt;=Dashboard!$B$9),"Review",""),"")</f>
        <v/>
      </c>
      <c r="Z247" s="24" t="n"/>
      <c r="AA247" s="25">
        <f>IFERROR(IF(OR($V247="Checked Out",$V247="Overdue"),$B247,""),"")</f>
        <v/>
      </c>
    </row>
    <row r="248">
      <c r="A248" s="24" t="n"/>
      <c r="B248" s="24" t="n"/>
      <c r="C248" s="25">
        <f>IFERROR(IF($B248="","",INDEX('Key Inventory'!$B$5:$B$104,MATCH($B248,'Key Inventory'!$A$5:$A$104,0))),"")</f>
        <v/>
      </c>
      <c r="D248" s="25">
        <f>IFERROR(IF($B248="","",INDEX('Key Inventory'!$C$5:$C$104,MATCH($B248,'Key Inventory'!$A$5:$A$104,0))),"")</f>
        <v/>
      </c>
      <c r="E248" s="25">
        <f>IFERROR(IF($B248="","",INDEX('Key Inventory'!$D$5:$D$104,MATCH($B248,'Key Inventory'!$A$5:$A$104,0))),"")</f>
        <v/>
      </c>
      <c r="F248" s="24" t="n"/>
      <c r="G248" s="24" t="n"/>
      <c r="H248" s="24" t="n"/>
      <c r="I248" s="24" t="n"/>
      <c r="J248" s="24" t="n"/>
      <c r="K248" s="24" t="n"/>
      <c r="L248" s="26" t="n"/>
      <c r="M248" s="27" t="n"/>
      <c r="N248" s="26" t="n"/>
      <c r="O248" s="27" t="n"/>
      <c r="P248" s="26" t="n"/>
      <c r="Q248" s="27" t="n"/>
      <c r="R248" s="24" t="n"/>
      <c r="S248" s="24" t="n"/>
      <c r="T248" s="24" t="n"/>
      <c r="U248" s="24" t="n"/>
      <c r="V248" s="25">
        <f>IFERROR(IF(OR($A248="",$B248=""),"",IF($P248&lt;&gt;"","Returned",IF(NOW()&gt;$N248+$O248+(Dashboard!$B$7/24),"Overdue","Checked Out"))),"")</f>
        <v/>
      </c>
      <c r="W248" s="28">
        <f>IFERROR(IF($L248="","",MAX(0,24*((IF($P248&lt;&gt;"",$P248+$Q248,NOW()))-($L248+$M248)))),"")</f>
        <v/>
      </c>
      <c r="X248" s="29">
        <f>IFERROR(IF($B248="","",INDEX('Key Inventory'!$I$5:$I$104,MATCH($B248,'Key Inventory'!$A$5:$A$104,0))),"")</f>
        <v/>
      </c>
      <c r="Y248" s="25">
        <f>IFERROR(IF(AND(OR($V248="Checked Out",$V248="Overdue"),$X248&gt;=Dashboard!$B$9),"Review",""),"")</f>
        <v/>
      </c>
      <c r="Z248" s="24" t="n"/>
      <c r="AA248" s="25">
        <f>IFERROR(IF(OR($V248="Checked Out",$V248="Overdue"),$B248,""),"")</f>
        <v/>
      </c>
    </row>
    <row r="249">
      <c r="A249" s="24" t="n"/>
      <c r="B249" s="24" t="n"/>
      <c r="C249" s="25">
        <f>IFERROR(IF($B249="","",INDEX('Key Inventory'!$B$5:$B$104,MATCH($B249,'Key Inventory'!$A$5:$A$104,0))),"")</f>
        <v/>
      </c>
      <c r="D249" s="25">
        <f>IFERROR(IF($B249="","",INDEX('Key Inventory'!$C$5:$C$104,MATCH($B249,'Key Inventory'!$A$5:$A$104,0))),"")</f>
        <v/>
      </c>
      <c r="E249" s="25">
        <f>IFERROR(IF($B249="","",INDEX('Key Inventory'!$D$5:$D$104,MATCH($B249,'Key Inventory'!$A$5:$A$104,0))),"")</f>
        <v/>
      </c>
      <c r="F249" s="24" t="n"/>
      <c r="G249" s="24" t="n"/>
      <c r="H249" s="24" t="n"/>
      <c r="I249" s="24" t="n"/>
      <c r="J249" s="24" t="n"/>
      <c r="K249" s="24" t="n"/>
      <c r="L249" s="26" t="n"/>
      <c r="M249" s="27" t="n"/>
      <c r="N249" s="26" t="n"/>
      <c r="O249" s="27" t="n"/>
      <c r="P249" s="26" t="n"/>
      <c r="Q249" s="27" t="n"/>
      <c r="R249" s="24" t="n"/>
      <c r="S249" s="24" t="n"/>
      <c r="T249" s="24" t="n"/>
      <c r="U249" s="24" t="n"/>
      <c r="V249" s="25">
        <f>IFERROR(IF(OR($A249="",$B249=""),"",IF($P249&lt;&gt;"","Returned",IF(NOW()&gt;$N249+$O249+(Dashboard!$B$7/24),"Overdue","Checked Out"))),"")</f>
        <v/>
      </c>
      <c r="W249" s="28">
        <f>IFERROR(IF($L249="","",MAX(0,24*((IF($P249&lt;&gt;"",$P249+$Q249,NOW()))-($L249+$M249)))),"")</f>
        <v/>
      </c>
      <c r="X249" s="29">
        <f>IFERROR(IF($B249="","",INDEX('Key Inventory'!$I$5:$I$104,MATCH($B249,'Key Inventory'!$A$5:$A$104,0))),"")</f>
        <v/>
      </c>
      <c r="Y249" s="25">
        <f>IFERROR(IF(AND(OR($V249="Checked Out",$V249="Overdue"),$X249&gt;=Dashboard!$B$9),"Review",""),"")</f>
        <v/>
      </c>
      <c r="Z249" s="24" t="n"/>
      <c r="AA249" s="25">
        <f>IFERROR(IF(OR($V249="Checked Out",$V249="Overdue"),$B249,""),"")</f>
        <v/>
      </c>
    </row>
    <row r="250">
      <c r="A250" s="24" t="n"/>
      <c r="B250" s="24" t="n"/>
      <c r="C250" s="25">
        <f>IFERROR(IF($B250="","",INDEX('Key Inventory'!$B$5:$B$104,MATCH($B250,'Key Inventory'!$A$5:$A$104,0))),"")</f>
        <v/>
      </c>
      <c r="D250" s="25">
        <f>IFERROR(IF($B250="","",INDEX('Key Inventory'!$C$5:$C$104,MATCH($B250,'Key Inventory'!$A$5:$A$104,0))),"")</f>
        <v/>
      </c>
      <c r="E250" s="25">
        <f>IFERROR(IF($B250="","",INDEX('Key Inventory'!$D$5:$D$104,MATCH($B250,'Key Inventory'!$A$5:$A$104,0))),"")</f>
        <v/>
      </c>
      <c r="F250" s="24" t="n"/>
      <c r="G250" s="24" t="n"/>
      <c r="H250" s="24" t="n"/>
      <c r="I250" s="24" t="n"/>
      <c r="J250" s="24" t="n"/>
      <c r="K250" s="24" t="n"/>
      <c r="L250" s="26" t="n"/>
      <c r="M250" s="27" t="n"/>
      <c r="N250" s="26" t="n"/>
      <c r="O250" s="27" t="n"/>
      <c r="P250" s="26" t="n"/>
      <c r="Q250" s="27" t="n"/>
      <c r="R250" s="24" t="n"/>
      <c r="S250" s="24" t="n"/>
      <c r="T250" s="24" t="n"/>
      <c r="U250" s="24" t="n"/>
      <c r="V250" s="25">
        <f>IFERROR(IF(OR($A250="",$B250=""),"",IF($P250&lt;&gt;"","Returned",IF(NOW()&gt;$N250+$O250+(Dashboard!$B$7/24),"Overdue","Checked Out"))),"")</f>
        <v/>
      </c>
      <c r="W250" s="28">
        <f>IFERROR(IF($L250="","",MAX(0,24*((IF($P250&lt;&gt;"",$P250+$Q250,NOW()))-($L250+$M250)))),"")</f>
        <v/>
      </c>
      <c r="X250" s="29">
        <f>IFERROR(IF($B250="","",INDEX('Key Inventory'!$I$5:$I$104,MATCH($B250,'Key Inventory'!$A$5:$A$104,0))),"")</f>
        <v/>
      </c>
      <c r="Y250" s="25">
        <f>IFERROR(IF(AND(OR($V250="Checked Out",$V250="Overdue"),$X250&gt;=Dashboard!$B$9),"Review",""),"")</f>
        <v/>
      </c>
      <c r="Z250" s="24" t="n"/>
      <c r="AA250" s="25">
        <f>IFERROR(IF(OR($V250="Checked Out",$V250="Overdue"),$B250,""),"")</f>
        <v/>
      </c>
    </row>
    <row r="251">
      <c r="A251" s="24" t="n"/>
      <c r="B251" s="24" t="n"/>
      <c r="C251" s="25">
        <f>IFERROR(IF($B251="","",INDEX('Key Inventory'!$B$5:$B$104,MATCH($B251,'Key Inventory'!$A$5:$A$104,0))),"")</f>
        <v/>
      </c>
      <c r="D251" s="25">
        <f>IFERROR(IF($B251="","",INDEX('Key Inventory'!$C$5:$C$104,MATCH($B251,'Key Inventory'!$A$5:$A$104,0))),"")</f>
        <v/>
      </c>
      <c r="E251" s="25">
        <f>IFERROR(IF($B251="","",INDEX('Key Inventory'!$D$5:$D$104,MATCH($B251,'Key Inventory'!$A$5:$A$104,0))),"")</f>
        <v/>
      </c>
      <c r="F251" s="24" t="n"/>
      <c r="G251" s="24" t="n"/>
      <c r="H251" s="24" t="n"/>
      <c r="I251" s="24" t="n"/>
      <c r="J251" s="24" t="n"/>
      <c r="K251" s="24" t="n"/>
      <c r="L251" s="26" t="n"/>
      <c r="M251" s="27" t="n"/>
      <c r="N251" s="26" t="n"/>
      <c r="O251" s="27" t="n"/>
      <c r="P251" s="26" t="n"/>
      <c r="Q251" s="27" t="n"/>
      <c r="R251" s="24" t="n"/>
      <c r="S251" s="24" t="n"/>
      <c r="T251" s="24" t="n"/>
      <c r="U251" s="24" t="n"/>
      <c r="V251" s="25">
        <f>IFERROR(IF(OR($A251="",$B251=""),"",IF($P251&lt;&gt;"","Returned",IF(NOW()&gt;$N251+$O251+(Dashboard!$B$7/24),"Overdue","Checked Out"))),"")</f>
        <v/>
      </c>
      <c r="W251" s="28">
        <f>IFERROR(IF($L251="","",MAX(0,24*((IF($P251&lt;&gt;"",$P251+$Q251,NOW()))-($L251+$M251)))),"")</f>
        <v/>
      </c>
      <c r="X251" s="29">
        <f>IFERROR(IF($B251="","",INDEX('Key Inventory'!$I$5:$I$104,MATCH($B251,'Key Inventory'!$A$5:$A$104,0))),"")</f>
        <v/>
      </c>
      <c r="Y251" s="25">
        <f>IFERROR(IF(AND(OR($V251="Checked Out",$V251="Overdue"),$X251&gt;=Dashboard!$B$9),"Review",""),"")</f>
        <v/>
      </c>
      <c r="Z251" s="24" t="n"/>
      <c r="AA251" s="25">
        <f>IFERROR(IF(OR($V251="Checked Out",$V251="Overdue"),$B251,""),"")</f>
        <v/>
      </c>
    </row>
    <row r="252">
      <c r="A252" s="24" t="n"/>
      <c r="B252" s="24" t="n"/>
      <c r="C252" s="25">
        <f>IFERROR(IF($B252="","",INDEX('Key Inventory'!$B$5:$B$104,MATCH($B252,'Key Inventory'!$A$5:$A$104,0))),"")</f>
        <v/>
      </c>
      <c r="D252" s="25">
        <f>IFERROR(IF($B252="","",INDEX('Key Inventory'!$C$5:$C$104,MATCH($B252,'Key Inventory'!$A$5:$A$104,0))),"")</f>
        <v/>
      </c>
      <c r="E252" s="25">
        <f>IFERROR(IF($B252="","",INDEX('Key Inventory'!$D$5:$D$104,MATCH($B252,'Key Inventory'!$A$5:$A$104,0))),"")</f>
        <v/>
      </c>
      <c r="F252" s="24" t="n"/>
      <c r="G252" s="24" t="n"/>
      <c r="H252" s="24" t="n"/>
      <c r="I252" s="24" t="n"/>
      <c r="J252" s="24" t="n"/>
      <c r="K252" s="24" t="n"/>
      <c r="L252" s="26" t="n"/>
      <c r="M252" s="27" t="n"/>
      <c r="N252" s="26" t="n"/>
      <c r="O252" s="27" t="n"/>
      <c r="P252" s="26" t="n"/>
      <c r="Q252" s="27" t="n"/>
      <c r="R252" s="24" t="n"/>
      <c r="S252" s="24" t="n"/>
      <c r="T252" s="24" t="n"/>
      <c r="U252" s="24" t="n"/>
      <c r="V252" s="25">
        <f>IFERROR(IF(OR($A252="",$B252=""),"",IF($P252&lt;&gt;"","Returned",IF(NOW()&gt;$N252+$O252+(Dashboard!$B$7/24),"Overdue","Checked Out"))),"")</f>
        <v/>
      </c>
      <c r="W252" s="28">
        <f>IFERROR(IF($L252="","",MAX(0,24*((IF($P252&lt;&gt;"",$P252+$Q252,NOW()))-($L252+$M252)))),"")</f>
        <v/>
      </c>
      <c r="X252" s="29">
        <f>IFERROR(IF($B252="","",INDEX('Key Inventory'!$I$5:$I$104,MATCH($B252,'Key Inventory'!$A$5:$A$104,0))),"")</f>
        <v/>
      </c>
      <c r="Y252" s="25">
        <f>IFERROR(IF(AND(OR($V252="Checked Out",$V252="Overdue"),$X252&gt;=Dashboard!$B$9),"Review",""),"")</f>
        <v/>
      </c>
      <c r="Z252" s="24" t="n"/>
      <c r="AA252" s="25">
        <f>IFERROR(IF(OR($V252="Checked Out",$V252="Overdue"),$B252,""),"")</f>
        <v/>
      </c>
    </row>
    <row r="253">
      <c r="A253" s="24" t="n"/>
      <c r="B253" s="24" t="n"/>
      <c r="C253" s="25">
        <f>IFERROR(IF($B253="","",INDEX('Key Inventory'!$B$5:$B$104,MATCH($B253,'Key Inventory'!$A$5:$A$104,0))),"")</f>
        <v/>
      </c>
      <c r="D253" s="25">
        <f>IFERROR(IF($B253="","",INDEX('Key Inventory'!$C$5:$C$104,MATCH($B253,'Key Inventory'!$A$5:$A$104,0))),"")</f>
        <v/>
      </c>
      <c r="E253" s="25">
        <f>IFERROR(IF($B253="","",INDEX('Key Inventory'!$D$5:$D$104,MATCH($B253,'Key Inventory'!$A$5:$A$104,0))),"")</f>
        <v/>
      </c>
      <c r="F253" s="24" t="n"/>
      <c r="G253" s="24" t="n"/>
      <c r="H253" s="24" t="n"/>
      <c r="I253" s="24" t="n"/>
      <c r="J253" s="24" t="n"/>
      <c r="K253" s="24" t="n"/>
      <c r="L253" s="26" t="n"/>
      <c r="M253" s="27" t="n"/>
      <c r="N253" s="26" t="n"/>
      <c r="O253" s="27" t="n"/>
      <c r="P253" s="26" t="n"/>
      <c r="Q253" s="27" t="n"/>
      <c r="R253" s="24" t="n"/>
      <c r="S253" s="24" t="n"/>
      <c r="T253" s="24" t="n"/>
      <c r="U253" s="24" t="n"/>
      <c r="V253" s="25">
        <f>IFERROR(IF(OR($A253="",$B253=""),"",IF($P253&lt;&gt;"","Returned",IF(NOW()&gt;$N253+$O253+(Dashboard!$B$7/24),"Overdue","Checked Out"))),"")</f>
        <v/>
      </c>
      <c r="W253" s="28">
        <f>IFERROR(IF($L253="","",MAX(0,24*((IF($P253&lt;&gt;"",$P253+$Q253,NOW()))-($L253+$M253)))),"")</f>
        <v/>
      </c>
      <c r="X253" s="29">
        <f>IFERROR(IF($B253="","",INDEX('Key Inventory'!$I$5:$I$104,MATCH($B253,'Key Inventory'!$A$5:$A$104,0))),"")</f>
        <v/>
      </c>
      <c r="Y253" s="25">
        <f>IFERROR(IF(AND(OR($V253="Checked Out",$V253="Overdue"),$X253&gt;=Dashboard!$B$9),"Review",""),"")</f>
        <v/>
      </c>
      <c r="Z253" s="24" t="n"/>
      <c r="AA253" s="25">
        <f>IFERROR(IF(OR($V253="Checked Out",$V253="Overdue"),$B253,""),"")</f>
        <v/>
      </c>
    </row>
    <row r="254">
      <c r="A254" s="24" t="n"/>
      <c r="B254" s="24" t="n"/>
      <c r="C254" s="25">
        <f>IFERROR(IF($B254="","",INDEX('Key Inventory'!$B$5:$B$104,MATCH($B254,'Key Inventory'!$A$5:$A$104,0))),"")</f>
        <v/>
      </c>
      <c r="D254" s="25">
        <f>IFERROR(IF($B254="","",INDEX('Key Inventory'!$C$5:$C$104,MATCH($B254,'Key Inventory'!$A$5:$A$104,0))),"")</f>
        <v/>
      </c>
      <c r="E254" s="25">
        <f>IFERROR(IF($B254="","",INDEX('Key Inventory'!$D$5:$D$104,MATCH($B254,'Key Inventory'!$A$5:$A$104,0))),"")</f>
        <v/>
      </c>
      <c r="F254" s="24" t="n"/>
      <c r="G254" s="24" t="n"/>
      <c r="H254" s="24" t="n"/>
      <c r="I254" s="24" t="n"/>
      <c r="J254" s="24" t="n"/>
      <c r="K254" s="24" t="n"/>
      <c r="L254" s="26" t="n"/>
      <c r="M254" s="27" t="n"/>
      <c r="N254" s="26" t="n"/>
      <c r="O254" s="27" t="n"/>
      <c r="P254" s="26" t="n"/>
      <c r="Q254" s="27" t="n"/>
      <c r="R254" s="24" t="n"/>
      <c r="S254" s="24" t="n"/>
      <c r="T254" s="24" t="n"/>
      <c r="U254" s="24" t="n"/>
      <c r="V254" s="25">
        <f>IFERROR(IF(OR($A254="",$B254=""),"",IF($P254&lt;&gt;"","Returned",IF(NOW()&gt;$N254+$O254+(Dashboard!$B$7/24),"Overdue","Checked Out"))),"")</f>
        <v/>
      </c>
      <c r="W254" s="28">
        <f>IFERROR(IF($L254="","",MAX(0,24*((IF($P254&lt;&gt;"",$P254+$Q254,NOW()))-($L254+$M254)))),"")</f>
        <v/>
      </c>
      <c r="X254" s="29">
        <f>IFERROR(IF($B254="","",INDEX('Key Inventory'!$I$5:$I$104,MATCH($B254,'Key Inventory'!$A$5:$A$104,0))),"")</f>
        <v/>
      </c>
      <c r="Y254" s="25">
        <f>IFERROR(IF(AND(OR($V254="Checked Out",$V254="Overdue"),$X254&gt;=Dashboard!$B$9),"Review",""),"")</f>
        <v/>
      </c>
      <c r="Z254" s="24" t="n"/>
      <c r="AA254" s="25">
        <f>IFERROR(IF(OR($V254="Checked Out",$V254="Overdue"),$B254,""),"")</f>
        <v/>
      </c>
    </row>
  </sheetData>
  <autoFilter ref="A4:AA254"/>
  <mergeCells count="1">
    <mergeCell ref="A1:AA1"/>
  </mergeCells>
  <conditionalFormatting sqref="A5:A254">
    <cfRule type="expression" priority="1" dxfId="0">
      <formula>AND($A5&lt;&gt;"",COUNTIF($A$5:$A$254,$A5)&gt;1)</formula>
    </cfRule>
  </conditionalFormatting>
  <conditionalFormatting sqref="V5:V254">
    <cfRule type="expression" priority="2" dxfId="0">
      <formula>$V5="Overdue"</formula>
    </cfRule>
    <cfRule type="expression" priority="3" dxfId="3">
      <formula>$V5="Checked Out"</formula>
    </cfRule>
    <cfRule type="expression" priority="4" dxfId="1">
      <formula>$V5="Returned"</formula>
    </cfRule>
  </conditionalFormatting>
  <conditionalFormatting sqref="Y5:Y254">
    <cfRule type="expression" priority="5" dxfId="2">
      <formula>$Y5="Review"</formula>
    </cfRule>
  </conditionalFormatting>
  <conditionalFormatting sqref="B5:B254">
    <cfRule type="expression" priority="6" dxfId="0">
      <formula>AND($B5&lt;&gt;"",OR($V5="Checked Out",$V5="Overdue"),COUNTIFS($B$5:$B$254,$B5,$V$5:$V$254,"Checked Out")+COUNTIFS($B$5:$B$254,$B5,$V$5:$V$254,"Overdue")&gt;1)</formula>
    </cfRule>
  </conditionalFormatting>
  <conditionalFormatting sqref="S5:S254">
    <cfRule type="expression" priority="7" dxfId="3">
      <formula>AND($P5&lt;&gt;"",$S5="")</formula>
    </cfRule>
  </conditionalFormatting>
  <conditionalFormatting sqref="Q5:Q254">
    <cfRule type="expression" priority="8" dxfId="3">
      <formula>AND($P5&lt;&gt;"",$Q5="")</formula>
    </cfRule>
  </conditionalFormatting>
  <conditionalFormatting sqref="N5:O254">
    <cfRule type="expression" priority="9" dxfId="0">
      <formula>AND($L5&lt;&gt;"",$N5&lt;&gt;"",$L5+$M5&gt;$N5+$O5)</formula>
    </cfRule>
  </conditionalFormatting>
  <conditionalFormatting sqref="P5:Q254">
    <cfRule type="expression" priority="10" dxfId="0">
      <formula>AND($P5&lt;&gt;"",$L5&lt;&gt;"",$P5+$Q5&lt;$L5+$M5)</formula>
    </cfRule>
  </conditionalFormatting>
  <conditionalFormatting sqref="U5:U254">
    <cfRule type="expression" priority="11" dxfId="0">
      <formula>OR($U5="Damaged",$U5="Tag Missing",$U5="Not Returned")</formula>
    </cfRule>
  </conditionalFormatting>
  <dataValidations count="8">
    <dataValidation sqref="B5:B254" showDropDown="0" showInputMessage="1" showErrorMessage="1" allowBlank="0" errorTitle="Invalid selection" error="Choose a value from the dropdown list." promptTitle="Select a Key ID" prompt="Choose a populated Key ID from Key Inventory." type="list" errorStyle="stop">
      <formula1>"KEY-001,KEY-002,KEY-003,KEY-004,KEY-005,KEY-006,KEY-007,KEY-008,KEY-009"</formula1>
    </dataValidation>
    <dataValidation sqref="H5:H254" showDropDown="0" showInputMessage="1" showErrorMessage="1" allowBlank="0" errorTitle="Invalid selection" error="Choose a value from the dropdown list." promptTitle="Select a department" prompt="Choose the responsible operating department." type="list" errorStyle="stop">
      <formula1>"Front Office,Housekeeping,Engineering,Security,Food &amp; Beverage,Sales &amp; Events,Management,Vendor / Contractor"</formula1>
    </dataValidation>
    <dataValidation sqref="J5:J254" showDropDown="0" showInputMessage="1" showErrorMessage="1" allowBlank="0" errorTitle="Invalid selection" error="Choose a value from the dropdown list." promptTitle="Select a purpose" prompt="Choose the reason for issuance." type="list" errorStyle="stop">
      <formula1>"Shift Assignment,Room Access,Preventive Maintenance,Repair,Inspection,Cleaning,Event Setup,Emergency Response,Vendor Work,Management Use,Other"</formula1>
    </dataValidation>
    <dataValidation sqref="T5:T254" showDropDown="0" showInputMessage="1" showErrorMessage="1" allowBlank="0" errorTitle="Invalid selection" error="Choose a value from the dropdown list." promptTitle="Condition at issue" prompt="Record the observed condition when issued." type="list" errorStyle="stop">
      <formula1>"Good,Worn,Damaged,Tag Missing"</formula1>
    </dataValidation>
    <dataValidation sqref="U5:U254" showDropDown="0" showInputMessage="1" showErrorMessage="1" allowBlank="0" errorTitle="Invalid selection" error="Choose a value from the dropdown list." promptTitle="Condition at return" prompt="Record the observed condition when returned." type="list" errorStyle="stop">
      <formula1>"Good,Worn,Damaged,Tag Missing,Not Returned"</formula1>
    </dataValidation>
    <dataValidation sqref="L5:L254" showDropDown="0" showInputMessage="1" showErrorMessage="1" allowBlank="0" errorTitle="Invalid date" error="Enter a valid date." promptTitle="Enter a date" prompt="Enter a valid operational date." type="date" operator="between">
      <formula1>DATE(2000,1,1)</formula1>
      <formula2>DATE(2100,12,31)</formula2>
    </dataValidation>
    <dataValidation sqref="N5:N254" showDropDown="0" showInputMessage="1" showErrorMessage="1" allowBlank="0" errorTitle="Invalid date" error="Enter a valid date." promptTitle="Enter a date" prompt="Enter a valid operational date." type="date" operator="between">
      <formula1>DATE(2000,1,1)</formula1>
      <formula2>DATE(2100,12,31)</formula2>
    </dataValidation>
    <dataValidation sqref="P5:P254" showDropDown="0" showInputMessage="1" showErrorMessage="1" allowBlank="0" errorTitle="Invalid date" error="Enter a valid date." promptTitle="Enter a date" prompt="Enter a valid operational date." type="date" operator="between">
      <formula1>DATE(2000,1,1)</formula1>
      <formula2>DATE(2100,12,31)</formula2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S104"/>
  <sheetViews>
    <sheetView showGridLines="0"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2" customWidth="1" min="2" max="2"/>
    <col width="20" customWidth="1" min="3" max="3"/>
    <col width="38" customWidth="1" min="4" max="4"/>
    <col width="22" customWidth="1" min="5" max="5"/>
    <col width="30" customWidth="1" min="6" max="6"/>
    <col width="22" customWidth="1" min="7" max="7"/>
    <col width="18" customWidth="1" min="8" max="8"/>
    <col width="18" customWidth="1" min="9" max="9"/>
    <col width="14" customWidth="1" min="10" max="10"/>
    <col width="16" customWidth="1" min="11" max="11"/>
    <col width="16" customWidth="1" min="12" max="12"/>
    <col width="20" customWidth="1" min="13" max="13"/>
    <col width="20" customWidth="1" min="14" max="14"/>
    <col width="16" customWidth="1" min="15" max="15"/>
    <col width="16" customWidth="1" min="16" max="16"/>
    <col width="16" customWidth="1" min="17" max="17"/>
    <col width="20" customWidth="1" min="18" max="18"/>
    <col width="38" customWidth="1" min="19" max="19"/>
  </cols>
  <sheetData>
    <row r="1">
      <c r="A1" s="22" t="inlineStr">
        <is>
          <t>Key Inventory</t>
        </is>
      </c>
    </row>
    <row r="2">
      <c r="A2" s="2" t="inlineStr">
        <is>
          <t>Maintain one row for each controlled physical key, key ring, access fob, or secured key device. Update lifecycle and audit information when an item is added, lost, retired, or reviewed.</t>
        </is>
      </c>
    </row>
    <row r="3">
      <c r="A3" s="23" t="inlineStr">
        <is>
          <t>Use descriptive access areas, but do not enter alarm codes, PINs, or other access credentials. Sample names, key IDs, and references are fictional.</t>
        </is>
      </c>
    </row>
    <row r="4" ht="42" customHeight="1">
      <c r="A4" s="15" t="inlineStr">
        <is>
          <t>Key ID</t>
        </is>
      </c>
      <c r="B4" s="15" t="inlineStr">
        <is>
          <t>Key Description</t>
        </is>
      </c>
      <c r="C4" s="15" t="inlineStr">
        <is>
          <t>Key Type</t>
        </is>
      </c>
      <c r="D4" s="15" t="inlineStr">
        <is>
          <t>Access Area</t>
        </is>
      </c>
      <c r="E4" s="15" t="inlineStr">
        <is>
          <t>Department Owner</t>
        </is>
      </c>
      <c r="F4" s="15" t="inlineStr">
        <is>
          <t>Default Storage Location</t>
        </is>
      </c>
      <c r="G4" s="15" t="inlineStr">
        <is>
          <t>Assigned Custodian</t>
        </is>
      </c>
      <c r="H4" s="15" t="inlineStr">
        <is>
          <t>Lifecycle Status</t>
        </is>
      </c>
      <c r="I4" s="15" t="inlineStr">
        <is>
          <t>Replacement Cost</t>
        </is>
      </c>
      <c r="J4" s="15" t="inlineStr">
        <is>
          <t>Date Added</t>
        </is>
      </c>
      <c r="K4" s="15" t="inlineStr">
        <is>
          <t>Last Audit Date</t>
        </is>
      </c>
      <c r="L4" s="15" t="inlineStr">
        <is>
          <t>Next Audit Due</t>
        </is>
      </c>
      <c r="M4" s="15" t="inlineStr">
        <is>
          <t>Current Availability</t>
        </is>
      </c>
      <c r="N4" s="15" t="inlineStr">
        <is>
          <t>Current Holder</t>
        </is>
      </c>
      <c r="O4" s="15" t="inlineStr">
        <is>
          <t>Open Status</t>
        </is>
      </c>
      <c r="P4" s="15" t="inlineStr">
        <is>
          <t>Audit Status</t>
        </is>
      </c>
      <c r="Q4" s="15" t="inlineStr">
        <is>
          <t>High-Cost Flag</t>
        </is>
      </c>
      <c r="R4" s="15" t="inlineStr">
        <is>
          <t>Last Verified By</t>
        </is>
      </c>
      <c r="S4" s="15" t="inlineStr">
        <is>
          <t>Notes</t>
        </is>
      </c>
    </row>
    <row r="5">
      <c r="A5" s="24" t="inlineStr">
        <is>
          <t>KEY-001</t>
        </is>
      </c>
      <c r="B5" s="24" t="inlineStr">
        <is>
          <t>Front Desk Grand Master Ring</t>
        </is>
      </c>
      <c r="C5" s="24" t="inlineStr">
        <is>
          <t>Grand Master</t>
        </is>
      </c>
      <c r="D5" s="24" t="inlineStr">
        <is>
          <t>Guest room corridors and authorized service areas</t>
        </is>
      </c>
      <c r="E5" s="24" t="inlineStr">
        <is>
          <t>Front Office</t>
        </is>
      </c>
      <c r="F5" s="24" t="inlineStr">
        <is>
          <t>Front Office Key Cabinet</t>
        </is>
      </c>
      <c r="G5" s="24" t="inlineStr">
        <is>
          <t>Front Office Manager</t>
        </is>
      </c>
      <c r="H5" s="24" t="inlineStr">
        <is>
          <t>Active</t>
        </is>
      </c>
      <c r="I5" s="30" t="n">
        <v>225</v>
      </c>
      <c r="J5" s="26" t="n">
        <v>46041</v>
      </c>
      <c r="K5" s="26" t="n">
        <v>46151</v>
      </c>
      <c r="L5" s="31">
        <f>IFERROR(IF($K5="","",$K5+Dashboard!$B$8),"")</f>
        <v/>
      </c>
      <c r="M5" s="25">
        <f>IFERROR(IF($A5="","",IF($H5&lt;&gt;"Active",$H5,IF(COUNTIFS('Key Activity Log'!$B$5:$B$254,$A5,'Key Activity Log'!$V$5:$V$254,"Checked Out")+COUNTIFS('Key Activity Log'!$B$5:$B$254,$A5,'Key Activity Log'!$V$5:$V$254,"Overdue")&gt;0,"Checked Out","Available"))),"")</f>
        <v/>
      </c>
      <c r="N5" s="25">
        <f>IFERROR(IF($A5="","",INDEX('Key Activity Log'!$F$5:$F$254,MATCH($A5,'Key Activity Log'!$AA$5:$AA$254,0))),"")</f>
        <v/>
      </c>
      <c r="O5" s="25">
        <f>IFERROR(IF($A5="","",INDEX('Key Activity Log'!$V$5:$V$254,MATCH($A5,'Key Activity Log'!$AA$5:$AA$254,0))),"")</f>
        <v/>
      </c>
      <c r="P5" s="25">
        <f>IFERROR(IF($L5="","",IF($L5&lt;TODAY(),"Overdue",IF($L5&lt;=TODAY()+Dashboard!$B$10,"Due Soon","Current"))),"")</f>
        <v/>
      </c>
      <c r="Q5" s="25">
        <f>IFERROR(IF($A5="","",IF($I5&gt;=Dashboard!$B$9,"High Cost","")),"")</f>
        <v/>
      </c>
      <c r="R5" s="24" t="inlineStr">
        <is>
          <t>Robin Hayes</t>
        </is>
      </c>
      <c r="S5" s="24" t="inlineStr">
        <is>
          <t>Primary controlled front desk ring.</t>
        </is>
      </c>
    </row>
    <row r="6">
      <c r="A6" s="24" t="inlineStr">
        <is>
          <t>KEY-002</t>
        </is>
      </c>
      <c r="B6" s="24" t="inlineStr">
        <is>
          <t>Housekeeping Floors 2-4 Master</t>
        </is>
      </c>
      <c r="C6" s="24" t="inlineStr">
        <is>
          <t>Floor Master</t>
        </is>
      </c>
      <c r="D6" s="24" t="inlineStr">
        <is>
          <t>Guest room floors 2 through 4</t>
        </is>
      </c>
      <c r="E6" s="24" t="inlineStr">
        <is>
          <t>Housekeeping</t>
        </is>
      </c>
      <c r="F6" s="24" t="inlineStr">
        <is>
          <t>Housekeeping Key Cabinet</t>
        </is>
      </c>
      <c r="G6" s="24" t="inlineStr">
        <is>
          <t>Housekeeping Supervisor</t>
        </is>
      </c>
      <c r="H6" s="24" t="inlineStr">
        <is>
          <t>Active</t>
        </is>
      </c>
      <c r="I6" s="30" t="n">
        <v>125</v>
      </c>
      <c r="J6" s="26" t="n">
        <v>46061</v>
      </c>
      <c r="K6" s="26" t="n">
        <v>46171</v>
      </c>
      <c r="L6" s="31">
        <f>IFERROR(IF($K6="","",$K6+Dashboard!$B$8),"")</f>
        <v/>
      </c>
      <c r="M6" s="25">
        <f>IFERROR(IF($A6="","",IF($H6&lt;&gt;"Active",$H6,IF(COUNTIFS('Key Activity Log'!$B$5:$B$254,$A6,'Key Activity Log'!$V$5:$V$254,"Checked Out")+COUNTIFS('Key Activity Log'!$B$5:$B$254,$A6,'Key Activity Log'!$V$5:$V$254,"Overdue")&gt;0,"Checked Out","Available"))),"")</f>
        <v/>
      </c>
      <c r="N6" s="25">
        <f>IFERROR(IF($A6="","",INDEX('Key Activity Log'!$F$5:$F$254,MATCH($A6,'Key Activity Log'!$AA$5:$AA$254,0))),"")</f>
        <v/>
      </c>
      <c r="O6" s="25">
        <f>IFERROR(IF($A6="","",INDEX('Key Activity Log'!$V$5:$V$254,MATCH($A6,'Key Activity Log'!$AA$5:$AA$254,0))),"")</f>
        <v/>
      </c>
      <c r="P6" s="25">
        <f>IFERROR(IF($L6="","",IF($L6&lt;TODAY(),"Overdue",IF($L6&lt;=TODAY()+Dashboard!$B$10,"Due Soon","Current"))),"")</f>
        <v/>
      </c>
      <c r="Q6" s="25">
        <f>IFERROR(IF($A6="","",IF($I6&gt;=Dashboard!$B$9,"High Cost","")),"")</f>
        <v/>
      </c>
      <c r="R6" s="24" t="inlineStr">
        <is>
          <t>Maria Santos</t>
        </is>
      </c>
      <c r="S6" s="24" t="inlineStr">
        <is>
          <t>Verify tag condition during review.</t>
        </is>
      </c>
    </row>
    <row r="7">
      <c r="A7" s="24" t="inlineStr">
        <is>
          <t>KEY-003</t>
        </is>
      </c>
      <c r="B7" s="24" t="inlineStr">
        <is>
          <t>Main Mechanical Room Key</t>
        </is>
      </c>
      <c r="C7" s="24" t="inlineStr">
        <is>
          <t>Mechanical Key</t>
        </is>
      </c>
      <c r="D7" s="24" t="inlineStr">
        <is>
          <t>Central mechanical room</t>
        </is>
      </c>
      <c r="E7" s="24" t="inlineStr">
        <is>
          <t>Engineering</t>
        </is>
      </c>
      <c r="F7" s="24" t="inlineStr">
        <is>
          <t>Engineering Key Cabinet</t>
        </is>
      </c>
      <c r="G7" s="24" t="inlineStr">
        <is>
          <t>Chief Engineer</t>
        </is>
      </c>
      <c r="H7" s="24" t="inlineStr">
        <is>
          <t>Active</t>
        </is>
      </c>
      <c r="I7" s="30" t="n">
        <v>45</v>
      </c>
      <c r="J7" s="26" t="n">
        <v>46081</v>
      </c>
      <c r="K7" s="26" t="n">
        <v>46196</v>
      </c>
      <c r="L7" s="31">
        <f>IFERROR(IF($K7="","",$K7+Dashboard!$B$8),"")</f>
        <v/>
      </c>
      <c r="M7" s="25">
        <f>IFERROR(IF($A7="","",IF($H7&lt;&gt;"Active",$H7,IF(COUNTIFS('Key Activity Log'!$B$5:$B$254,$A7,'Key Activity Log'!$V$5:$V$254,"Checked Out")+COUNTIFS('Key Activity Log'!$B$5:$B$254,$A7,'Key Activity Log'!$V$5:$V$254,"Overdue")&gt;0,"Checked Out","Available"))),"")</f>
        <v/>
      </c>
      <c r="N7" s="25">
        <f>IFERROR(IF($A7="","",INDEX('Key Activity Log'!$F$5:$F$254,MATCH($A7,'Key Activity Log'!$AA$5:$AA$254,0))),"")</f>
        <v/>
      </c>
      <c r="O7" s="25">
        <f>IFERROR(IF($A7="","",INDEX('Key Activity Log'!$V$5:$V$254,MATCH($A7,'Key Activity Log'!$AA$5:$AA$254,0))),"")</f>
        <v/>
      </c>
      <c r="P7" s="25">
        <f>IFERROR(IF($L7="","",IF($L7&lt;TODAY(),"Overdue",IF($L7&lt;=TODAY()+Dashboard!$B$10,"Due Soon","Current"))),"")</f>
        <v/>
      </c>
      <c r="Q7" s="25">
        <f>IFERROR(IF($A7="","",IF($I7&gt;=Dashboard!$B$9,"High Cost","")),"")</f>
        <v/>
      </c>
      <c r="R7" s="24" t="inlineStr">
        <is>
          <t>Derek Nguyen</t>
        </is>
      </c>
      <c r="S7" s="24" t="inlineStr">
        <is>
          <t>Routine engineering control.</t>
        </is>
      </c>
    </row>
    <row r="8">
      <c r="A8" s="24" t="inlineStr">
        <is>
          <t>KEY-004</t>
        </is>
      </c>
      <c r="B8" s="24" t="inlineStr">
        <is>
          <t>Banquet Storage Key</t>
        </is>
      </c>
      <c r="C8" s="24" t="inlineStr">
        <is>
          <t>Storage Key</t>
        </is>
      </c>
      <c r="D8" s="24" t="inlineStr">
        <is>
          <t>Ballroom storage room</t>
        </is>
      </c>
      <c r="E8" s="24" t="inlineStr">
        <is>
          <t>Sales &amp; Events</t>
        </is>
      </c>
      <c r="F8" s="24" t="inlineStr">
        <is>
          <t>Banquet Office Key Cabinet</t>
        </is>
      </c>
      <c r="G8" s="24" t="inlineStr">
        <is>
          <t>Banquet Manager</t>
        </is>
      </c>
      <c r="H8" s="24" t="inlineStr">
        <is>
          <t>Active</t>
        </is>
      </c>
      <c r="I8" s="30" t="n">
        <v>30</v>
      </c>
      <c r="J8" s="26" t="n">
        <v>46101</v>
      </c>
      <c r="K8" s="26" t="n">
        <v>46206</v>
      </c>
      <c r="L8" s="31">
        <f>IFERROR(IF($K8="","",$K8+Dashboard!$B$8),"")</f>
        <v/>
      </c>
      <c r="M8" s="25">
        <f>IFERROR(IF($A8="","",IF($H8&lt;&gt;"Active",$H8,IF(COUNTIFS('Key Activity Log'!$B$5:$B$254,$A8,'Key Activity Log'!$V$5:$V$254,"Checked Out")+COUNTIFS('Key Activity Log'!$B$5:$B$254,$A8,'Key Activity Log'!$V$5:$V$254,"Overdue")&gt;0,"Checked Out","Available"))),"")</f>
        <v/>
      </c>
      <c r="N8" s="25">
        <f>IFERROR(IF($A8="","",INDEX('Key Activity Log'!$F$5:$F$254,MATCH($A8,'Key Activity Log'!$AA$5:$AA$254,0))),"")</f>
        <v/>
      </c>
      <c r="O8" s="25">
        <f>IFERROR(IF($A8="","",INDEX('Key Activity Log'!$V$5:$V$254,MATCH($A8,'Key Activity Log'!$AA$5:$AA$254,0))),"")</f>
        <v/>
      </c>
      <c r="P8" s="25">
        <f>IFERROR(IF($L8="","",IF($L8&lt;TODAY(),"Overdue",IF($L8&lt;=TODAY()+Dashboard!$B$10,"Due Soon","Current"))),"")</f>
        <v/>
      </c>
      <c r="Q8" s="25">
        <f>IFERROR(IF($A8="","",IF($I8&gt;=Dashboard!$B$9,"High Cost","")),"")</f>
        <v/>
      </c>
      <c r="R8" s="24" t="inlineStr">
        <is>
          <t>Avery Brooks</t>
        </is>
      </c>
      <c r="S8" s="24" t="inlineStr">
        <is>
          <t>Used for event setup activity.</t>
        </is>
      </c>
    </row>
    <row r="9">
      <c r="A9" s="24" t="inlineStr">
        <is>
          <t>KEY-005</t>
        </is>
      </c>
      <c r="B9" s="24" t="inlineStr">
        <is>
          <t>Loading Dock Exterior Key</t>
        </is>
      </c>
      <c r="C9" s="24" t="inlineStr">
        <is>
          <t>Exterior Key</t>
        </is>
      </c>
      <c r="D9" s="24" t="inlineStr">
        <is>
          <t>Loading dock exterior door</t>
        </is>
      </c>
      <c r="E9" s="24" t="inlineStr">
        <is>
          <t>Engineering</t>
        </is>
      </c>
      <c r="F9" s="24" t="inlineStr">
        <is>
          <t>Security Office Key Cabinet</t>
        </is>
      </c>
      <c r="G9" s="24" t="inlineStr"/>
      <c r="H9" s="24" t="inlineStr">
        <is>
          <t>Active</t>
        </is>
      </c>
      <c r="I9" s="30" t="n">
        <v>60</v>
      </c>
      <c r="J9" s="26" t="n">
        <v>46121</v>
      </c>
      <c r="K9" s="26" t="n">
        <v>46241</v>
      </c>
      <c r="L9" s="31">
        <f>IFERROR(IF($K9="","",$K9+Dashboard!$B$8),"")</f>
        <v/>
      </c>
      <c r="M9" s="25">
        <f>IFERROR(IF($A9="","",IF($H9&lt;&gt;"Active",$H9,IF(COUNTIFS('Key Activity Log'!$B$5:$B$254,$A9,'Key Activity Log'!$V$5:$V$254,"Checked Out")+COUNTIFS('Key Activity Log'!$B$5:$B$254,$A9,'Key Activity Log'!$V$5:$V$254,"Overdue")&gt;0,"Checked Out","Available"))),"")</f>
        <v/>
      </c>
      <c r="N9" s="25">
        <f>IFERROR(IF($A9="","",INDEX('Key Activity Log'!$F$5:$F$254,MATCH($A9,'Key Activity Log'!$AA$5:$AA$254,0))),"")</f>
        <v/>
      </c>
      <c r="O9" s="25">
        <f>IFERROR(IF($A9="","",INDEX('Key Activity Log'!$V$5:$V$254,MATCH($A9,'Key Activity Log'!$AA$5:$AA$254,0))),"")</f>
        <v/>
      </c>
      <c r="P9" s="25">
        <f>IFERROR(IF($L9="","",IF($L9&lt;TODAY(),"Overdue",IF($L9&lt;=TODAY()+Dashboard!$B$10,"Due Soon","Current"))),"")</f>
        <v/>
      </c>
      <c r="Q9" s="25">
        <f>IFERROR(IF($A9="","",IF($I9&gt;=Dashboard!$B$9,"High Cost","")),"")</f>
        <v/>
      </c>
      <c r="R9" s="24" t="inlineStr">
        <is>
          <t>Taylor Morgan</t>
        </is>
      </c>
      <c r="S9" s="24" t="inlineStr">
        <is>
          <t>Vendor issue requires authorization reference.</t>
        </is>
      </c>
    </row>
    <row r="10">
      <c r="A10" s="24" t="inlineStr">
        <is>
          <t>KEY-006</t>
        </is>
      </c>
      <c r="B10" s="24" t="inlineStr">
        <is>
          <t>Security Patrol Key Ring</t>
        </is>
      </c>
      <c r="C10" s="24" t="inlineStr">
        <is>
          <t>Key Ring</t>
        </is>
      </c>
      <c r="D10" s="24" t="inlineStr">
        <is>
          <t>Patrol checkpoints and approved service areas</t>
        </is>
      </c>
      <c r="E10" s="24" t="inlineStr">
        <is>
          <t>Security</t>
        </is>
      </c>
      <c r="F10" s="24" t="inlineStr">
        <is>
          <t>Security Office Safe</t>
        </is>
      </c>
      <c r="G10" s="24" t="inlineStr">
        <is>
          <t>Security Supervisor</t>
        </is>
      </c>
      <c r="H10" s="24" t="inlineStr">
        <is>
          <t>Active</t>
        </is>
      </c>
      <c r="I10" s="30" t="n">
        <v>180</v>
      </c>
      <c r="J10" s="26" t="n">
        <v>46131</v>
      </c>
      <c r="K10" s="26" t="n">
        <v>46251</v>
      </c>
      <c r="L10" s="31">
        <f>IFERROR(IF($K10="","",$K10+Dashboard!$B$8),"")</f>
        <v/>
      </c>
      <c r="M10" s="25">
        <f>IFERROR(IF($A10="","",IF($H10&lt;&gt;"Active",$H10,IF(COUNTIFS('Key Activity Log'!$B$5:$B$254,$A10,'Key Activity Log'!$V$5:$V$254,"Checked Out")+COUNTIFS('Key Activity Log'!$B$5:$B$254,$A10,'Key Activity Log'!$V$5:$V$254,"Overdue")&gt;0,"Checked Out","Available"))),"")</f>
        <v/>
      </c>
      <c r="N10" s="25">
        <f>IFERROR(IF($A10="","",INDEX('Key Activity Log'!$F$5:$F$254,MATCH($A10,'Key Activity Log'!$AA$5:$AA$254,0))),"")</f>
        <v/>
      </c>
      <c r="O10" s="25">
        <f>IFERROR(IF($A10="","",INDEX('Key Activity Log'!$V$5:$V$254,MATCH($A10,'Key Activity Log'!$AA$5:$AA$254,0))),"")</f>
        <v/>
      </c>
      <c r="P10" s="25">
        <f>IFERROR(IF($L10="","",IF($L10&lt;TODAY(),"Overdue",IF($L10&lt;=TODAY()+Dashboard!$B$10,"Due Soon","Current"))),"")</f>
        <v/>
      </c>
      <c r="Q10" s="25">
        <f>IFERROR(IF($A10="","",IF($I10&gt;=Dashboard!$B$9,"High Cost","")),"")</f>
        <v/>
      </c>
      <c r="R10" s="24" t="inlineStr">
        <is>
          <t>Morgan Reed</t>
        </is>
      </c>
      <c r="S10" s="24" t="inlineStr">
        <is>
          <t>Open patrol assignment requires follow-up.</t>
        </is>
      </c>
    </row>
    <row r="11">
      <c r="A11" s="24" t="inlineStr">
        <is>
          <t>KEY-007</t>
        </is>
      </c>
      <c r="B11" s="24" t="inlineStr">
        <is>
          <t>Executive Office Key</t>
        </is>
      </c>
      <c r="C11" s="24" t="inlineStr">
        <is>
          <t>Office Key</t>
        </is>
      </c>
      <c r="D11" s="24" t="inlineStr">
        <is>
          <t>Executive office suite</t>
        </is>
      </c>
      <c r="E11" s="24" t="inlineStr">
        <is>
          <t>Management</t>
        </is>
      </c>
      <c r="F11" s="24" t="inlineStr">
        <is>
          <t>Executive Office Key Cabinet</t>
        </is>
      </c>
      <c r="G11" s="24" t="inlineStr">
        <is>
          <t>General Manager</t>
        </is>
      </c>
      <c r="H11" s="24" t="inlineStr">
        <is>
          <t>Active</t>
        </is>
      </c>
      <c r="I11" s="30" t="n">
        <v>35</v>
      </c>
      <c r="J11" s="26" t="n">
        <v>46151</v>
      </c>
      <c r="K11" s="26" t="n">
        <v>46261</v>
      </c>
      <c r="L11" s="31">
        <f>IFERROR(IF($K11="","",$K11+Dashboard!$B$8),"")</f>
        <v/>
      </c>
      <c r="M11" s="25">
        <f>IFERROR(IF($A11="","",IF($H11&lt;&gt;"Active",$H11,IF(COUNTIFS('Key Activity Log'!$B$5:$B$254,$A11,'Key Activity Log'!$V$5:$V$254,"Checked Out")+COUNTIFS('Key Activity Log'!$B$5:$B$254,$A11,'Key Activity Log'!$V$5:$V$254,"Overdue")&gt;0,"Checked Out","Available"))),"")</f>
        <v/>
      </c>
      <c r="N11" s="25">
        <f>IFERROR(IF($A11="","",INDEX('Key Activity Log'!$F$5:$F$254,MATCH($A11,'Key Activity Log'!$AA$5:$AA$254,0))),"")</f>
        <v/>
      </c>
      <c r="O11" s="25">
        <f>IFERROR(IF($A11="","",INDEX('Key Activity Log'!$V$5:$V$254,MATCH($A11,'Key Activity Log'!$AA$5:$AA$254,0))),"")</f>
        <v/>
      </c>
      <c r="P11" s="25">
        <f>IFERROR(IF($L11="","",IF($L11&lt;TODAY(),"Overdue",IF($L11&lt;=TODAY()+Dashboard!$B$10,"Due Soon","Current"))),"")</f>
        <v/>
      </c>
      <c r="Q11" s="25">
        <f>IFERROR(IF($A11="","",IF($I11&gt;=Dashboard!$B$9,"High Cost","")),"")</f>
        <v/>
      </c>
      <c r="R11" s="24" t="inlineStr">
        <is>
          <t>Riley Chen</t>
        </is>
      </c>
      <c r="S11" s="24" t="inlineStr">
        <is>
          <t>Management-controlled issue.</t>
        </is>
      </c>
    </row>
    <row r="12">
      <c r="A12" s="24" t="inlineStr">
        <is>
          <t>KEY-008</t>
        </is>
      </c>
      <c r="B12" s="24" t="inlineStr">
        <is>
          <t>Pool Equipment Room Key</t>
        </is>
      </c>
      <c r="C12" s="24" t="inlineStr">
        <is>
          <t>Mechanical Key</t>
        </is>
      </c>
      <c r="D12" s="24" t="inlineStr">
        <is>
          <t>Pool equipment room</t>
        </is>
      </c>
      <c r="E12" s="24" t="inlineStr">
        <is>
          <t>Engineering</t>
        </is>
      </c>
      <c r="F12" s="24" t="inlineStr">
        <is>
          <t>Engineering Key Cabinet</t>
        </is>
      </c>
      <c r="G12" s="24" t="inlineStr">
        <is>
          <t>Chief Engineer</t>
        </is>
      </c>
      <c r="H12" s="24" t="inlineStr">
        <is>
          <t>Out of Service</t>
        </is>
      </c>
      <c r="I12" s="30" t="n">
        <v>40</v>
      </c>
      <c r="J12" s="26" t="n">
        <v>46171</v>
      </c>
      <c r="K12" s="26" t="n">
        <v>46246</v>
      </c>
      <c r="L12" s="31">
        <f>IFERROR(IF($K12="","",$K12+Dashboard!$B$8),"")</f>
        <v/>
      </c>
      <c r="M12" s="25">
        <f>IFERROR(IF($A12="","",IF($H12&lt;&gt;"Active",$H12,IF(COUNTIFS('Key Activity Log'!$B$5:$B$254,$A12,'Key Activity Log'!$V$5:$V$254,"Checked Out")+COUNTIFS('Key Activity Log'!$B$5:$B$254,$A12,'Key Activity Log'!$V$5:$V$254,"Overdue")&gt;0,"Checked Out","Available"))),"")</f>
        <v/>
      </c>
      <c r="N12" s="25">
        <f>IFERROR(IF($A12="","",INDEX('Key Activity Log'!$F$5:$F$254,MATCH($A12,'Key Activity Log'!$AA$5:$AA$254,0))),"")</f>
        <v/>
      </c>
      <c r="O12" s="25">
        <f>IFERROR(IF($A12="","",INDEX('Key Activity Log'!$V$5:$V$254,MATCH($A12,'Key Activity Log'!$AA$5:$AA$254,0))),"")</f>
        <v/>
      </c>
      <c r="P12" s="25">
        <f>IFERROR(IF($L12="","",IF($L12&lt;TODAY(),"Overdue",IF($L12&lt;=TODAY()+Dashboard!$B$10,"Due Soon","Current"))),"")</f>
        <v/>
      </c>
      <c r="Q12" s="25">
        <f>IFERROR(IF($A12="","",IF($I12&gt;=Dashboard!$B$9,"High Cost","")),"")</f>
        <v/>
      </c>
      <c r="R12" s="24" t="inlineStr">
        <is>
          <t>Cameron Price</t>
        </is>
      </c>
      <c r="S12" s="24" t="inlineStr">
        <is>
          <t>Damaged on return; do not issue.</t>
        </is>
      </c>
    </row>
    <row r="13">
      <c r="A13" s="24" t="inlineStr">
        <is>
          <t>KEY-009</t>
        </is>
      </c>
      <c r="B13" s="24" t="inlineStr">
        <is>
          <t>Emergency Key Cabinet Seal Key</t>
        </is>
      </c>
      <c r="C13" s="24" t="inlineStr">
        <is>
          <t>Secured Device</t>
        </is>
      </c>
      <c r="D13" s="24" t="inlineStr">
        <is>
          <t>Emergency key cabinet</t>
        </is>
      </c>
      <c r="E13" s="24" t="inlineStr">
        <is>
          <t>Security</t>
        </is>
      </c>
      <c r="F13" s="24" t="inlineStr">
        <is>
          <t>Security Office Safe</t>
        </is>
      </c>
      <c r="G13" s="24" t="inlineStr">
        <is>
          <t>Security Director</t>
        </is>
      </c>
      <c r="H13" s="24" t="inlineStr">
        <is>
          <t>Active</t>
        </is>
      </c>
      <c r="I13" s="30" t="n">
        <v>150</v>
      </c>
      <c r="J13" s="26" t="n">
        <v>46181</v>
      </c>
      <c r="K13" s="26" t="n">
        <v>46266</v>
      </c>
      <c r="L13" s="31">
        <f>IFERROR(IF($K13="","",$K13+Dashboard!$B$8),"")</f>
        <v/>
      </c>
      <c r="M13" s="25">
        <f>IFERROR(IF($A13="","",IF($H13&lt;&gt;"Active",$H13,IF(COUNTIFS('Key Activity Log'!$B$5:$B$254,$A13,'Key Activity Log'!$V$5:$V$254,"Checked Out")+COUNTIFS('Key Activity Log'!$B$5:$B$254,$A13,'Key Activity Log'!$V$5:$V$254,"Overdue")&gt;0,"Checked Out","Available"))),"")</f>
        <v/>
      </c>
      <c r="N13" s="25">
        <f>IFERROR(IF($A13="","",INDEX('Key Activity Log'!$F$5:$F$254,MATCH($A13,'Key Activity Log'!$AA$5:$AA$254,0))),"")</f>
        <v/>
      </c>
      <c r="O13" s="25">
        <f>IFERROR(IF($A13="","",INDEX('Key Activity Log'!$V$5:$V$254,MATCH($A13,'Key Activity Log'!$AA$5:$AA$254,0))),"")</f>
        <v/>
      </c>
      <c r="P13" s="25">
        <f>IFERROR(IF($L13="","",IF($L13&lt;TODAY(),"Overdue",IF($L13&lt;=TODAY()+Dashboard!$B$10,"Due Soon","Current"))),"")</f>
        <v/>
      </c>
      <c r="Q13" s="25">
        <f>IFERROR(IF($A13="","",IF($I13&gt;=Dashboard!$B$9,"High Cost","")),"")</f>
        <v/>
      </c>
      <c r="R13" s="24" t="inlineStr">
        <is>
          <t>Morgan Reed</t>
        </is>
      </c>
      <c r="S13" s="24" t="inlineStr">
        <is>
          <t>High-cost controlled device.</t>
        </is>
      </c>
    </row>
    <row r="14">
      <c r="A14" s="24" t="n"/>
      <c r="B14" s="24" t="n"/>
      <c r="C14" s="24" t="n"/>
      <c r="D14" s="24" t="n"/>
      <c r="E14" s="24" t="n"/>
      <c r="F14" s="24" t="n"/>
      <c r="G14" s="24" t="n"/>
      <c r="H14" s="24" t="n"/>
      <c r="I14" s="30" t="n"/>
      <c r="J14" s="26" t="n"/>
      <c r="K14" s="26" t="n"/>
      <c r="L14" s="31">
        <f>IFERROR(IF($K14="","",$K14+Dashboard!$B$8),"")</f>
        <v/>
      </c>
      <c r="M14" s="25">
        <f>IFERROR(IF($A14="","",IF($H14&lt;&gt;"Active",$H14,IF(COUNTIFS('Key Activity Log'!$B$5:$B$254,$A14,'Key Activity Log'!$V$5:$V$254,"Checked Out")+COUNTIFS('Key Activity Log'!$B$5:$B$254,$A14,'Key Activity Log'!$V$5:$V$254,"Overdue")&gt;0,"Checked Out","Available"))),"")</f>
        <v/>
      </c>
      <c r="N14" s="25">
        <f>IFERROR(IF($A14="","",INDEX('Key Activity Log'!$F$5:$F$254,MATCH($A14,'Key Activity Log'!$AA$5:$AA$254,0))),"")</f>
        <v/>
      </c>
      <c r="O14" s="25">
        <f>IFERROR(IF($A14="","",INDEX('Key Activity Log'!$V$5:$V$254,MATCH($A14,'Key Activity Log'!$AA$5:$AA$254,0))),"")</f>
        <v/>
      </c>
      <c r="P14" s="25">
        <f>IFERROR(IF($L14="","",IF($L14&lt;TODAY(),"Overdue",IF($L14&lt;=TODAY()+Dashboard!$B$10,"Due Soon","Current"))),"")</f>
        <v/>
      </c>
      <c r="Q14" s="25">
        <f>IFERROR(IF($A14="","",IF($I14&gt;=Dashboard!$B$9,"High Cost","")),"")</f>
        <v/>
      </c>
      <c r="R14" s="24" t="n"/>
      <c r="S14" s="24" t="n"/>
    </row>
    <row r="15">
      <c r="A15" s="24" t="n"/>
      <c r="B15" s="24" t="n"/>
      <c r="C15" s="24" t="n"/>
      <c r="D15" s="24" t="n"/>
      <c r="E15" s="24" t="n"/>
      <c r="F15" s="24" t="n"/>
      <c r="G15" s="24" t="n"/>
      <c r="H15" s="24" t="n"/>
      <c r="I15" s="30" t="n"/>
      <c r="J15" s="26" t="n"/>
      <c r="K15" s="26" t="n"/>
      <c r="L15" s="31">
        <f>IFERROR(IF($K15="","",$K15+Dashboard!$B$8),"")</f>
        <v/>
      </c>
      <c r="M15" s="25">
        <f>IFERROR(IF($A15="","",IF($H15&lt;&gt;"Active",$H15,IF(COUNTIFS('Key Activity Log'!$B$5:$B$254,$A15,'Key Activity Log'!$V$5:$V$254,"Checked Out")+COUNTIFS('Key Activity Log'!$B$5:$B$254,$A15,'Key Activity Log'!$V$5:$V$254,"Overdue")&gt;0,"Checked Out","Available"))),"")</f>
        <v/>
      </c>
      <c r="N15" s="25">
        <f>IFERROR(IF($A15="","",INDEX('Key Activity Log'!$F$5:$F$254,MATCH($A15,'Key Activity Log'!$AA$5:$AA$254,0))),"")</f>
        <v/>
      </c>
      <c r="O15" s="25">
        <f>IFERROR(IF($A15="","",INDEX('Key Activity Log'!$V$5:$V$254,MATCH($A15,'Key Activity Log'!$AA$5:$AA$254,0))),"")</f>
        <v/>
      </c>
      <c r="P15" s="25">
        <f>IFERROR(IF($L15="","",IF($L15&lt;TODAY(),"Overdue",IF($L15&lt;=TODAY()+Dashboard!$B$10,"Due Soon","Current"))),"")</f>
        <v/>
      </c>
      <c r="Q15" s="25">
        <f>IFERROR(IF($A15="","",IF($I15&gt;=Dashboard!$B$9,"High Cost","")),"")</f>
        <v/>
      </c>
      <c r="R15" s="24" t="n"/>
      <c r="S15" s="24" t="n"/>
    </row>
    <row r="16">
      <c r="A16" s="24" t="n"/>
      <c r="B16" s="24" t="n"/>
      <c r="C16" s="24" t="n"/>
      <c r="D16" s="24" t="n"/>
      <c r="E16" s="24" t="n"/>
      <c r="F16" s="24" t="n"/>
      <c r="G16" s="24" t="n"/>
      <c r="H16" s="24" t="n"/>
      <c r="I16" s="30" t="n"/>
      <c r="J16" s="26" t="n"/>
      <c r="K16" s="26" t="n"/>
      <c r="L16" s="31">
        <f>IFERROR(IF($K16="","",$K16+Dashboard!$B$8),"")</f>
        <v/>
      </c>
      <c r="M16" s="25">
        <f>IFERROR(IF($A16="","",IF($H16&lt;&gt;"Active",$H16,IF(COUNTIFS('Key Activity Log'!$B$5:$B$254,$A16,'Key Activity Log'!$V$5:$V$254,"Checked Out")+COUNTIFS('Key Activity Log'!$B$5:$B$254,$A16,'Key Activity Log'!$V$5:$V$254,"Overdue")&gt;0,"Checked Out","Available"))),"")</f>
        <v/>
      </c>
      <c r="N16" s="25">
        <f>IFERROR(IF($A16="","",INDEX('Key Activity Log'!$F$5:$F$254,MATCH($A16,'Key Activity Log'!$AA$5:$AA$254,0))),"")</f>
        <v/>
      </c>
      <c r="O16" s="25">
        <f>IFERROR(IF($A16="","",INDEX('Key Activity Log'!$V$5:$V$254,MATCH($A16,'Key Activity Log'!$AA$5:$AA$254,0))),"")</f>
        <v/>
      </c>
      <c r="P16" s="25">
        <f>IFERROR(IF($L16="","",IF($L16&lt;TODAY(),"Overdue",IF($L16&lt;=TODAY()+Dashboard!$B$10,"Due Soon","Current"))),"")</f>
        <v/>
      </c>
      <c r="Q16" s="25">
        <f>IFERROR(IF($A16="","",IF($I16&gt;=Dashboard!$B$9,"High Cost","")),"")</f>
        <v/>
      </c>
      <c r="R16" s="24" t="n"/>
      <c r="S16" s="24" t="n"/>
    </row>
    <row r="17">
      <c r="A17" s="24" t="n"/>
      <c r="B17" s="24" t="n"/>
      <c r="C17" s="24" t="n"/>
      <c r="D17" s="24" t="n"/>
      <c r="E17" s="24" t="n"/>
      <c r="F17" s="24" t="n"/>
      <c r="G17" s="24" t="n"/>
      <c r="H17" s="24" t="n"/>
      <c r="I17" s="30" t="n"/>
      <c r="J17" s="26" t="n"/>
      <c r="K17" s="26" t="n"/>
      <c r="L17" s="31">
        <f>IFERROR(IF($K17="","",$K17+Dashboard!$B$8),"")</f>
        <v/>
      </c>
      <c r="M17" s="25">
        <f>IFERROR(IF($A17="","",IF($H17&lt;&gt;"Active",$H17,IF(COUNTIFS('Key Activity Log'!$B$5:$B$254,$A17,'Key Activity Log'!$V$5:$V$254,"Checked Out")+COUNTIFS('Key Activity Log'!$B$5:$B$254,$A17,'Key Activity Log'!$V$5:$V$254,"Overdue")&gt;0,"Checked Out","Available"))),"")</f>
        <v/>
      </c>
      <c r="N17" s="25">
        <f>IFERROR(IF($A17="","",INDEX('Key Activity Log'!$F$5:$F$254,MATCH($A17,'Key Activity Log'!$AA$5:$AA$254,0))),"")</f>
        <v/>
      </c>
      <c r="O17" s="25">
        <f>IFERROR(IF($A17="","",INDEX('Key Activity Log'!$V$5:$V$254,MATCH($A17,'Key Activity Log'!$AA$5:$AA$254,0))),"")</f>
        <v/>
      </c>
      <c r="P17" s="25">
        <f>IFERROR(IF($L17="","",IF($L17&lt;TODAY(),"Overdue",IF($L17&lt;=TODAY()+Dashboard!$B$10,"Due Soon","Current"))),"")</f>
        <v/>
      </c>
      <c r="Q17" s="25">
        <f>IFERROR(IF($A17="","",IF($I17&gt;=Dashboard!$B$9,"High Cost","")),"")</f>
        <v/>
      </c>
      <c r="R17" s="24" t="n"/>
      <c r="S17" s="24" t="n"/>
    </row>
    <row r="18">
      <c r="A18" s="24" t="n"/>
      <c r="B18" s="24" t="n"/>
      <c r="C18" s="24" t="n"/>
      <c r="D18" s="24" t="n"/>
      <c r="E18" s="24" t="n"/>
      <c r="F18" s="24" t="n"/>
      <c r="G18" s="24" t="n"/>
      <c r="H18" s="24" t="n"/>
      <c r="I18" s="30" t="n"/>
      <c r="J18" s="26" t="n"/>
      <c r="K18" s="26" t="n"/>
      <c r="L18" s="31">
        <f>IFERROR(IF($K18="","",$K18+Dashboard!$B$8),"")</f>
        <v/>
      </c>
      <c r="M18" s="25">
        <f>IFERROR(IF($A18="","",IF($H18&lt;&gt;"Active",$H18,IF(COUNTIFS('Key Activity Log'!$B$5:$B$254,$A18,'Key Activity Log'!$V$5:$V$254,"Checked Out")+COUNTIFS('Key Activity Log'!$B$5:$B$254,$A18,'Key Activity Log'!$V$5:$V$254,"Overdue")&gt;0,"Checked Out","Available"))),"")</f>
        <v/>
      </c>
      <c r="N18" s="25">
        <f>IFERROR(IF($A18="","",INDEX('Key Activity Log'!$F$5:$F$254,MATCH($A18,'Key Activity Log'!$AA$5:$AA$254,0))),"")</f>
        <v/>
      </c>
      <c r="O18" s="25">
        <f>IFERROR(IF($A18="","",INDEX('Key Activity Log'!$V$5:$V$254,MATCH($A18,'Key Activity Log'!$AA$5:$AA$254,0))),"")</f>
        <v/>
      </c>
      <c r="P18" s="25">
        <f>IFERROR(IF($L18="","",IF($L18&lt;TODAY(),"Overdue",IF($L18&lt;=TODAY()+Dashboard!$B$10,"Due Soon","Current"))),"")</f>
        <v/>
      </c>
      <c r="Q18" s="25">
        <f>IFERROR(IF($A18="","",IF($I18&gt;=Dashboard!$B$9,"High Cost","")),"")</f>
        <v/>
      </c>
      <c r="R18" s="24" t="n"/>
      <c r="S18" s="24" t="n"/>
    </row>
    <row r="19">
      <c r="A19" s="24" t="n"/>
      <c r="B19" s="24" t="n"/>
      <c r="C19" s="24" t="n"/>
      <c r="D19" s="24" t="n"/>
      <c r="E19" s="24" t="n"/>
      <c r="F19" s="24" t="n"/>
      <c r="G19" s="24" t="n"/>
      <c r="H19" s="24" t="n"/>
      <c r="I19" s="30" t="n"/>
      <c r="J19" s="26" t="n"/>
      <c r="K19" s="26" t="n"/>
      <c r="L19" s="31">
        <f>IFERROR(IF($K19="","",$K19+Dashboard!$B$8),"")</f>
        <v/>
      </c>
      <c r="M19" s="25">
        <f>IFERROR(IF($A19="","",IF($H19&lt;&gt;"Active",$H19,IF(COUNTIFS('Key Activity Log'!$B$5:$B$254,$A19,'Key Activity Log'!$V$5:$V$254,"Checked Out")+COUNTIFS('Key Activity Log'!$B$5:$B$254,$A19,'Key Activity Log'!$V$5:$V$254,"Overdue")&gt;0,"Checked Out","Available"))),"")</f>
        <v/>
      </c>
      <c r="N19" s="25">
        <f>IFERROR(IF($A19="","",INDEX('Key Activity Log'!$F$5:$F$254,MATCH($A19,'Key Activity Log'!$AA$5:$AA$254,0))),"")</f>
        <v/>
      </c>
      <c r="O19" s="25">
        <f>IFERROR(IF($A19="","",INDEX('Key Activity Log'!$V$5:$V$254,MATCH($A19,'Key Activity Log'!$AA$5:$AA$254,0))),"")</f>
        <v/>
      </c>
      <c r="P19" s="25">
        <f>IFERROR(IF($L19="","",IF($L19&lt;TODAY(),"Overdue",IF($L19&lt;=TODAY()+Dashboard!$B$10,"Due Soon","Current"))),"")</f>
        <v/>
      </c>
      <c r="Q19" s="25">
        <f>IFERROR(IF($A19="","",IF($I19&gt;=Dashboard!$B$9,"High Cost","")),"")</f>
        <v/>
      </c>
      <c r="R19" s="24" t="n"/>
      <c r="S19" s="24" t="n"/>
    </row>
    <row r="20">
      <c r="A20" s="24" t="n"/>
      <c r="B20" s="24" t="n"/>
      <c r="C20" s="24" t="n"/>
      <c r="D20" s="24" t="n"/>
      <c r="E20" s="24" t="n"/>
      <c r="F20" s="24" t="n"/>
      <c r="G20" s="24" t="n"/>
      <c r="H20" s="24" t="n"/>
      <c r="I20" s="30" t="n"/>
      <c r="J20" s="26" t="n"/>
      <c r="K20" s="26" t="n"/>
      <c r="L20" s="31">
        <f>IFERROR(IF($K20="","",$K20+Dashboard!$B$8),"")</f>
        <v/>
      </c>
      <c r="M20" s="25">
        <f>IFERROR(IF($A20="","",IF($H20&lt;&gt;"Active",$H20,IF(COUNTIFS('Key Activity Log'!$B$5:$B$254,$A20,'Key Activity Log'!$V$5:$V$254,"Checked Out")+COUNTIFS('Key Activity Log'!$B$5:$B$254,$A20,'Key Activity Log'!$V$5:$V$254,"Overdue")&gt;0,"Checked Out","Available"))),"")</f>
        <v/>
      </c>
      <c r="N20" s="25">
        <f>IFERROR(IF($A20="","",INDEX('Key Activity Log'!$F$5:$F$254,MATCH($A20,'Key Activity Log'!$AA$5:$AA$254,0))),"")</f>
        <v/>
      </c>
      <c r="O20" s="25">
        <f>IFERROR(IF($A20="","",INDEX('Key Activity Log'!$V$5:$V$254,MATCH($A20,'Key Activity Log'!$AA$5:$AA$254,0))),"")</f>
        <v/>
      </c>
      <c r="P20" s="25">
        <f>IFERROR(IF($L20="","",IF($L20&lt;TODAY(),"Overdue",IF($L20&lt;=TODAY()+Dashboard!$B$10,"Due Soon","Current"))),"")</f>
        <v/>
      </c>
      <c r="Q20" s="25">
        <f>IFERROR(IF($A20="","",IF($I20&gt;=Dashboard!$B$9,"High Cost","")),"")</f>
        <v/>
      </c>
      <c r="R20" s="24" t="n"/>
      <c r="S20" s="24" t="n"/>
    </row>
    <row r="21">
      <c r="A21" s="24" t="n"/>
      <c r="B21" s="24" t="n"/>
      <c r="C21" s="24" t="n"/>
      <c r="D21" s="24" t="n"/>
      <c r="E21" s="24" t="n"/>
      <c r="F21" s="24" t="n"/>
      <c r="G21" s="24" t="n"/>
      <c r="H21" s="24" t="n"/>
      <c r="I21" s="30" t="n"/>
      <c r="J21" s="26" t="n"/>
      <c r="K21" s="26" t="n"/>
      <c r="L21" s="31">
        <f>IFERROR(IF($K21="","",$K21+Dashboard!$B$8),"")</f>
        <v/>
      </c>
      <c r="M21" s="25">
        <f>IFERROR(IF($A21="","",IF($H21&lt;&gt;"Active",$H21,IF(COUNTIFS('Key Activity Log'!$B$5:$B$254,$A21,'Key Activity Log'!$V$5:$V$254,"Checked Out")+COUNTIFS('Key Activity Log'!$B$5:$B$254,$A21,'Key Activity Log'!$V$5:$V$254,"Overdue")&gt;0,"Checked Out","Available"))),"")</f>
        <v/>
      </c>
      <c r="N21" s="25">
        <f>IFERROR(IF($A21="","",INDEX('Key Activity Log'!$F$5:$F$254,MATCH($A21,'Key Activity Log'!$AA$5:$AA$254,0))),"")</f>
        <v/>
      </c>
      <c r="O21" s="25">
        <f>IFERROR(IF($A21="","",INDEX('Key Activity Log'!$V$5:$V$254,MATCH($A21,'Key Activity Log'!$AA$5:$AA$254,0))),"")</f>
        <v/>
      </c>
      <c r="P21" s="25">
        <f>IFERROR(IF($L21="","",IF($L21&lt;TODAY(),"Overdue",IF($L21&lt;=TODAY()+Dashboard!$B$10,"Due Soon","Current"))),"")</f>
        <v/>
      </c>
      <c r="Q21" s="25">
        <f>IFERROR(IF($A21="","",IF($I21&gt;=Dashboard!$B$9,"High Cost","")),"")</f>
        <v/>
      </c>
      <c r="R21" s="24" t="n"/>
      <c r="S21" s="24" t="n"/>
    </row>
    <row r="22">
      <c r="A22" s="24" t="n"/>
      <c r="B22" s="24" t="n"/>
      <c r="C22" s="24" t="n"/>
      <c r="D22" s="24" t="n"/>
      <c r="E22" s="24" t="n"/>
      <c r="F22" s="24" t="n"/>
      <c r="G22" s="24" t="n"/>
      <c r="H22" s="24" t="n"/>
      <c r="I22" s="30" t="n"/>
      <c r="J22" s="26" t="n"/>
      <c r="K22" s="26" t="n"/>
      <c r="L22" s="31">
        <f>IFERROR(IF($K22="","",$K22+Dashboard!$B$8),"")</f>
        <v/>
      </c>
      <c r="M22" s="25">
        <f>IFERROR(IF($A22="","",IF($H22&lt;&gt;"Active",$H22,IF(COUNTIFS('Key Activity Log'!$B$5:$B$254,$A22,'Key Activity Log'!$V$5:$V$254,"Checked Out")+COUNTIFS('Key Activity Log'!$B$5:$B$254,$A22,'Key Activity Log'!$V$5:$V$254,"Overdue")&gt;0,"Checked Out","Available"))),"")</f>
        <v/>
      </c>
      <c r="N22" s="25">
        <f>IFERROR(IF($A22="","",INDEX('Key Activity Log'!$F$5:$F$254,MATCH($A22,'Key Activity Log'!$AA$5:$AA$254,0))),"")</f>
        <v/>
      </c>
      <c r="O22" s="25">
        <f>IFERROR(IF($A22="","",INDEX('Key Activity Log'!$V$5:$V$254,MATCH($A22,'Key Activity Log'!$AA$5:$AA$254,0))),"")</f>
        <v/>
      </c>
      <c r="P22" s="25">
        <f>IFERROR(IF($L22="","",IF($L22&lt;TODAY(),"Overdue",IF($L22&lt;=TODAY()+Dashboard!$B$10,"Due Soon","Current"))),"")</f>
        <v/>
      </c>
      <c r="Q22" s="25">
        <f>IFERROR(IF($A22="","",IF($I22&gt;=Dashboard!$B$9,"High Cost","")),"")</f>
        <v/>
      </c>
      <c r="R22" s="24" t="n"/>
      <c r="S22" s="24" t="n"/>
    </row>
    <row r="23">
      <c r="A23" s="24" t="n"/>
      <c r="B23" s="24" t="n"/>
      <c r="C23" s="24" t="n"/>
      <c r="D23" s="24" t="n"/>
      <c r="E23" s="24" t="n"/>
      <c r="F23" s="24" t="n"/>
      <c r="G23" s="24" t="n"/>
      <c r="H23" s="24" t="n"/>
      <c r="I23" s="30" t="n"/>
      <c r="J23" s="26" t="n"/>
      <c r="K23" s="26" t="n"/>
      <c r="L23" s="31">
        <f>IFERROR(IF($K23="","",$K23+Dashboard!$B$8),"")</f>
        <v/>
      </c>
      <c r="M23" s="25">
        <f>IFERROR(IF($A23="","",IF($H23&lt;&gt;"Active",$H23,IF(COUNTIFS('Key Activity Log'!$B$5:$B$254,$A23,'Key Activity Log'!$V$5:$V$254,"Checked Out")+COUNTIFS('Key Activity Log'!$B$5:$B$254,$A23,'Key Activity Log'!$V$5:$V$254,"Overdue")&gt;0,"Checked Out","Available"))),"")</f>
        <v/>
      </c>
      <c r="N23" s="25">
        <f>IFERROR(IF($A23="","",INDEX('Key Activity Log'!$F$5:$F$254,MATCH($A23,'Key Activity Log'!$AA$5:$AA$254,0))),"")</f>
        <v/>
      </c>
      <c r="O23" s="25">
        <f>IFERROR(IF($A23="","",INDEX('Key Activity Log'!$V$5:$V$254,MATCH($A23,'Key Activity Log'!$AA$5:$AA$254,0))),"")</f>
        <v/>
      </c>
      <c r="P23" s="25">
        <f>IFERROR(IF($L23="","",IF($L23&lt;TODAY(),"Overdue",IF($L23&lt;=TODAY()+Dashboard!$B$10,"Due Soon","Current"))),"")</f>
        <v/>
      </c>
      <c r="Q23" s="25">
        <f>IFERROR(IF($A23="","",IF($I23&gt;=Dashboard!$B$9,"High Cost","")),"")</f>
        <v/>
      </c>
      <c r="R23" s="24" t="n"/>
      <c r="S23" s="24" t="n"/>
    </row>
    <row r="24">
      <c r="A24" s="24" t="n"/>
      <c r="B24" s="24" t="n"/>
      <c r="C24" s="24" t="n"/>
      <c r="D24" s="24" t="n"/>
      <c r="E24" s="24" t="n"/>
      <c r="F24" s="24" t="n"/>
      <c r="G24" s="24" t="n"/>
      <c r="H24" s="24" t="n"/>
      <c r="I24" s="30" t="n"/>
      <c r="J24" s="26" t="n"/>
      <c r="K24" s="26" t="n"/>
      <c r="L24" s="31">
        <f>IFERROR(IF($K24="","",$K24+Dashboard!$B$8),"")</f>
        <v/>
      </c>
      <c r="M24" s="25">
        <f>IFERROR(IF($A24="","",IF($H24&lt;&gt;"Active",$H24,IF(COUNTIFS('Key Activity Log'!$B$5:$B$254,$A24,'Key Activity Log'!$V$5:$V$254,"Checked Out")+COUNTIFS('Key Activity Log'!$B$5:$B$254,$A24,'Key Activity Log'!$V$5:$V$254,"Overdue")&gt;0,"Checked Out","Available"))),"")</f>
        <v/>
      </c>
      <c r="N24" s="25">
        <f>IFERROR(IF($A24="","",INDEX('Key Activity Log'!$F$5:$F$254,MATCH($A24,'Key Activity Log'!$AA$5:$AA$254,0))),"")</f>
        <v/>
      </c>
      <c r="O24" s="25">
        <f>IFERROR(IF($A24="","",INDEX('Key Activity Log'!$V$5:$V$254,MATCH($A24,'Key Activity Log'!$AA$5:$AA$254,0))),"")</f>
        <v/>
      </c>
      <c r="P24" s="25">
        <f>IFERROR(IF($L24="","",IF($L24&lt;TODAY(),"Overdue",IF($L24&lt;=TODAY()+Dashboard!$B$10,"Due Soon","Current"))),"")</f>
        <v/>
      </c>
      <c r="Q24" s="25">
        <f>IFERROR(IF($A24="","",IF($I24&gt;=Dashboard!$B$9,"High Cost","")),"")</f>
        <v/>
      </c>
      <c r="R24" s="24" t="n"/>
      <c r="S24" s="24" t="n"/>
    </row>
    <row r="25">
      <c r="A25" s="24" t="n"/>
      <c r="B25" s="24" t="n"/>
      <c r="C25" s="24" t="n"/>
      <c r="D25" s="24" t="n"/>
      <c r="E25" s="24" t="n"/>
      <c r="F25" s="24" t="n"/>
      <c r="G25" s="24" t="n"/>
      <c r="H25" s="24" t="n"/>
      <c r="I25" s="30" t="n"/>
      <c r="J25" s="26" t="n"/>
      <c r="K25" s="26" t="n"/>
      <c r="L25" s="31">
        <f>IFERROR(IF($K25="","",$K25+Dashboard!$B$8),"")</f>
        <v/>
      </c>
      <c r="M25" s="25">
        <f>IFERROR(IF($A25="","",IF($H25&lt;&gt;"Active",$H25,IF(COUNTIFS('Key Activity Log'!$B$5:$B$254,$A25,'Key Activity Log'!$V$5:$V$254,"Checked Out")+COUNTIFS('Key Activity Log'!$B$5:$B$254,$A25,'Key Activity Log'!$V$5:$V$254,"Overdue")&gt;0,"Checked Out","Available"))),"")</f>
        <v/>
      </c>
      <c r="N25" s="25">
        <f>IFERROR(IF($A25="","",INDEX('Key Activity Log'!$F$5:$F$254,MATCH($A25,'Key Activity Log'!$AA$5:$AA$254,0))),"")</f>
        <v/>
      </c>
      <c r="O25" s="25">
        <f>IFERROR(IF($A25="","",INDEX('Key Activity Log'!$V$5:$V$254,MATCH($A25,'Key Activity Log'!$AA$5:$AA$254,0))),"")</f>
        <v/>
      </c>
      <c r="P25" s="25">
        <f>IFERROR(IF($L25="","",IF($L25&lt;TODAY(),"Overdue",IF($L25&lt;=TODAY()+Dashboard!$B$10,"Due Soon","Current"))),"")</f>
        <v/>
      </c>
      <c r="Q25" s="25">
        <f>IFERROR(IF($A25="","",IF($I25&gt;=Dashboard!$B$9,"High Cost","")),"")</f>
        <v/>
      </c>
      <c r="R25" s="24" t="n"/>
      <c r="S25" s="24" t="n"/>
    </row>
    <row r="26">
      <c r="A26" s="24" t="n"/>
      <c r="B26" s="24" t="n"/>
      <c r="C26" s="24" t="n"/>
      <c r="D26" s="24" t="n"/>
      <c r="E26" s="24" t="n"/>
      <c r="F26" s="24" t="n"/>
      <c r="G26" s="24" t="n"/>
      <c r="H26" s="24" t="n"/>
      <c r="I26" s="30" t="n"/>
      <c r="J26" s="26" t="n"/>
      <c r="K26" s="26" t="n"/>
      <c r="L26" s="31">
        <f>IFERROR(IF($K26="","",$K26+Dashboard!$B$8),"")</f>
        <v/>
      </c>
      <c r="M26" s="25">
        <f>IFERROR(IF($A26="","",IF($H26&lt;&gt;"Active",$H26,IF(COUNTIFS('Key Activity Log'!$B$5:$B$254,$A26,'Key Activity Log'!$V$5:$V$254,"Checked Out")+COUNTIFS('Key Activity Log'!$B$5:$B$254,$A26,'Key Activity Log'!$V$5:$V$254,"Overdue")&gt;0,"Checked Out","Available"))),"")</f>
        <v/>
      </c>
      <c r="N26" s="25">
        <f>IFERROR(IF($A26="","",INDEX('Key Activity Log'!$F$5:$F$254,MATCH($A26,'Key Activity Log'!$AA$5:$AA$254,0))),"")</f>
        <v/>
      </c>
      <c r="O26" s="25">
        <f>IFERROR(IF($A26="","",INDEX('Key Activity Log'!$V$5:$V$254,MATCH($A26,'Key Activity Log'!$AA$5:$AA$254,0))),"")</f>
        <v/>
      </c>
      <c r="P26" s="25">
        <f>IFERROR(IF($L26="","",IF($L26&lt;TODAY(),"Overdue",IF($L26&lt;=TODAY()+Dashboard!$B$10,"Due Soon","Current"))),"")</f>
        <v/>
      </c>
      <c r="Q26" s="25">
        <f>IFERROR(IF($A26="","",IF($I26&gt;=Dashboard!$B$9,"High Cost","")),"")</f>
        <v/>
      </c>
      <c r="R26" s="24" t="n"/>
      <c r="S26" s="24" t="n"/>
    </row>
    <row r="27">
      <c r="A27" s="24" t="n"/>
      <c r="B27" s="24" t="n"/>
      <c r="C27" s="24" t="n"/>
      <c r="D27" s="24" t="n"/>
      <c r="E27" s="24" t="n"/>
      <c r="F27" s="24" t="n"/>
      <c r="G27" s="24" t="n"/>
      <c r="H27" s="24" t="n"/>
      <c r="I27" s="30" t="n"/>
      <c r="J27" s="26" t="n"/>
      <c r="K27" s="26" t="n"/>
      <c r="L27" s="31">
        <f>IFERROR(IF($K27="","",$K27+Dashboard!$B$8),"")</f>
        <v/>
      </c>
      <c r="M27" s="25">
        <f>IFERROR(IF($A27="","",IF($H27&lt;&gt;"Active",$H27,IF(COUNTIFS('Key Activity Log'!$B$5:$B$254,$A27,'Key Activity Log'!$V$5:$V$254,"Checked Out")+COUNTIFS('Key Activity Log'!$B$5:$B$254,$A27,'Key Activity Log'!$V$5:$V$254,"Overdue")&gt;0,"Checked Out","Available"))),"")</f>
        <v/>
      </c>
      <c r="N27" s="25">
        <f>IFERROR(IF($A27="","",INDEX('Key Activity Log'!$F$5:$F$254,MATCH($A27,'Key Activity Log'!$AA$5:$AA$254,0))),"")</f>
        <v/>
      </c>
      <c r="O27" s="25">
        <f>IFERROR(IF($A27="","",INDEX('Key Activity Log'!$V$5:$V$254,MATCH($A27,'Key Activity Log'!$AA$5:$AA$254,0))),"")</f>
        <v/>
      </c>
      <c r="P27" s="25">
        <f>IFERROR(IF($L27="","",IF($L27&lt;TODAY(),"Overdue",IF($L27&lt;=TODAY()+Dashboard!$B$10,"Due Soon","Current"))),"")</f>
        <v/>
      </c>
      <c r="Q27" s="25">
        <f>IFERROR(IF($A27="","",IF($I27&gt;=Dashboard!$B$9,"High Cost","")),"")</f>
        <v/>
      </c>
      <c r="R27" s="24" t="n"/>
      <c r="S27" s="24" t="n"/>
    </row>
    <row r="28">
      <c r="A28" s="24" t="n"/>
      <c r="B28" s="24" t="n"/>
      <c r="C28" s="24" t="n"/>
      <c r="D28" s="24" t="n"/>
      <c r="E28" s="24" t="n"/>
      <c r="F28" s="24" t="n"/>
      <c r="G28" s="24" t="n"/>
      <c r="H28" s="24" t="n"/>
      <c r="I28" s="30" t="n"/>
      <c r="J28" s="26" t="n"/>
      <c r="K28" s="26" t="n"/>
      <c r="L28" s="31">
        <f>IFERROR(IF($K28="","",$K28+Dashboard!$B$8),"")</f>
        <v/>
      </c>
      <c r="M28" s="25">
        <f>IFERROR(IF($A28="","",IF($H28&lt;&gt;"Active",$H28,IF(COUNTIFS('Key Activity Log'!$B$5:$B$254,$A28,'Key Activity Log'!$V$5:$V$254,"Checked Out")+COUNTIFS('Key Activity Log'!$B$5:$B$254,$A28,'Key Activity Log'!$V$5:$V$254,"Overdue")&gt;0,"Checked Out","Available"))),"")</f>
        <v/>
      </c>
      <c r="N28" s="25">
        <f>IFERROR(IF($A28="","",INDEX('Key Activity Log'!$F$5:$F$254,MATCH($A28,'Key Activity Log'!$AA$5:$AA$254,0))),"")</f>
        <v/>
      </c>
      <c r="O28" s="25">
        <f>IFERROR(IF($A28="","",INDEX('Key Activity Log'!$V$5:$V$254,MATCH($A28,'Key Activity Log'!$AA$5:$AA$254,0))),"")</f>
        <v/>
      </c>
      <c r="P28" s="25">
        <f>IFERROR(IF($L28="","",IF($L28&lt;TODAY(),"Overdue",IF($L28&lt;=TODAY()+Dashboard!$B$10,"Due Soon","Current"))),"")</f>
        <v/>
      </c>
      <c r="Q28" s="25">
        <f>IFERROR(IF($A28="","",IF($I28&gt;=Dashboard!$B$9,"High Cost","")),"")</f>
        <v/>
      </c>
      <c r="R28" s="24" t="n"/>
      <c r="S28" s="24" t="n"/>
    </row>
    <row r="29">
      <c r="A29" s="24" t="n"/>
      <c r="B29" s="24" t="n"/>
      <c r="C29" s="24" t="n"/>
      <c r="D29" s="24" t="n"/>
      <c r="E29" s="24" t="n"/>
      <c r="F29" s="24" t="n"/>
      <c r="G29" s="24" t="n"/>
      <c r="H29" s="24" t="n"/>
      <c r="I29" s="30" t="n"/>
      <c r="J29" s="26" t="n"/>
      <c r="K29" s="26" t="n"/>
      <c r="L29" s="31">
        <f>IFERROR(IF($K29="","",$K29+Dashboard!$B$8),"")</f>
        <v/>
      </c>
      <c r="M29" s="25">
        <f>IFERROR(IF($A29="","",IF($H29&lt;&gt;"Active",$H29,IF(COUNTIFS('Key Activity Log'!$B$5:$B$254,$A29,'Key Activity Log'!$V$5:$V$254,"Checked Out")+COUNTIFS('Key Activity Log'!$B$5:$B$254,$A29,'Key Activity Log'!$V$5:$V$254,"Overdue")&gt;0,"Checked Out","Available"))),"")</f>
        <v/>
      </c>
      <c r="N29" s="25">
        <f>IFERROR(IF($A29="","",INDEX('Key Activity Log'!$F$5:$F$254,MATCH($A29,'Key Activity Log'!$AA$5:$AA$254,0))),"")</f>
        <v/>
      </c>
      <c r="O29" s="25">
        <f>IFERROR(IF($A29="","",INDEX('Key Activity Log'!$V$5:$V$254,MATCH($A29,'Key Activity Log'!$AA$5:$AA$254,0))),"")</f>
        <v/>
      </c>
      <c r="P29" s="25">
        <f>IFERROR(IF($L29="","",IF($L29&lt;TODAY(),"Overdue",IF($L29&lt;=TODAY()+Dashboard!$B$10,"Due Soon","Current"))),"")</f>
        <v/>
      </c>
      <c r="Q29" s="25">
        <f>IFERROR(IF($A29="","",IF($I29&gt;=Dashboard!$B$9,"High Cost","")),"")</f>
        <v/>
      </c>
      <c r="R29" s="24" t="n"/>
      <c r="S29" s="24" t="n"/>
    </row>
    <row r="30">
      <c r="A30" s="24" t="n"/>
      <c r="B30" s="24" t="n"/>
      <c r="C30" s="24" t="n"/>
      <c r="D30" s="24" t="n"/>
      <c r="E30" s="24" t="n"/>
      <c r="F30" s="24" t="n"/>
      <c r="G30" s="24" t="n"/>
      <c r="H30" s="24" t="n"/>
      <c r="I30" s="30" t="n"/>
      <c r="J30" s="26" t="n"/>
      <c r="K30" s="26" t="n"/>
      <c r="L30" s="31">
        <f>IFERROR(IF($K30="","",$K30+Dashboard!$B$8),"")</f>
        <v/>
      </c>
      <c r="M30" s="25">
        <f>IFERROR(IF($A30="","",IF($H30&lt;&gt;"Active",$H30,IF(COUNTIFS('Key Activity Log'!$B$5:$B$254,$A30,'Key Activity Log'!$V$5:$V$254,"Checked Out")+COUNTIFS('Key Activity Log'!$B$5:$B$254,$A30,'Key Activity Log'!$V$5:$V$254,"Overdue")&gt;0,"Checked Out","Available"))),"")</f>
        <v/>
      </c>
      <c r="N30" s="25">
        <f>IFERROR(IF($A30="","",INDEX('Key Activity Log'!$F$5:$F$254,MATCH($A30,'Key Activity Log'!$AA$5:$AA$254,0))),"")</f>
        <v/>
      </c>
      <c r="O30" s="25">
        <f>IFERROR(IF($A30="","",INDEX('Key Activity Log'!$V$5:$V$254,MATCH($A30,'Key Activity Log'!$AA$5:$AA$254,0))),"")</f>
        <v/>
      </c>
      <c r="P30" s="25">
        <f>IFERROR(IF($L30="","",IF($L30&lt;TODAY(),"Overdue",IF($L30&lt;=TODAY()+Dashboard!$B$10,"Due Soon","Current"))),"")</f>
        <v/>
      </c>
      <c r="Q30" s="25">
        <f>IFERROR(IF($A30="","",IF($I30&gt;=Dashboard!$B$9,"High Cost","")),"")</f>
        <v/>
      </c>
      <c r="R30" s="24" t="n"/>
      <c r="S30" s="24" t="n"/>
    </row>
    <row r="31">
      <c r="A31" s="24" t="n"/>
      <c r="B31" s="24" t="n"/>
      <c r="C31" s="24" t="n"/>
      <c r="D31" s="24" t="n"/>
      <c r="E31" s="24" t="n"/>
      <c r="F31" s="24" t="n"/>
      <c r="G31" s="24" t="n"/>
      <c r="H31" s="24" t="n"/>
      <c r="I31" s="30" t="n"/>
      <c r="J31" s="26" t="n"/>
      <c r="K31" s="26" t="n"/>
      <c r="L31" s="31">
        <f>IFERROR(IF($K31="","",$K31+Dashboard!$B$8),"")</f>
        <v/>
      </c>
      <c r="M31" s="25">
        <f>IFERROR(IF($A31="","",IF($H31&lt;&gt;"Active",$H31,IF(COUNTIFS('Key Activity Log'!$B$5:$B$254,$A31,'Key Activity Log'!$V$5:$V$254,"Checked Out")+COUNTIFS('Key Activity Log'!$B$5:$B$254,$A31,'Key Activity Log'!$V$5:$V$254,"Overdue")&gt;0,"Checked Out","Available"))),"")</f>
        <v/>
      </c>
      <c r="N31" s="25">
        <f>IFERROR(IF($A31="","",INDEX('Key Activity Log'!$F$5:$F$254,MATCH($A31,'Key Activity Log'!$AA$5:$AA$254,0))),"")</f>
        <v/>
      </c>
      <c r="O31" s="25">
        <f>IFERROR(IF($A31="","",INDEX('Key Activity Log'!$V$5:$V$254,MATCH($A31,'Key Activity Log'!$AA$5:$AA$254,0))),"")</f>
        <v/>
      </c>
      <c r="P31" s="25">
        <f>IFERROR(IF($L31="","",IF($L31&lt;TODAY(),"Overdue",IF($L31&lt;=TODAY()+Dashboard!$B$10,"Due Soon","Current"))),"")</f>
        <v/>
      </c>
      <c r="Q31" s="25">
        <f>IFERROR(IF($A31="","",IF($I31&gt;=Dashboard!$B$9,"High Cost","")),"")</f>
        <v/>
      </c>
      <c r="R31" s="24" t="n"/>
      <c r="S31" s="24" t="n"/>
    </row>
    <row r="32">
      <c r="A32" s="24" t="n"/>
      <c r="B32" s="24" t="n"/>
      <c r="C32" s="24" t="n"/>
      <c r="D32" s="24" t="n"/>
      <c r="E32" s="24" t="n"/>
      <c r="F32" s="24" t="n"/>
      <c r="G32" s="24" t="n"/>
      <c r="H32" s="24" t="n"/>
      <c r="I32" s="30" t="n"/>
      <c r="J32" s="26" t="n"/>
      <c r="K32" s="26" t="n"/>
      <c r="L32" s="31">
        <f>IFERROR(IF($K32="","",$K32+Dashboard!$B$8),"")</f>
        <v/>
      </c>
      <c r="M32" s="25">
        <f>IFERROR(IF($A32="","",IF($H32&lt;&gt;"Active",$H32,IF(COUNTIFS('Key Activity Log'!$B$5:$B$254,$A32,'Key Activity Log'!$V$5:$V$254,"Checked Out")+COUNTIFS('Key Activity Log'!$B$5:$B$254,$A32,'Key Activity Log'!$V$5:$V$254,"Overdue")&gt;0,"Checked Out","Available"))),"")</f>
        <v/>
      </c>
      <c r="N32" s="25">
        <f>IFERROR(IF($A32="","",INDEX('Key Activity Log'!$F$5:$F$254,MATCH($A32,'Key Activity Log'!$AA$5:$AA$254,0))),"")</f>
        <v/>
      </c>
      <c r="O32" s="25">
        <f>IFERROR(IF($A32="","",INDEX('Key Activity Log'!$V$5:$V$254,MATCH($A32,'Key Activity Log'!$AA$5:$AA$254,0))),"")</f>
        <v/>
      </c>
      <c r="P32" s="25">
        <f>IFERROR(IF($L32="","",IF($L32&lt;TODAY(),"Overdue",IF($L32&lt;=TODAY()+Dashboard!$B$10,"Due Soon","Current"))),"")</f>
        <v/>
      </c>
      <c r="Q32" s="25">
        <f>IFERROR(IF($A32="","",IF($I32&gt;=Dashboard!$B$9,"High Cost","")),"")</f>
        <v/>
      </c>
      <c r="R32" s="24" t="n"/>
      <c r="S32" s="24" t="n"/>
    </row>
    <row r="33">
      <c r="A33" s="24" t="n"/>
      <c r="B33" s="24" t="n"/>
      <c r="C33" s="24" t="n"/>
      <c r="D33" s="24" t="n"/>
      <c r="E33" s="24" t="n"/>
      <c r="F33" s="24" t="n"/>
      <c r="G33" s="24" t="n"/>
      <c r="H33" s="24" t="n"/>
      <c r="I33" s="30" t="n"/>
      <c r="J33" s="26" t="n"/>
      <c r="K33" s="26" t="n"/>
      <c r="L33" s="31">
        <f>IFERROR(IF($K33="","",$K33+Dashboard!$B$8),"")</f>
        <v/>
      </c>
      <c r="M33" s="25">
        <f>IFERROR(IF($A33="","",IF($H33&lt;&gt;"Active",$H33,IF(COUNTIFS('Key Activity Log'!$B$5:$B$254,$A33,'Key Activity Log'!$V$5:$V$254,"Checked Out")+COUNTIFS('Key Activity Log'!$B$5:$B$254,$A33,'Key Activity Log'!$V$5:$V$254,"Overdue")&gt;0,"Checked Out","Available"))),"")</f>
        <v/>
      </c>
      <c r="N33" s="25">
        <f>IFERROR(IF($A33="","",INDEX('Key Activity Log'!$F$5:$F$254,MATCH($A33,'Key Activity Log'!$AA$5:$AA$254,0))),"")</f>
        <v/>
      </c>
      <c r="O33" s="25">
        <f>IFERROR(IF($A33="","",INDEX('Key Activity Log'!$V$5:$V$254,MATCH($A33,'Key Activity Log'!$AA$5:$AA$254,0))),"")</f>
        <v/>
      </c>
      <c r="P33" s="25">
        <f>IFERROR(IF($L33="","",IF($L33&lt;TODAY(),"Overdue",IF($L33&lt;=TODAY()+Dashboard!$B$10,"Due Soon","Current"))),"")</f>
        <v/>
      </c>
      <c r="Q33" s="25">
        <f>IFERROR(IF($A33="","",IF($I33&gt;=Dashboard!$B$9,"High Cost","")),"")</f>
        <v/>
      </c>
      <c r="R33" s="24" t="n"/>
      <c r="S33" s="24" t="n"/>
    </row>
    <row r="34">
      <c r="A34" s="24" t="n"/>
      <c r="B34" s="24" t="n"/>
      <c r="C34" s="24" t="n"/>
      <c r="D34" s="24" t="n"/>
      <c r="E34" s="24" t="n"/>
      <c r="F34" s="24" t="n"/>
      <c r="G34" s="24" t="n"/>
      <c r="H34" s="24" t="n"/>
      <c r="I34" s="30" t="n"/>
      <c r="J34" s="26" t="n"/>
      <c r="K34" s="26" t="n"/>
      <c r="L34" s="31">
        <f>IFERROR(IF($K34="","",$K34+Dashboard!$B$8),"")</f>
        <v/>
      </c>
      <c r="M34" s="25">
        <f>IFERROR(IF($A34="","",IF($H34&lt;&gt;"Active",$H34,IF(COUNTIFS('Key Activity Log'!$B$5:$B$254,$A34,'Key Activity Log'!$V$5:$V$254,"Checked Out")+COUNTIFS('Key Activity Log'!$B$5:$B$254,$A34,'Key Activity Log'!$V$5:$V$254,"Overdue")&gt;0,"Checked Out","Available"))),"")</f>
        <v/>
      </c>
      <c r="N34" s="25">
        <f>IFERROR(IF($A34="","",INDEX('Key Activity Log'!$F$5:$F$254,MATCH($A34,'Key Activity Log'!$AA$5:$AA$254,0))),"")</f>
        <v/>
      </c>
      <c r="O34" s="25">
        <f>IFERROR(IF($A34="","",INDEX('Key Activity Log'!$V$5:$V$254,MATCH($A34,'Key Activity Log'!$AA$5:$AA$254,0))),"")</f>
        <v/>
      </c>
      <c r="P34" s="25">
        <f>IFERROR(IF($L34="","",IF($L34&lt;TODAY(),"Overdue",IF($L34&lt;=TODAY()+Dashboard!$B$10,"Due Soon","Current"))),"")</f>
        <v/>
      </c>
      <c r="Q34" s="25">
        <f>IFERROR(IF($A34="","",IF($I34&gt;=Dashboard!$B$9,"High Cost","")),"")</f>
        <v/>
      </c>
      <c r="R34" s="24" t="n"/>
      <c r="S34" s="24" t="n"/>
    </row>
    <row r="35">
      <c r="A35" s="24" t="n"/>
      <c r="B35" s="24" t="n"/>
      <c r="C35" s="24" t="n"/>
      <c r="D35" s="24" t="n"/>
      <c r="E35" s="24" t="n"/>
      <c r="F35" s="24" t="n"/>
      <c r="G35" s="24" t="n"/>
      <c r="H35" s="24" t="n"/>
      <c r="I35" s="30" t="n"/>
      <c r="J35" s="26" t="n"/>
      <c r="K35" s="26" t="n"/>
      <c r="L35" s="31">
        <f>IFERROR(IF($K35="","",$K35+Dashboard!$B$8),"")</f>
        <v/>
      </c>
      <c r="M35" s="25">
        <f>IFERROR(IF($A35="","",IF($H35&lt;&gt;"Active",$H35,IF(COUNTIFS('Key Activity Log'!$B$5:$B$254,$A35,'Key Activity Log'!$V$5:$V$254,"Checked Out")+COUNTIFS('Key Activity Log'!$B$5:$B$254,$A35,'Key Activity Log'!$V$5:$V$254,"Overdue")&gt;0,"Checked Out","Available"))),"")</f>
        <v/>
      </c>
      <c r="N35" s="25">
        <f>IFERROR(IF($A35="","",INDEX('Key Activity Log'!$F$5:$F$254,MATCH($A35,'Key Activity Log'!$AA$5:$AA$254,0))),"")</f>
        <v/>
      </c>
      <c r="O35" s="25">
        <f>IFERROR(IF($A35="","",INDEX('Key Activity Log'!$V$5:$V$254,MATCH($A35,'Key Activity Log'!$AA$5:$AA$254,0))),"")</f>
        <v/>
      </c>
      <c r="P35" s="25">
        <f>IFERROR(IF($L35="","",IF($L35&lt;TODAY(),"Overdue",IF($L35&lt;=TODAY()+Dashboard!$B$10,"Due Soon","Current"))),"")</f>
        <v/>
      </c>
      <c r="Q35" s="25">
        <f>IFERROR(IF($A35="","",IF($I35&gt;=Dashboard!$B$9,"High Cost","")),"")</f>
        <v/>
      </c>
      <c r="R35" s="24" t="n"/>
      <c r="S35" s="24" t="n"/>
    </row>
    <row r="36">
      <c r="A36" s="24" t="n"/>
      <c r="B36" s="24" t="n"/>
      <c r="C36" s="24" t="n"/>
      <c r="D36" s="24" t="n"/>
      <c r="E36" s="24" t="n"/>
      <c r="F36" s="24" t="n"/>
      <c r="G36" s="24" t="n"/>
      <c r="H36" s="24" t="n"/>
      <c r="I36" s="30" t="n"/>
      <c r="J36" s="26" t="n"/>
      <c r="K36" s="26" t="n"/>
      <c r="L36" s="31">
        <f>IFERROR(IF($K36="","",$K36+Dashboard!$B$8),"")</f>
        <v/>
      </c>
      <c r="M36" s="25">
        <f>IFERROR(IF($A36="","",IF($H36&lt;&gt;"Active",$H36,IF(COUNTIFS('Key Activity Log'!$B$5:$B$254,$A36,'Key Activity Log'!$V$5:$V$254,"Checked Out")+COUNTIFS('Key Activity Log'!$B$5:$B$254,$A36,'Key Activity Log'!$V$5:$V$254,"Overdue")&gt;0,"Checked Out","Available"))),"")</f>
        <v/>
      </c>
      <c r="N36" s="25">
        <f>IFERROR(IF($A36="","",INDEX('Key Activity Log'!$F$5:$F$254,MATCH($A36,'Key Activity Log'!$AA$5:$AA$254,0))),"")</f>
        <v/>
      </c>
      <c r="O36" s="25">
        <f>IFERROR(IF($A36="","",INDEX('Key Activity Log'!$V$5:$V$254,MATCH($A36,'Key Activity Log'!$AA$5:$AA$254,0))),"")</f>
        <v/>
      </c>
      <c r="P36" s="25">
        <f>IFERROR(IF($L36="","",IF($L36&lt;TODAY(),"Overdue",IF($L36&lt;=TODAY()+Dashboard!$B$10,"Due Soon","Current"))),"")</f>
        <v/>
      </c>
      <c r="Q36" s="25">
        <f>IFERROR(IF($A36="","",IF($I36&gt;=Dashboard!$B$9,"High Cost","")),"")</f>
        <v/>
      </c>
      <c r="R36" s="24" t="n"/>
      <c r="S36" s="24" t="n"/>
    </row>
    <row r="37">
      <c r="A37" s="24" t="n"/>
      <c r="B37" s="24" t="n"/>
      <c r="C37" s="24" t="n"/>
      <c r="D37" s="24" t="n"/>
      <c r="E37" s="24" t="n"/>
      <c r="F37" s="24" t="n"/>
      <c r="G37" s="24" t="n"/>
      <c r="H37" s="24" t="n"/>
      <c r="I37" s="30" t="n"/>
      <c r="J37" s="26" t="n"/>
      <c r="K37" s="26" t="n"/>
      <c r="L37" s="31">
        <f>IFERROR(IF($K37="","",$K37+Dashboard!$B$8),"")</f>
        <v/>
      </c>
      <c r="M37" s="25">
        <f>IFERROR(IF($A37="","",IF($H37&lt;&gt;"Active",$H37,IF(COUNTIFS('Key Activity Log'!$B$5:$B$254,$A37,'Key Activity Log'!$V$5:$V$254,"Checked Out")+COUNTIFS('Key Activity Log'!$B$5:$B$254,$A37,'Key Activity Log'!$V$5:$V$254,"Overdue")&gt;0,"Checked Out","Available"))),"")</f>
        <v/>
      </c>
      <c r="N37" s="25">
        <f>IFERROR(IF($A37="","",INDEX('Key Activity Log'!$F$5:$F$254,MATCH($A37,'Key Activity Log'!$AA$5:$AA$254,0))),"")</f>
        <v/>
      </c>
      <c r="O37" s="25">
        <f>IFERROR(IF($A37="","",INDEX('Key Activity Log'!$V$5:$V$254,MATCH($A37,'Key Activity Log'!$AA$5:$AA$254,0))),"")</f>
        <v/>
      </c>
      <c r="P37" s="25">
        <f>IFERROR(IF($L37="","",IF($L37&lt;TODAY(),"Overdue",IF($L37&lt;=TODAY()+Dashboard!$B$10,"Due Soon","Current"))),"")</f>
        <v/>
      </c>
      <c r="Q37" s="25">
        <f>IFERROR(IF($A37="","",IF($I37&gt;=Dashboard!$B$9,"High Cost","")),"")</f>
        <v/>
      </c>
      <c r="R37" s="24" t="n"/>
      <c r="S37" s="24" t="n"/>
    </row>
    <row r="38">
      <c r="A38" s="24" t="n"/>
      <c r="B38" s="24" t="n"/>
      <c r="C38" s="24" t="n"/>
      <c r="D38" s="24" t="n"/>
      <c r="E38" s="24" t="n"/>
      <c r="F38" s="24" t="n"/>
      <c r="G38" s="24" t="n"/>
      <c r="H38" s="24" t="n"/>
      <c r="I38" s="30" t="n"/>
      <c r="J38" s="26" t="n"/>
      <c r="K38" s="26" t="n"/>
      <c r="L38" s="31">
        <f>IFERROR(IF($K38="","",$K38+Dashboard!$B$8),"")</f>
        <v/>
      </c>
      <c r="M38" s="25">
        <f>IFERROR(IF($A38="","",IF($H38&lt;&gt;"Active",$H38,IF(COUNTIFS('Key Activity Log'!$B$5:$B$254,$A38,'Key Activity Log'!$V$5:$V$254,"Checked Out")+COUNTIFS('Key Activity Log'!$B$5:$B$254,$A38,'Key Activity Log'!$V$5:$V$254,"Overdue")&gt;0,"Checked Out","Available"))),"")</f>
        <v/>
      </c>
      <c r="N38" s="25">
        <f>IFERROR(IF($A38="","",INDEX('Key Activity Log'!$F$5:$F$254,MATCH($A38,'Key Activity Log'!$AA$5:$AA$254,0))),"")</f>
        <v/>
      </c>
      <c r="O38" s="25">
        <f>IFERROR(IF($A38="","",INDEX('Key Activity Log'!$V$5:$V$254,MATCH($A38,'Key Activity Log'!$AA$5:$AA$254,0))),"")</f>
        <v/>
      </c>
      <c r="P38" s="25">
        <f>IFERROR(IF($L38="","",IF($L38&lt;TODAY(),"Overdue",IF($L38&lt;=TODAY()+Dashboard!$B$10,"Due Soon","Current"))),"")</f>
        <v/>
      </c>
      <c r="Q38" s="25">
        <f>IFERROR(IF($A38="","",IF($I38&gt;=Dashboard!$B$9,"High Cost","")),"")</f>
        <v/>
      </c>
      <c r="R38" s="24" t="n"/>
      <c r="S38" s="24" t="n"/>
    </row>
    <row r="39">
      <c r="A39" s="24" t="n"/>
      <c r="B39" s="24" t="n"/>
      <c r="C39" s="24" t="n"/>
      <c r="D39" s="24" t="n"/>
      <c r="E39" s="24" t="n"/>
      <c r="F39" s="24" t="n"/>
      <c r="G39" s="24" t="n"/>
      <c r="H39" s="24" t="n"/>
      <c r="I39" s="30" t="n"/>
      <c r="J39" s="26" t="n"/>
      <c r="K39" s="26" t="n"/>
      <c r="L39" s="31">
        <f>IFERROR(IF($K39="","",$K39+Dashboard!$B$8),"")</f>
        <v/>
      </c>
      <c r="M39" s="25">
        <f>IFERROR(IF($A39="","",IF($H39&lt;&gt;"Active",$H39,IF(COUNTIFS('Key Activity Log'!$B$5:$B$254,$A39,'Key Activity Log'!$V$5:$V$254,"Checked Out")+COUNTIFS('Key Activity Log'!$B$5:$B$254,$A39,'Key Activity Log'!$V$5:$V$254,"Overdue")&gt;0,"Checked Out","Available"))),"")</f>
        <v/>
      </c>
      <c r="N39" s="25">
        <f>IFERROR(IF($A39="","",INDEX('Key Activity Log'!$F$5:$F$254,MATCH($A39,'Key Activity Log'!$AA$5:$AA$254,0))),"")</f>
        <v/>
      </c>
      <c r="O39" s="25">
        <f>IFERROR(IF($A39="","",INDEX('Key Activity Log'!$V$5:$V$254,MATCH($A39,'Key Activity Log'!$AA$5:$AA$254,0))),"")</f>
        <v/>
      </c>
      <c r="P39" s="25">
        <f>IFERROR(IF($L39="","",IF($L39&lt;TODAY(),"Overdue",IF($L39&lt;=TODAY()+Dashboard!$B$10,"Due Soon","Current"))),"")</f>
        <v/>
      </c>
      <c r="Q39" s="25">
        <f>IFERROR(IF($A39="","",IF($I39&gt;=Dashboard!$B$9,"High Cost","")),"")</f>
        <v/>
      </c>
      <c r="R39" s="24" t="n"/>
      <c r="S39" s="24" t="n"/>
    </row>
    <row r="40">
      <c r="A40" s="24" t="n"/>
      <c r="B40" s="24" t="n"/>
      <c r="C40" s="24" t="n"/>
      <c r="D40" s="24" t="n"/>
      <c r="E40" s="24" t="n"/>
      <c r="F40" s="24" t="n"/>
      <c r="G40" s="24" t="n"/>
      <c r="H40" s="24" t="n"/>
      <c r="I40" s="30" t="n"/>
      <c r="J40" s="26" t="n"/>
      <c r="K40" s="26" t="n"/>
      <c r="L40" s="31">
        <f>IFERROR(IF($K40="","",$K40+Dashboard!$B$8),"")</f>
        <v/>
      </c>
      <c r="M40" s="25">
        <f>IFERROR(IF($A40="","",IF($H40&lt;&gt;"Active",$H40,IF(COUNTIFS('Key Activity Log'!$B$5:$B$254,$A40,'Key Activity Log'!$V$5:$V$254,"Checked Out")+COUNTIFS('Key Activity Log'!$B$5:$B$254,$A40,'Key Activity Log'!$V$5:$V$254,"Overdue")&gt;0,"Checked Out","Available"))),"")</f>
        <v/>
      </c>
      <c r="N40" s="25">
        <f>IFERROR(IF($A40="","",INDEX('Key Activity Log'!$F$5:$F$254,MATCH($A40,'Key Activity Log'!$AA$5:$AA$254,0))),"")</f>
        <v/>
      </c>
      <c r="O40" s="25">
        <f>IFERROR(IF($A40="","",INDEX('Key Activity Log'!$V$5:$V$254,MATCH($A40,'Key Activity Log'!$AA$5:$AA$254,0))),"")</f>
        <v/>
      </c>
      <c r="P40" s="25">
        <f>IFERROR(IF($L40="","",IF($L40&lt;TODAY(),"Overdue",IF($L40&lt;=TODAY()+Dashboard!$B$10,"Due Soon","Current"))),"")</f>
        <v/>
      </c>
      <c r="Q40" s="25">
        <f>IFERROR(IF($A40="","",IF($I40&gt;=Dashboard!$B$9,"High Cost","")),"")</f>
        <v/>
      </c>
      <c r="R40" s="24" t="n"/>
      <c r="S40" s="24" t="n"/>
    </row>
    <row r="41">
      <c r="A41" s="24" t="n"/>
      <c r="B41" s="24" t="n"/>
      <c r="C41" s="24" t="n"/>
      <c r="D41" s="24" t="n"/>
      <c r="E41" s="24" t="n"/>
      <c r="F41" s="24" t="n"/>
      <c r="G41" s="24" t="n"/>
      <c r="H41" s="24" t="n"/>
      <c r="I41" s="30" t="n"/>
      <c r="J41" s="26" t="n"/>
      <c r="K41" s="26" t="n"/>
      <c r="L41" s="31">
        <f>IFERROR(IF($K41="","",$K41+Dashboard!$B$8),"")</f>
        <v/>
      </c>
      <c r="M41" s="25">
        <f>IFERROR(IF($A41="","",IF($H41&lt;&gt;"Active",$H41,IF(COUNTIFS('Key Activity Log'!$B$5:$B$254,$A41,'Key Activity Log'!$V$5:$V$254,"Checked Out")+COUNTIFS('Key Activity Log'!$B$5:$B$254,$A41,'Key Activity Log'!$V$5:$V$254,"Overdue")&gt;0,"Checked Out","Available"))),"")</f>
        <v/>
      </c>
      <c r="N41" s="25">
        <f>IFERROR(IF($A41="","",INDEX('Key Activity Log'!$F$5:$F$254,MATCH($A41,'Key Activity Log'!$AA$5:$AA$254,0))),"")</f>
        <v/>
      </c>
      <c r="O41" s="25">
        <f>IFERROR(IF($A41="","",INDEX('Key Activity Log'!$V$5:$V$254,MATCH($A41,'Key Activity Log'!$AA$5:$AA$254,0))),"")</f>
        <v/>
      </c>
      <c r="P41" s="25">
        <f>IFERROR(IF($L41="","",IF($L41&lt;TODAY(),"Overdue",IF($L41&lt;=TODAY()+Dashboard!$B$10,"Due Soon","Current"))),"")</f>
        <v/>
      </c>
      <c r="Q41" s="25">
        <f>IFERROR(IF($A41="","",IF($I41&gt;=Dashboard!$B$9,"High Cost","")),"")</f>
        <v/>
      </c>
      <c r="R41" s="24" t="n"/>
      <c r="S41" s="24" t="n"/>
    </row>
    <row r="42">
      <c r="A42" s="24" t="n"/>
      <c r="B42" s="24" t="n"/>
      <c r="C42" s="24" t="n"/>
      <c r="D42" s="24" t="n"/>
      <c r="E42" s="24" t="n"/>
      <c r="F42" s="24" t="n"/>
      <c r="G42" s="24" t="n"/>
      <c r="H42" s="24" t="n"/>
      <c r="I42" s="30" t="n"/>
      <c r="J42" s="26" t="n"/>
      <c r="K42" s="26" t="n"/>
      <c r="L42" s="31">
        <f>IFERROR(IF($K42="","",$K42+Dashboard!$B$8),"")</f>
        <v/>
      </c>
      <c r="M42" s="25">
        <f>IFERROR(IF($A42="","",IF($H42&lt;&gt;"Active",$H42,IF(COUNTIFS('Key Activity Log'!$B$5:$B$254,$A42,'Key Activity Log'!$V$5:$V$254,"Checked Out")+COUNTIFS('Key Activity Log'!$B$5:$B$254,$A42,'Key Activity Log'!$V$5:$V$254,"Overdue")&gt;0,"Checked Out","Available"))),"")</f>
        <v/>
      </c>
      <c r="N42" s="25">
        <f>IFERROR(IF($A42="","",INDEX('Key Activity Log'!$F$5:$F$254,MATCH($A42,'Key Activity Log'!$AA$5:$AA$254,0))),"")</f>
        <v/>
      </c>
      <c r="O42" s="25">
        <f>IFERROR(IF($A42="","",INDEX('Key Activity Log'!$V$5:$V$254,MATCH($A42,'Key Activity Log'!$AA$5:$AA$254,0))),"")</f>
        <v/>
      </c>
      <c r="P42" s="25">
        <f>IFERROR(IF($L42="","",IF($L42&lt;TODAY(),"Overdue",IF($L42&lt;=TODAY()+Dashboard!$B$10,"Due Soon","Current"))),"")</f>
        <v/>
      </c>
      <c r="Q42" s="25">
        <f>IFERROR(IF($A42="","",IF($I42&gt;=Dashboard!$B$9,"High Cost","")),"")</f>
        <v/>
      </c>
      <c r="R42" s="24" t="n"/>
      <c r="S42" s="24" t="n"/>
    </row>
    <row r="43">
      <c r="A43" s="24" t="n"/>
      <c r="B43" s="24" t="n"/>
      <c r="C43" s="24" t="n"/>
      <c r="D43" s="24" t="n"/>
      <c r="E43" s="24" t="n"/>
      <c r="F43" s="24" t="n"/>
      <c r="G43" s="24" t="n"/>
      <c r="H43" s="24" t="n"/>
      <c r="I43" s="30" t="n"/>
      <c r="J43" s="26" t="n"/>
      <c r="K43" s="26" t="n"/>
      <c r="L43" s="31">
        <f>IFERROR(IF($K43="","",$K43+Dashboard!$B$8),"")</f>
        <v/>
      </c>
      <c r="M43" s="25">
        <f>IFERROR(IF($A43="","",IF($H43&lt;&gt;"Active",$H43,IF(COUNTIFS('Key Activity Log'!$B$5:$B$254,$A43,'Key Activity Log'!$V$5:$V$254,"Checked Out")+COUNTIFS('Key Activity Log'!$B$5:$B$254,$A43,'Key Activity Log'!$V$5:$V$254,"Overdue")&gt;0,"Checked Out","Available"))),"")</f>
        <v/>
      </c>
      <c r="N43" s="25">
        <f>IFERROR(IF($A43="","",INDEX('Key Activity Log'!$F$5:$F$254,MATCH($A43,'Key Activity Log'!$AA$5:$AA$254,0))),"")</f>
        <v/>
      </c>
      <c r="O43" s="25">
        <f>IFERROR(IF($A43="","",INDEX('Key Activity Log'!$V$5:$V$254,MATCH($A43,'Key Activity Log'!$AA$5:$AA$254,0))),"")</f>
        <v/>
      </c>
      <c r="P43" s="25">
        <f>IFERROR(IF($L43="","",IF($L43&lt;TODAY(),"Overdue",IF($L43&lt;=TODAY()+Dashboard!$B$10,"Due Soon","Current"))),"")</f>
        <v/>
      </c>
      <c r="Q43" s="25">
        <f>IFERROR(IF($A43="","",IF($I43&gt;=Dashboard!$B$9,"High Cost","")),"")</f>
        <v/>
      </c>
      <c r="R43" s="24" t="n"/>
      <c r="S43" s="24" t="n"/>
    </row>
    <row r="44">
      <c r="A44" s="24" t="n"/>
      <c r="B44" s="24" t="n"/>
      <c r="C44" s="24" t="n"/>
      <c r="D44" s="24" t="n"/>
      <c r="E44" s="24" t="n"/>
      <c r="F44" s="24" t="n"/>
      <c r="G44" s="24" t="n"/>
      <c r="H44" s="24" t="n"/>
      <c r="I44" s="30" t="n"/>
      <c r="J44" s="26" t="n"/>
      <c r="K44" s="26" t="n"/>
      <c r="L44" s="31">
        <f>IFERROR(IF($K44="","",$K44+Dashboard!$B$8),"")</f>
        <v/>
      </c>
      <c r="M44" s="25">
        <f>IFERROR(IF($A44="","",IF($H44&lt;&gt;"Active",$H44,IF(COUNTIFS('Key Activity Log'!$B$5:$B$254,$A44,'Key Activity Log'!$V$5:$V$254,"Checked Out")+COUNTIFS('Key Activity Log'!$B$5:$B$254,$A44,'Key Activity Log'!$V$5:$V$254,"Overdue")&gt;0,"Checked Out","Available"))),"")</f>
        <v/>
      </c>
      <c r="N44" s="25">
        <f>IFERROR(IF($A44="","",INDEX('Key Activity Log'!$F$5:$F$254,MATCH($A44,'Key Activity Log'!$AA$5:$AA$254,0))),"")</f>
        <v/>
      </c>
      <c r="O44" s="25">
        <f>IFERROR(IF($A44="","",INDEX('Key Activity Log'!$V$5:$V$254,MATCH($A44,'Key Activity Log'!$AA$5:$AA$254,0))),"")</f>
        <v/>
      </c>
      <c r="P44" s="25">
        <f>IFERROR(IF($L44="","",IF($L44&lt;TODAY(),"Overdue",IF($L44&lt;=TODAY()+Dashboard!$B$10,"Due Soon","Current"))),"")</f>
        <v/>
      </c>
      <c r="Q44" s="25">
        <f>IFERROR(IF($A44="","",IF($I44&gt;=Dashboard!$B$9,"High Cost","")),"")</f>
        <v/>
      </c>
      <c r="R44" s="24" t="n"/>
      <c r="S44" s="24" t="n"/>
    </row>
    <row r="45">
      <c r="A45" s="24" t="n"/>
      <c r="B45" s="24" t="n"/>
      <c r="C45" s="24" t="n"/>
      <c r="D45" s="24" t="n"/>
      <c r="E45" s="24" t="n"/>
      <c r="F45" s="24" t="n"/>
      <c r="G45" s="24" t="n"/>
      <c r="H45" s="24" t="n"/>
      <c r="I45" s="30" t="n"/>
      <c r="J45" s="26" t="n"/>
      <c r="K45" s="26" t="n"/>
      <c r="L45" s="31">
        <f>IFERROR(IF($K45="","",$K45+Dashboard!$B$8),"")</f>
        <v/>
      </c>
      <c r="M45" s="25">
        <f>IFERROR(IF($A45="","",IF($H45&lt;&gt;"Active",$H45,IF(COUNTIFS('Key Activity Log'!$B$5:$B$254,$A45,'Key Activity Log'!$V$5:$V$254,"Checked Out")+COUNTIFS('Key Activity Log'!$B$5:$B$254,$A45,'Key Activity Log'!$V$5:$V$254,"Overdue")&gt;0,"Checked Out","Available"))),"")</f>
        <v/>
      </c>
      <c r="N45" s="25">
        <f>IFERROR(IF($A45="","",INDEX('Key Activity Log'!$F$5:$F$254,MATCH($A45,'Key Activity Log'!$AA$5:$AA$254,0))),"")</f>
        <v/>
      </c>
      <c r="O45" s="25">
        <f>IFERROR(IF($A45="","",INDEX('Key Activity Log'!$V$5:$V$254,MATCH($A45,'Key Activity Log'!$AA$5:$AA$254,0))),"")</f>
        <v/>
      </c>
      <c r="P45" s="25">
        <f>IFERROR(IF($L45="","",IF($L45&lt;TODAY(),"Overdue",IF($L45&lt;=TODAY()+Dashboard!$B$10,"Due Soon","Current"))),"")</f>
        <v/>
      </c>
      <c r="Q45" s="25">
        <f>IFERROR(IF($A45="","",IF($I45&gt;=Dashboard!$B$9,"High Cost","")),"")</f>
        <v/>
      </c>
      <c r="R45" s="24" t="n"/>
      <c r="S45" s="24" t="n"/>
    </row>
    <row r="46">
      <c r="A46" s="24" t="n"/>
      <c r="B46" s="24" t="n"/>
      <c r="C46" s="24" t="n"/>
      <c r="D46" s="24" t="n"/>
      <c r="E46" s="24" t="n"/>
      <c r="F46" s="24" t="n"/>
      <c r="G46" s="24" t="n"/>
      <c r="H46" s="24" t="n"/>
      <c r="I46" s="30" t="n"/>
      <c r="J46" s="26" t="n"/>
      <c r="K46" s="26" t="n"/>
      <c r="L46" s="31">
        <f>IFERROR(IF($K46="","",$K46+Dashboard!$B$8),"")</f>
        <v/>
      </c>
      <c r="M46" s="25">
        <f>IFERROR(IF($A46="","",IF($H46&lt;&gt;"Active",$H46,IF(COUNTIFS('Key Activity Log'!$B$5:$B$254,$A46,'Key Activity Log'!$V$5:$V$254,"Checked Out")+COUNTIFS('Key Activity Log'!$B$5:$B$254,$A46,'Key Activity Log'!$V$5:$V$254,"Overdue")&gt;0,"Checked Out","Available"))),"")</f>
        <v/>
      </c>
      <c r="N46" s="25">
        <f>IFERROR(IF($A46="","",INDEX('Key Activity Log'!$F$5:$F$254,MATCH($A46,'Key Activity Log'!$AA$5:$AA$254,0))),"")</f>
        <v/>
      </c>
      <c r="O46" s="25">
        <f>IFERROR(IF($A46="","",INDEX('Key Activity Log'!$V$5:$V$254,MATCH($A46,'Key Activity Log'!$AA$5:$AA$254,0))),"")</f>
        <v/>
      </c>
      <c r="P46" s="25">
        <f>IFERROR(IF($L46="","",IF($L46&lt;TODAY(),"Overdue",IF($L46&lt;=TODAY()+Dashboard!$B$10,"Due Soon","Current"))),"")</f>
        <v/>
      </c>
      <c r="Q46" s="25">
        <f>IFERROR(IF($A46="","",IF($I46&gt;=Dashboard!$B$9,"High Cost","")),"")</f>
        <v/>
      </c>
      <c r="R46" s="24" t="n"/>
      <c r="S46" s="24" t="n"/>
    </row>
    <row r="47">
      <c r="A47" s="24" t="n"/>
      <c r="B47" s="24" t="n"/>
      <c r="C47" s="24" t="n"/>
      <c r="D47" s="24" t="n"/>
      <c r="E47" s="24" t="n"/>
      <c r="F47" s="24" t="n"/>
      <c r="G47" s="24" t="n"/>
      <c r="H47" s="24" t="n"/>
      <c r="I47" s="30" t="n"/>
      <c r="J47" s="26" t="n"/>
      <c r="K47" s="26" t="n"/>
      <c r="L47" s="31">
        <f>IFERROR(IF($K47="","",$K47+Dashboard!$B$8),"")</f>
        <v/>
      </c>
      <c r="M47" s="25">
        <f>IFERROR(IF($A47="","",IF($H47&lt;&gt;"Active",$H47,IF(COUNTIFS('Key Activity Log'!$B$5:$B$254,$A47,'Key Activity Log'!$V$5:$V$254,"Checked Out")+COUNTIFS('Key Activity Log'!$B$5:$B$254,$A47,'Key Activity Log'!$V$5:$V$254,"Overdue")&gt;0,"Checked Out","Available"))),"")</f>
        <v/>
      </c>
      <c r="N47" s="25">
        <f>IFERROR(IF($A47="","",INDEX('Key Activity Log'!$F$5:$F$254,MATCH($A47,'Key Activity Log'!$AA$5:$AA$254,0))),"")</f>
        <v/>
      </c>
      <c r="O47" s="25">
        <f>IFERROR(IF($A47="","",INDEX('Key Activity Log'!$V$5:$V$254,MATCH($A47,'Key Activity Log'!$AA$5:$AA$254,0))),"")</f>
        <v/>
      </c>
      <c r="P47" s="25">
        <f>IFERROR(IF($L47="","",IF($L47&lt;TODAY(),"Overdue",IF($L47&lt;=TODAY()+Dashboard!$B$10,"Due Soon","Current"))),"")</f>
        <v/>
      </c>
      <c r="Q47" s="25">
        <f>IFERROR(IF($A47="","",IF($I47&gt;=Dashboard!$B$9,"High Cost","")),"")</f>
        <v/>
      </c>
      <c r="R47" s="24" t="n"/>
      <c r="S47" s="24" t="n"/>
    </row>
    <row r="48">
      <c r="A48" s="24" t="n"/>
      <c r="B48" s="24" t="n"/>
      <c r="C48" s="24" t="n"/>
      <c r="D48" s="24" t="n"/>
      <c r="E48" s="24" t="n"/>
      <c r="F48" s="24" t="n"/>
      <c r="G48" s="24" t="n"/>
      <c r="H48" s="24" t="n"/>
      <c r="I48" s="30" t="n"/>
      <c r="J48" s="26" t="n"/>
      <c r="K48" s="26" t="n"/>
      <c r="L48" s="31">
        <f>IFERROR(IF($K48="","",$K48+Dashboard!$B$8),"")</f>
        <v/>
      </c>
      <c r="M48" s="25">
        <f>IFERROR(IF($A48="","",IF($H48&lt;&gt;"Active",$H48,IF(COUNTIFS('Key Activity Log'!$B$5:$B$254,$A48,'Key Activity Log'!$V$5:$V$254,"Checked Out")+COUNTIFS('Key Activity Log'!$B$5:$B$254,$A48,'Key Activity Log'!$V$5:$V$254,"Overdue")&gt;0,"Checked Out","Available"))),"")</f>
        <v/>
      </c>
      <c r="N48" s="25">
        <f>IFERROR(IF($A48="","",INDEX('Key Activity Log'!$F$5:$F$254,MATCH($A48,'Key Activity Log'!$AA$5:$AA$254,0))),"")</f>
        <v/>
      </c>
      <c r="O48" s="25">
        <f>IFERROR(IF($A48="","",INDEX('Key Activity Log'!$V$5:$V$254,MATCH($A48,'Key Activity Log'!$AA$5:$AA$254,0))),"")</f>
        <v/>
      </c>
      <c r="P48" s="25">
        <f>IFERROR(IF($L48="","",IF($L48&lt;TODAY(),"Overdue",IF($L48&lt;=TODAY()+Dashboard!$B$10,"Due Soon","Current"))),"")</f>
        <v/>
      </c>
      <c r="Q48" s="25">
        <f>IFERROR(IF($A48="","",IF($I48&gt;=Dashboard!$B$9,"High Cost","")),"")</f>
        <v/>
      </c>
      <c r="R48" s="24" t="n"/>
      <c r="S48" s="24" t="n"/>
    </row>
    <row r="49">
      <c r="A49" s="24" t="n"/>
      <c r="B49" s="24" t="n"/>
      <c r="C49" s="24" t="n"/>
      <c r="D49" s="24" t="n"/>
      <c r="E49" s="24" t="n"/>
      <c r="F49" s="24" t="n"/>
      <c r="G49" s="24" t="n"/>
      <c r="H49" s="24" t="n"/>
      <c r="I49" s="30" t="n"/>
      <c r="J49" s="26" t="n"/>
      <c r="K49" s="26" t="n"/>
      <c r="L49" s="31">
        <f>IFERROR(IF($K49="","",$K49+Dashboard!$B$8),"")</f>
        <v/>
      </c>
      <c r="M49" s="25">
        <f>IFERROR(IF($A49="","",IF($H49&lt;&gt;"Active",$H49,IF(COUNTIFS('Key Activity Log'!$B$5:$B$254,$A49,'Key Activity Log'!$V$5:$V$254,"Checked Out")+COUNTIFS('Key Activity Log'!$B$5:$B$254,$A49,'Key Activity Log'!$V$5:$V$254,"Overdue")&gt;0,"Checked Out","Available"))),"")</f>
        <v/>
      </c>
      <c r="N49" s="25">
        <f>IFERROR(IF($A49="","",INDEX('Key Activity Log'!$F$5:$F$254,MATCH($A49,'Key Activity Log'!$AA$5:$AA$254,0))),"")</f>
        <v/>
      </c>
      <c r="O49" s="25">
        <f>IFERROR(IF($A49="","",INDEX('Key Activity Log'!$V$5:$V$254,MATCH($A49,'Key Activity Log'!$AA$5:$AA$254,0))),"")</f>
        <v/>
      </c>
      <c r="P49" s="25">
        <f>IFERROR(IF($L49="","",IF($L49&lt;TODAY(),"Overdue",IF($L49&lt;=TODAY()+Dashboard!$B$10,"Due Soon","Current"))),"")</f>
        <v/>
      </c>
      <c r="Q49" s="25">
        <f>IFERROR(IF($A49="","",IF($I49&gt;=Dashboard!$B$9,"High Cost","")),"")</f>
        <v/>
      </c>
      <c r="R49" s="24" t="n"/>
      <c r="S49" s="24" t="n"/>
    </row>
    <row r="50">
      <c r="A50" s="24" t="n"/>
      <c r="B50" s="24" t="n"/>
      <c r="C50" s="24" t="n"/>
      <c r="D50" s="24" t="n"/>
      <c r="E50" s="24" t="n"/>
      <c r="F50" s="24" t="n"/>
      <c r="G50" s="24" t="n"/>
      <c r="H50" s="24" t="n"/>
      <c r="I50" s="30" t="n"/>
      <c r="J50" s="26" t="n"/>
      <c r="K50" s="26" t="n"/>
      <c r="L50" s="31">
        <f>IFERROR(IF($K50="","",$K50+Dashboard!$B$8),"")</f>
        <v/>
      </c>
      <c r="M50" s="25">
        <f>IFERROR(IF($A50="","",IF($H50&lt;&gt;"Active",$H50,IF(COUNTIFS('Key Activity Log'!$B$5:$B$254,$A50,'Key Activity Log'!$V$5:$V$254,"Checked Out")+COUNTIFS('Key Activity Log'!$B$5:$B$254,$A50,'Key Activity Log'!$V$5:$V$254,"Overdue")&gt;0,"Checked Out","Available"))),"")</f>
        <v/>
      </c>
      <c r="N50" s="25">
        <f>IFERROR(IF($A50="","",INDEX('Key Activity Log'!$F$5:$F$254,MATCH($A50,'Key Activity Log'!$AA$5:$AA$254,0))),"")</f>
        <v/>
      </c>
      <c r="O50" s="25">
        <f>IFERROR(IF($A50="","",INDEX('Key Activity Log'!$V$5:$V$254,MATCH($A50,'Key Activity Log'!$AA$5:$AA$254,0))),"")</f>
        <v/>
      </c>
      <c r="P50" s="25">
        <f>IFERROR(IF($L50="","",IF($L50&lt;TODAY(),"Overdue",IF($L50&lt;=TODAY()+Dashboard!$B$10,"Due Soon","Current"))),"")</f>
        <v/>
      </c>
      <c r="Q50" s="25">
        <f>IFERROR(IF($A50="","",IF($I50&gt;=Dashboard!$B$9,"High Cost","")),"")</f>
        <v/>
      </c>
      <c r="R50" s="24" t="n"/>
      <c r="S50" s="24" t="n"/>
    </row>
    <row r="51">
      <c r="A51" s="24" t="n"/>
      <c r="B51" s="24" t="n"/>
      <c r="C51" s="24" t="n"/>
      <c r="D51" s="24" t="n"/>
      <c r="E51" s="24" t="n"/>
      <c r="F51" s="24" t="n"/>
      <c r="G51" s="24" t="n"/>
      <c r="H51" s="24" t="n"/>
      <c r="I51" s="30" t="n"/>
      <c r="J51" s="26" t="n"/>
      <c r="K51" s="26" t="n"/>
      <c r="L51" s="31">
        <f>IFERROR(IF($K51="","",$K51+Dashboard!$B$8),"")</f>
        <v/>
      </c>
      <c r="M51" s="25">
        <f>IFERROR(IF($A51="","",IF($H51&lt;&gt;"Active",$H51,IF(COUNTIFS('Key Activity Log'!$B$5:$B$254,$A51,'Key Activity Log'!$V$5:$V$254,"Checked Out")+COUNTIFS('Key Activity Log'!$B$5:$B$254,$A51,'Key Activity Log'!$V$5:$V$254,"Overdue")&gt;0,"Checked Out","Available"))),"")</f>
        <v/>
      </c>
      <c r="N51" s="25">
        <f>IFERROR(IF($A51="","",INDEX('Key Activity Log'!$F$5:$F$254,MATCH($A51,'Key Activity Log'!$AA$5:$AA$254,0))),"")</f>
        <v/>
      </c>
      <c r="O51" s="25">
        <f>IFERROR(IF($A51="","",INDEX('Key Activity Log'!$V$5:$V$254,MATCH($A51,'Key Activity Log'!$AA$5:$AA$254,0))),"")</f>
        <v/>
      </c>
      <c r="P51" s="25">
        <f>IFERROR(IF($L51="","",IF($L51&lt;TODAY(),"Overdue",IF($L51&lt;=TODAY()+Dashboard!$B$10,"Due Soon","Current"))),"")</f>
        <v/>
      </c>
      <c r="Q51" s="25">
        <f>IFERROR(IF($A51="","",IF($I51&gt;=Dashboard!$B$9,"High Cost","")),"")</f>
        <v/>
      </c>
      <c r="R51" s="24" t="n"/>
      <c r="S51" s="24" t="n"/>
    </row>
    <row r="52">
      <c r="A52" s="24" t="n"/>
      <c r="B52" s="24" t="n"/>
      <c r="C52" s="24" t="n"/>
      <c r="D52" s="24" t="n"/>
      <c r="E52" s="24" t="n"/>
      <c r="F52" s="24" t="n"/>
      <c r="G52" s="24" t="n"/>
      <c r="H52" s="24" t="n"/>
      <c r="I52" s="30" t="n"/>
      <c r="J52" s="26" t="n"/>
      <c r="K52" s="26" t="n"/>
      <c r="L52" s="31">
        <f>IFERROR(IF($K52="","",$K52+Dashboard!$B$8),"")</f>
        <v/>
      </c>
      <c r="M52" s="25">
        <f>IFERROR(IF($A52="","",IF($H52&lt;&gt;"Active",$H52,IF(COUNTIFS('Key Activity Log'!$B$5:$B$254,$A52,'Key Activity Log'!$V$5:$V$254,"Checked Out")+COUNTIFS('Key Activity Log'!$B$5:$B$254,$A52,'Key Activity Log'!$V$5:$V$254,"Overdue")&gt;0,"Checked Out","Available"))),"")</f>
        <v/>
      </c>
      <c r="N52" s="25">
        <f>IFERROR(IF($A52="","",INDEX('Key Activity Log'!$F$5:$F$254,MATCH($A52,'Key Activity Log'!$AA$5:$AA$254,0))),"")</f>
        <v/>
      </c>
      <c r="O52" s="25">
        <f>IFERROR(IF($A52="","",INDEX('Key Activity Log'!$V$5:$V$254,MATCH($A52,'Key Activity Log'!$AA$5:$AA$254,0))),"")</f>
        <v/>
      </c>
      <c r="P52" s="25">
        <f>IFERROR(IF($L52="","",IF($L52&lt;TODAY(),"Overdue",IF($L52&lt;=TODAY()+Dashboard!$B$10,"Due Soon","Current"))),"")</f>
        <v/>
      </c>
      <c r="Q52" s="25">
        <f>IFERROR(IF($A52="","",IF($I52&gt;=Dashboard!$B$9,"High Cost","")),"")</f>
        <v/>
      </c>
      <c r="R52" s="24" t="n"/>
      <c r="S52" s="24" t="n"/>
    </row>
    <row r="53">
      <c r="A53" s="24" t="n"/>
      <c r="B53" s="24" t="n"/>
      <c r="C53" s="24" t="n"/>
      <c r="D53" s="24" t="n"/>
      <c r="E53" s="24" t="n"/>
      <c r="F53" s="24" t="n"/>
      <c r="G53" s="24" t="n"/>
      <c r="H53" s="24" t="n"/>
      <c r="I53" s="30" t="n"/>
      <c r="J53" s="26" t="n"/>
      <c r="K53" s="26" t="n"/>
      <c r="L53" s="31">
        <f>IFERROR(IF($K53="","",$K53+Dashboard!$B$8),"")</f>
        <v/>
      </c>
      <c r="M53" s="25">
        <f>IFERROR(IF($A53="","",IF($H53&lt;&gt;"Active",$H53,IF(COUNTIFS('Key Activity Log'!$B$5:$B$254,$A53,'Key Activity Log'!$V$5:$V$254,"Checked Out")+COUNTIFS('Key Activity Log'!$B$5:$B$254,$A53,'Key Activity Log'!$V$5:$V$254,"Overdue")&gt;0,"Checked Out","Available"))),"")</f>
        <v/>
      </c>
      <c r="N53" s="25">
        <f>IFERROR(IF($A53="","",INDEX('Key Activity Log'!$F$5:$F$254,MATCH($A53,'Key Activity Log'!$AA$5:$AA$254,0))),"")</f>
        <v/>
      </c>
      <c r="O53" s="25">
        <f>IFERROR(IF($A53="","",INDEX('Key Activity Log'!$V$5:$V$254,MATCH($A53,'Key Activity Log'!$AA$5:$AA$254,0))),"")</f>
        <v/>
      </c>
      <c r="P53" s="25">
        <f>IFERROR(IF($L53="","",IF($L53&lt;TODAY(),"Overdue",IF($L53&lt;=TODAY()+Dashboard!$B$10,"Due Soon","Current"))),"")</f>
        <v/>
      </c>
      <c r="Q53" s="25">
        <f>IFERROR(IF($A53="","",IF($I53&gt;=Dashboard!$B$9,"High Cost","")),"")</f>
        <v/>
      </c>
      <c r="R53" s="24" t="n"/>
      <c r="S53" s="24" t="n"/>
    </row>
    <row r="54">
      <c r="A54" s="24" t="n"/>
      <c r="B54" s="24" t="n"/>
      <c r="C54" s="24" t="n"/>
      <c r="D54" s="24" t="n"/>
      <c r="E54" s="24" t="n"/>
      <c r="F54" s="24" t="n"/>
      <c r="G54" s="24" t="n"/>
      <c r="H54" s="24" t="n"/>
      <c r="I54" s="30" t="n"/>
      <c r="J54" s="26" t="n"/>
      <c r="K54" s="26" t="n"/>
      <c r="L54" s="31">
        <f>IFERROR(IF($K54="","",$K54+Dashboard!$B$8),"")</f>
        <v/>
      </c>
      <c r="M54" s="25">
        <f>IFERROR(IF($A54="","",IF($H54&lt;&gt;"Active",$H54,IF(COUNTIFS('Key Activity Log'!$B$5:$B$254,$A54,'Key Activity Log'!$V$5:$V$254,"Checked Out")+COUNTIFS('Key Activity Log'!$B$5:$B$254,$A54,'Key Activity Log'!$V$5:$V$254,"Overdue")&gt;0,"Checked Out","Available"))),"")</f>
        <v/>
      </c>
      <c r="N54" s="25">
        <f>IFERROR(IF($A54="","",INDEX('Key Activity Log'!$F$5:$F$254,MATCH($A54,'Key Activity Log'!$AA$5:$AA$254,0))),"")</f>
        <v/>
      </c>
      <c r="O54" s="25">
        <f>IFERROR(IF($A54="","",INDEX('Key Activity Log'!$V$5:$V$254,MATCH($A54,'Key Activity Log'!$AA$5:$AA$254,0))),"")</f>
        <v/>
      </c>
      <c r="P54" s="25">
        <f>IFERROR(IF($L54="","",IF($L54&lt;TODAY(),"Overdue",IF($L54&lt;=TODAY()+Dashboard!$B$10,"Due Soon","Current"))),"")</f>
        <v/>
      </c>
      <c r="Q54" s="25">
        <f>IFERROR(IF($A54="","",IF($I54&gt;=Dashboard!$B$9,"High Cost","")),"")</f>
        <v/>
      </c>
      <c r="R54" s="24" t="n"/>
      <c r="S54" s="24" t="n"/>
    </row>
    <row r="55">
      <c r="A55" s="24" t="n"/>
      <c r="B55" s="24" t="n"/>
      <c r="C55" s="24" t="n"/>
      <c r="D55" s="24" t="n"/>
      <c r="E55" s="24" t="n"/>
      <c r="F55" s="24" t="n"/>
      <c r="G55" s="24" t="n"/>
      <c r="H55" s="24" t="n"/>
      <c r="I55" s="30" t="n"/>
      <c r="J55" s="26" t="n"/>
      <c r="K55" s="26" t="n"/>
      <c r="L55" s="31">
        <f>IFERROR(IF($K55="","",$K55+Dashboard!$B$8),"")</f>
        <v/>
      </c>
      <c r="M55" s="25">
        <f>IFERROR(IF($A55="","",IF($H55&lt;&gt;"Active",$H55,IF(COUNTIFS('Key Activity Log'!$B$5:$B$254,$A55,'Key Activity Log'!$V$5:$V$254,"Checked Out")+COUNTIFS('Key Activity Log'!$B$5:$B$254,$A55,'Key Activity Log'!$V$5:$V$254,"Overdue")&gt;0,"Checked Out","Available"))),"")</f>
        <v/>
      </c>
      <c r="N55" s="25">
        <f>IFERROR(IF($A55="","",INDEX('Key Activity Log'!$F$5:$F$254,MATCH($A55,'Key Activity Log'!$AA$5:$AA$254,0))),"")</f>
        <v/>
      </c>
      <c r="O55" s="25">
        <f>IFERROR(IF($A55="","",INDEX('Key Activity Log'!$V$5:$V$254,MATCH($A55,'Key Activity Log'!$AA$5:$AA$254,0))),"")</f>
        <v/>
      </c>
      <c r="P55" s="25">
        <f>IFERROR(IF($L55="","",IF($L55&lt;TODAY(),"Overdue",IF($L55&lt;=TODAY()+Dashboard!$B$10,"Due Soon","Current"))),"")</f>
        <v/>
      </c>
      <c r="Q55" s="25">
        <f>IFERROR(IF($A55="","",IF($I55&gt;=Dashboard!$B$9,"High Cost","")),"")</f>
        <v/>
      </c>
      <c r="R55" s="24" t="n"/>
      <c r="S55" s="24" t="n"/>
    </row>
    <row r="56">
      <c r="A56" s="24" t="n"/>
      <c r="B56" s="24" t="n"/>
      <c r="C56" s="24" t="n"/>
      <c r="D56" s="24" t="n"/>
      <c r="E56" s="24" t="n"/>
      <c r="F56" s="24" t="n"/>
      <c r="G56" s="24" t="n"/>
      <c r="H56" s="24" t="n"/>
      <c r="I56" s="30" t="n"/>
      <c r="J56" s="26" t="n"/>
      <c r="K56" s="26" t="n"/>
      <c r="L56" s="31">
        <f>IFERROR(IF($K56="","",$K56+Dashboard!$B$8),"")</f>
        <v/>
      </c>
      <c r="M56" s="25">
        <f>IFERROR(IF($A56="","",IF($H56&lt;&gt;"Active",$H56,IF(COUNTIFS('Key Activity Log'!$B$5:$B$254,$A56,'Key Activity Log'!$V$5:$V$254,"Checked Out")+COUNTIFS('Key Activity Log'!$B$5:$B$254,$A56,'Key Activity Log'!$V$5:$V$254,"Overdue")&gt;0,"Checked Out","Available"))),"")</f>
        <v/>
      </c>
      <c r="N56" s="25">
        <f>IFERROR(IF($A56="","",INDEX('Key Activity Log'!$F$5:$F$254,MATCH($A56,'Key Activity Log'!$AA$5:$AA$254,0))),"")</f>
        <v/>
      </c>
      <c r="O56" s="25">
        <f>IFERROR(IF($A56="","",INDEX('Key Activity Log'!$V$5:$V$254,MATCH($A56,'Key Activity Log'!$AA$5:$AA$254,0))),"")</f>
        <v/>
      </c>
      <c r="P56" s="25">
        <f>IFERROR(IF($L56="","",IF($L56&lt;TODAY(),"Overdue",IF($L56&lt;=TODAY()+Dashboard!$B$10,"Due Soon","Current"))),"")</f>
        <v/>
      </c>
      <c r="Q56" s="25">
        <f>IFERROR(IF($A56="","",IF($I56&gt;=Dashboard!$B$9,"High Cost","")),"")</f>
        <v/>
      </c>
      <c r="R56" s="24" t="n"/>
      <c r="S56" s="24" t="n"/>
    </row>
    <row r="57">
      <c r="A57" s="24" t="n"/>
      <c r="B57" s="24" t="n"/>
      <c r="C57" s="24" t="n"/>
      <c r="D57" s="24" t="n"/>
      <c r="E57" s="24" t="n"/>
      <c r="F57" s="24" t="n"/>
      <c r="G57" s="24" t="n"/>
      <c r="H57" s="24" t="n"/>
      <c r="I57" s="30" t="n"/>
      <c r="J57" s="26" t="n"/>
      <c r="K57" s="26" t="n"/>
      <c r="L57" s="31">
        <f>IFERROR(IF($K57="","",$K57+Dashboard!$B$8),"")</f>
        <v/>
      </c>
      <c r="M57" s="25">
        <f>IFERROR(IF($A57="","",IF($H57&lt;&gt;"Active",$H57,IF(COUNTIFS('Key Activity Log'!$B$5:$B$254,$A57,'Key Activity Log'!$V$5:$V$254,"Checked Out")+COUNTIFS('Key Activity Log'!$B$5:$B$254,$A57,'Key Activity Log'!$V$5:$V$254,"Overdue")&gt;0,"Checked Out","Available"))),"")</f>
        <v/>
      </c>
      <c r="N57" s="25">
        <f>IFERROR(IF($A57="","",INDEX('Key Activity Log'!$F$5:$F$254,MATCH($A57,'Key Activity Log'!$AA$5:$AA$254,0))),"")</f>
        <v/>
      </c>
      <c r="O57" s="25">
        <f>IFERROR(IF($A57="","",INDEX('Key Activity Log'!$V$5:$V$254,MATCH($A57,'Key Activity Log'!$AA$5:$AA$254,0))),"")</f>
        <v/>
      </c>
      <c r="P57" s="25">
        <f>IFERROR(IF($L57="","",IF($L57&lt;TODAY(),"Overdue",IF($L57&lt;=TODAY()+Dashboard!$B$10,"Due Soon","Current"))),"")</f>
        <v/>
      </c>
      <c r="Q57" s="25">
        <f>IFERROR(IF($A57="","",IF($I57&gt;=Dashboard!$B$9,"High Cost","")),"")</f>
        <v/>
      </c>
      <c r="R57" s="24" t="n"/>
      <c r="S57" s="24" t="n"/>
    </row>
    <row r="58">
      <c r="A58" s="24" t="n"/>
      <c r="B58" s="24" t="n"/>
      <c r="C58" s="24" t="n"/>
      <c r="D58" s="24" t="n"/>
      <c r="E58" s="24" t="n"/>
      <c r="F58" s="24" t="n"/>
      <c r="G58" s="24" t="n"/>
      <c r="H58" s="24" t="n"/>
      <c r="I58" s="30" t="n"/>
      <c r="J58" s="26" t="n"/>
      <c r="K58" s="26" t="n"/>
      <c r="L58" s="31">
        <f>IFERROR(IF($K58="","",$K58+Dashboard!$B$8),"")</f>
        <v/>
      </c>
      <c r="M58" s="25">
        <f>IFERROR(IF($A58="","",IF($H58&lt;&gt;"Active",$H58,IF(COUNTIFS('Key Activity Log'!$B$5:$B$254,$A58,'Key Activity Log'!$V$5:$V$254,"Checked Out")+COUNTIFS('Key Activity Log'!$B$5:$B$254,$A58,'Key Activity Log'!$V$5:$V$254,"Overdue")&gt;0,"Checked Out","Available"))),"")</f>
        <v/>
      </c>
      <c r="N58" s="25">
        <f>IFERROR(IF($A58="","",INDEX('Key Activity Log'!$F$5:$F$254,MATCH($A58,'Key Activity Log'!$AA$5:$AA$254,0))),"")</f>
        <v/>
      </c>
      <c r="O58" s="25">
        <f>IFERROR(IF($A58="","",INDEX('Key Activity Log'!$V$5:$V$254,MATCH($A58,'Key Activity Log'!$AA$5:$AA$254,0))),"")</f>
        <v/>
      </c>
      <c r="P58" s="25">
        <f>IFERROR(IF($L58="","",IF($L58&lt;TODAY(),"Overdue",IF($L58&lt;=TODAY()+Dashboard!$B$10,"Due Soon","Current"))),"")</f>
        <v/>
      </c>
      <c r="Q58" s="25">
        <f>IFERROR(IF($A58="","",IF($I58&gt;=Dashboard!$B$9,"High Cost","")),"")</f>
        <v/>
      </c>
      <c r="R58" s="24" t="n"/>
      <c r="S58" s="24" t="n"/>
    </row>
    <row r="59">
      <c r="A59" s="24" t="n"/>
      <c r="B59" s="24" t="n"/>
      <c r="C59" s="24" t="n"/>
      <c r="D59" s="24" t="n"/>
      <c r="E59" s="24" t="n"/>
      <c r="F59" s="24" t="n"/>
      <c r="G59" s="24" t="n"/>
      <c r="H59" s="24" t="n"/>
      <c r="I59" s="30" t="n"/>
      <c r="J59" s="26" t="n"/>
      <c r="K59" s="26" t="n"/>
      <c r="L59" s="31">
        <f>IFERROR(IF($K59="","",$K59+Dashboard!$B$8),"")</f>
        <v/>
      </c>
      <c r="M59" s="25">
        <f>IFERROR(IF($A59="","",IF($H59&lt;&gt;"Active",$H59,IF(COUNTIFS('Key Activity Log'!$B$5:$B$254,$A59,'Key Activity Log'!$V$5:$V$254,"Checked Out")+COUNTIFS('Key Activity Log'!$B$5:$B$254,$A59,'Key Activity Log'!$V$5:$V$254,"Overdue")&gt;0,"Checked Out","Available"))),"")</f>
        <v/>
      </c>
      <c r="N59" s="25">
        <f>IFERROR(IF($A59="","",INDEX('Key Activity Log'!$F$5:$F$254,MATCH($A59,'Key Activity Log'!$AA$5:$AA$254,0))),"")</f>
        <v/>
      </c>
      <c r="O59" s="25">
        <f>IFERROR(IF($A59="","",INDEX('Key Activity Log'!$V$5:$V$254,MATCH($A59,'Key Activity Log'!$AA$5:$AA$254,0))),"")</f>
        <v/>
      </c>
      <c r="P59" s="25">
        <f>IFERROR(IF($L59="","",IF($L59&lt;TODAY(),"Overdue",IF($L59&lt;=TODAY()+Dashboard!$B$10,"Due Soon","Current"))),"")</f>
        <v/>
      </c>
      <c r="Q59" s="25">
        <f>IFERROR(IF($A59="","",IF($I59&gt;=Dashboard!$B$9,"High Cost","")),"")</f>
        <v/>
      </c>
      <c r="R59" s="24" t="n"/>
      <c r="S59" s="24" t="n"/>
    </row>
    <row r="60">
      <c r="A60" s="24" t="n"/>
      <c r="B60" s="24" t="n"/>
      <c r="C60" s="24" t="n"/>
      <c r="D60" s="24" t="n"/>
      <c r="E60" s="24" t="n"/>
      <c r="F60" s="24" t="n"/>
      <c r="G60" s="24" t="n"/>
      <c r="H60" s="24" t="n"/>
      <c r="I60" s="30" t="n"/>
      <c r="J60" s="26" t="n"/>
      <c r="K60" s="26" t="n"/>
      <c r="L60" s="31">
        <f>IFERROR(IF($K60="","",$K60+Dashboard!$B$8),"")</f>
        <v/>
      </c>
      <c r="M60" s="25">
        <f>IFERROR(IF($A60="","",IF($H60&lt;&gt;"Active",$H60,IF(COUNTIFS('Key Activity Log'!$B$5:$B$254,$A60,'Key Activity Log'!$V$5:$V$254,"Checked Out")+COUNTIFS('Key Activity Log'!$B$5:$B$254,$A60,'Key Activity Log'!$V$5:$V$254,"Overdue")&gt;0,"Checked Out","Available"))),"")</f>
        <v/>
      </c>
      <c r="N60" s="25">
        <f>IFERROR(IF($A60="","",INDEX('Key Activity Log'!$F$5:$F$254,MATCH($A60,'Key Activity Log'!$AA$5:$AA$254,0))),"")</f>
        <v/>
      </c>
      <c r="O60" s="25">
        <f>IFERROR(IF($A60="","",INDEX('Key Activity Log'!$V$5:$V$254,MATCH($A60,'Key Activity Log'!$AA$5:$AA$254,0))),"")</f>
        <v/>
      </c>
      <c r="P60" s="25">
        <f>IFERROR(IF($L60="","",IF($L60&lt;TODAY(),"Overdue",IF($L60&lt;=TODAY()+Dashboard!$B$10,"Due Soon","Current"))),"")</f>
        <v/>
      </c>
      <c r="Q60" s="25">
        <f>IFERROR(IF($A60="","",IF($I60&gt;=Dashboard!$B$9,"High Cost","")),"")</f>
        <v/>
      </c>
      <c r="R60" s="24" t="n"/>
      <c r="S60" s="24" t="n"/>
    </row>
    <row r="61">
      <c r="A61" s="24" t="n"/>
      <c r="B61" s="24" t="n"/>
      <c r="C61" s="24" t="n"/>
      <c r="D61" s="24" t="n"/>
      <c r="E61" s="24" t="n"/>
      <c r="F61" s="24" t="n"/>
      <c r="G61" s="24" t="n"/>
      <c r="H61" s="24" t="n"/>
      <c r="I61" s="30" t="n"/>
      <c r="J61" s="26" t="n"/>
      <c r="K61" s="26" t="n"/>
      <c r="L61" s="31">
        <f>IFERROR(IF($K61="","",$K61+Dashboard!$B$8),"")</f>
        <v/>
      </c>
      <c r="M61" s="25">
        <f>IFERROR(IF($A61="","",IF($H61&lt;&gt;"Active",$H61,IF(COUNTIFS('Key Activity Log'!$B$5:$B$254,$A61,'Key Activity Log'!$V$5:$V$254,"Checked Out")+COUNTIFS('Key Activity Log'!$B$5:$B$254,$A61,'Key Activity Log'!$V$5:$V$254,"Overdue")&gt;0,"Checked Out","Available"))),"")</f>
        <v/>
      </c>
      <c r="N61" s="25">
        <f>IFERROR(IF($A61="","",INDEX('Key Activity Log'!$F$5:$F$254,MATCH($A61,'Key Activity Log'!$AA$5:$AA$254,0))),"")</f>
        <v/>
      </c>
      <c r="O61" s="25">
        <f>IFERROR(IF($A61="","",INDEX('Key Activity Log'!$V$5:$V$254,MATCH($A61,'Key Activity Log'!$AA$5:$AA$254,0))),"")</f>
        <v/>
      </c>
      <c r="P61" s="25">
        <f>IFERROR(IF($L61="","",IF($L61&lt;TODAY(),"Overdue",IF($L61&lt;=TODAY()+Dashboard!$B$10,"Due Soon","Current"))),"")</f>
        <v/>
      </c>
      <c r="Q61" s="25">
        <f>IFERROR(IF($A61="","",IF($I61&gt;=Dashboard!$B$9,"High Cost","")),"")</f>
        <v/>
      </c>
      <c r="R61" s="24" t="n"/>
      <c r="S61" s="24" t="n"/>
    </row>
    <row r="62">
      <c r="A62" s="24" t="n"/>
      <c r="B62" s="24" t="n"/>
      <c r="C62" s="24" t="n"/>
      <c r="D62" s="24" t="n"/>
      <c r="E62" s="24" t="n"/>
      <c r="F62" s="24" t="n"/>
      <c r="G62" s="24" t="n"/>
      <c r="H62" s="24" t="n"/>
      <c r="I62" s="30" t="n"/>
      <c r="J62" s="26" t="n"/>
      <c r="K62" s="26" t="n"/>
      <c r="L62" s="31">
        <f>IFERROR(IF($K62="","",$K62+Dashboard!$B$8),"")</f>
        <v/>
      </c>
      <c r="M62" s="25">
        <f>IFERROR(IF($A62="","",IF($H62&lt;&gt;"Active",$H62,IF(COUNTIFS('Key Activity Log'!$B$5:$B$254,$A62,'Key Activity Log'!$V$5:$V$254,"Checked Out")+COUNTIFS('Key Activity Log'!$B$5:$B$254,$A62,'Key Activity Log'!$V$5:$V$254,"Overdue")&gt;0,"Checked Out","Available"))),"")</f>
        <v/>
      </c>
      <c r="N62" s="25">
        <f>IFERROR(IF($A62="","",INDEX('Key Activity Log'!$F$5:$F$254,MATCH($A62,'Key Activity Log'!$AA$5:$AA$254,0))),"")</f>
        <v/>
      </c>
      <c r="O62" s="25">
        <f>IFERROR(IF($A62="","",INDEX('Key Activity Log'!$V$5:$V$254,MATCH($A62,'Key Activity Log'!$AA$5:$AA$254,0))),"")</f>
        <v/>
      </c>
      <c r="P62" s="25">
        <f>IFERROR(IF($L62="","",IF($L62&lt;TODAY(),"Overdue",IF($L62&lt;=TODAY()+Dashboard!$B$10,"Due Soon","Current"))),"")</f>
        <v/>
      </c>
      <c r="Q62" s="25">
        <f>IFERROR(IF($A62="","",IF($I62&gt;=Dashboard!$B$9,"High Cost","")),"")</f>
        <v/>
      </c>
      <c r="R62" s="24" t="n"/>
      <c r="S62" s="24" t="n"/>
    </row>
    <row r="63">
      <c r="A63" s="24" t="n"/>
      <c r="B63" s="24" t="n"/>
      <c r="C63" s="24" t="n"/>
      <c r="D63" s="24" t="n"/>
      <c r="E63" s="24" t="n"/>
      <c r="F63" s="24" t="n"/>
      <c r="G63" s="24" t="n"/>
      <c r="H63" s="24" t="n"/>
      <c r="I63" s="30" t="n"/>
      <c r="J63" s="26" t="n"/>
      <c r="K63" s="26" t="n"/>
      <c r="L63" s="31">
        <f>IFERROR(IF($K63="","",$K63+Dashboard!$B$8),"")</f>
        <v/>
      </c>
      <c r="M63" s="25">
        <f>IFERROR(IF($A63="","",IF($H63&lt;&gt;"Active",$H63,IF(COUNTIFS('Key Activity Log'!$B$5:$B$254,$A63,'Key Activity Log'!$V$5:$V$254,"Checked Out")+COUNTIFS('Key Activity Log'!$B$5:$B$254,$A63,'Key Activity Log'!$V$5:$V$254,"Overdue")&gt;0,"Checked Out","Available"))),"")</f>
        <v/>
      </c>
      <c r="N63" s="25">
        <f>IFERROR(IF($A63="","",INDEX('Key Activity Log'!$F$5:$F$254,MATCH($A63,'Key Activity Log'!$AA$5:$AA$254,0))),"")</f>
        <v/>
      </c>
      <c r="O63" s="25">
        <f>IFERROR(IF($A63="","",INDEX('Key Activity Log'!$V$5:$V$254,MATCH($A63,'Key Activity Log'!$AA$5:$AA$254,0))),"")</f>
        <v/>
      </c>
      <c r="P63" s="25">
        <f>IFERROR(IF($L63="","",IF($L63&lt;TODAY(),"Overdue",IF($L63&lt;=TODAY()+Dashboard!$B$10,"Due Soon","Current"))),"")</f>
        <v/>
      </c>
      <c r="Q63" s="25">
        <f>IFERROR(IF($A63="","",IF($I63&gt;=Dashboard!$B$9,"High Cost","")),"")</f>
        <v/>
      </c>
      <c r="R63" s="24" t="n"/>
      <c r="S63" s="24" t="n"/>
    </row>
    <row r="64">
      <c r="A64" s="24" t="n"/>
      <c r="B64" s="24" t="n"/>
      <c r="C64" s="24" t="n"/>
      <c r="D64" s="24" t="n"/>
      <c r="E64" s="24" t="n"/>
      <c r="F64" s="24" t="n"/>
      <c r="G64" s="24" t="n"/>
      <c r="H64" s="24" t="n"/>
      <c r="I64" s="30" t="n"/>
      <c r="J64" s="26" t="n"/>
      <c r="K64" s="26" t="n"/>
      <c r="L64" s="31">
        <f>IFERROR(IF($K64="","",$K64+Dashboard!$B$8),"")</f>
        <v/>
      </c>
      <c r="M64" s="25">
        <f>IFERROR(IF($A64="","",IF($H64&lt;&gt;"Active",$H64,IF(COUNTIFS('Key Activity Log'!$B$5:$B$254,$A64,'Key Activity Log'!$V$5:$V$254,"Checked Out")+COUNTIFS('Key Activity Log'!$B$5:$B$254,$A64,'Key Activity Log'!$V$5:$V$254,"Overdue")&gt;0,"Checked Out","Available"))),"")</f>
        <v/>
      </c>
      <c r="N64" s="25">
        <f>IFERROR(IF($A64="","",INDEX('Key Activity Log'!$F$5:$F$254,MATCH($A64,'Key Activity Log'!$AA$5:$AA$254,0))),"")</f>
        <v/>
      </c>
      <c r="O64" s="25">
        <f>IFERROR(IF($A64="","",INDEX('Key Activity Log'!$V$5:$V$254,MATCH($A64,'Key Activity Log'!$AA$5:$AA$254,0))),"")</f>
        <v/>
      </c>
      <c r="P64" s="25">
        <f>IFERROR(IF($L64="","",IF($L64&lt;TODAY(),"Overdue",IF($L64&lt;=TODAY()+Dashboard!$B$10,"Due Soon","Current"))),"")</f>
        <v/>
      </c>
      <c r="Q64" s="25">
        <f>IFERROR(IF($A64="","",IF($I64&gt;=Dashboard!$B$9,"High Cost","")),"")</f>
        <v/>
      </c>
      <c r="R64" s="24" t="n"/>
      <c r="S64" s="24" t="n"/>
    </row>
    <row r="65">
      <c r="A65" s="24" t="n"/>
      <c r="B65" s="24" t="n"/>
      <c r="C65" s="24" t="n"/>
      <c r="D65" s="24" t="n"/>
      <c r="E65" s="24" t="n"/>
      <c r="F65" s="24" t="n"/>
      <c r="G65" s="24" t="n"/>
      <c r="H65" s="24" t="n"/>
      <c r="I65" s="30" t="n"/>
      <c r="J65" s="26" t="n"/>
      <c r="K65" s="26" t="n"/>
      <c r="L65" s="31">
        <f>IFERROR(IF($K65="","",$K65+Dashboard!$B$8),"")</f>
        <v/>
      </c>
      <c r="M65" s="25">
        <f>IFERROR(IF($A65="","",IF($H65&lt;&gt;"Active",$H65,IF(COUNTIFS('Key Activity Log'!$B$5:$B$254,$A65,'Key Activity Log'!$V$5:$V$254,"Checked Out")+COUNTIFS('Key Activity Log'!$B$5:$B$254,$A65,'Key Activity Log'!$V$5:$V$254,"Overdue")&gt;0,"Checked Out","Available"))),"")</f>
        <v/>
      </c>
      <c r="N65" s="25">
        <f>IFERROR(IF($A65="","",INDEX('Key Activity Log'!$F$5:$F$254,MATCH($A65,'Key Activity Log'!$AA$5:$AA$254,0))),"")</f>
        <v/>
      </c>
      <c r="O65" s="25">
        <f>IFERROR(IF($A65="","",INDEX('Key Activity Log'!$V$5:$V$254,MATCH($A65,'Key Activity Log'!$AA$5:$AA$254,0))),"")</f>
        <v/>
      </c>
      <c r="P65" s="25">
        <f>IFERROR(IF($L65="","",IF($L65&lt;TODAY(),"Overdue",IF($L65&lt;=TODAY()+Dashboard!$B$10,"Due Soon","Current"))),"")</f>
        <v/>
      </c>
      <c r="Q65" s="25">
        <f>IFERROR(IF($A65="","",IF($I65&gt;=Dashboard!$B$9,"High Cost","")),"")</f>
        <v/>
      </c>
      <c r="R65" s="24" t="n"/>
      <c r="S65" s="24" t="n"/>
    </row>
    <row r="66">
      <c r="A66" s="24" t="n"/>
      <c r="B66" s="24" t="n"/>
      <c r="C66" s="24" t="n"/>
      <c r="D66" s="24" t="n"/>
      <c r="E66" s="24" t="n"/>
      <c r="F66" s="24" t="n"/>
      <c r="G66" s="24" t="n"/>
      <c r="H66" s="24" t="n"/>
      <c r="I66" s="30" t="n"/>
      <c r="J66" s="26" t="n"/>
      <c r="K66" s="26" t="n"/>
      <c r="L66" s="31">
        <f>IFERROR(IF($K66="","",$K66+Dashboard!$B$8),"")</f>
        <v/>
      </c>
      <c r="M66" s="25">
        <f>IFERROR(IF($A66="","",IF($H66&lt;&gt;"Active",$H66,IF(COUNTIFS('Key Activity Log'!$B$5:$B$254,$A66,'Key Activity Log'!$V$5:$V$254,"Checked Out")+COUNTIFS('Key Activity Log'!$B$5:$B$254,$A66,'Key Activity Log'!$V$5:$V$254,"Overdue")&gt;0,"Checked Out","Available"))),"")</f>
        <v/>
      </c>
      <c r="N66" s="25">
        <f>IFERROR(IF($A66="","",INDEX('Key Activity Log'!$F$5:$F$254,MATCH($A66,'Key Activity Log'!$AA$5:$AA$254,0))),"")</f>
        <v/>
      </c>
      <c r="O66" s="25">
        <f>IFERROR(IF($A66="","",INDEX('Key Activity Log'!$V$5:$V$254,MATCH($A66,'Key Activity Log'!$AA$5:$AA$254,0))),"")</f>
        <v/>
      </c>
      <c r="P66" s="25">
        <f>IFERROR(IF($L66="","",IF($L66&lt;TODAY(),"Overdue",IF($L66&lt;=TODAY()+Dashboard!$B$10,"Due Soon","Current"))),"")</f>
        <v/>
      </c>
      <c r="Q66" s="25">
        <f>IFERROR(IF($A66="","",IF($I66&gt;=Dashboard!$B$9,"High Cost","")),"")</f>
        <v/>
      </c>
      <c r="R66" s="24" t="n"/>
      <c r="S66" s="24" t="n"/>
    </row>
    <row r="67">
      <c r="A67" s="24" t="n"/>
      <c r="B67" s="24" t="n"/>
      <c r="C67" s="24" t="n"/>
      <c r="D67" s="24" t="n"/>
      <c r="E67" s="24" t="n"/>
      <c r="F67" s="24" t="n"/>
      <c r="G67" s="24" t="n"/>
      <c r="H67" s="24" t="n"/>
      <c r="I67" s="30" t="n"/>
      <c r="J67" s="26" t="n"/>
      <c r="K67" s="26" t="n"/>
      <c r="L67" s="31">
        <f>IFERROR(IF($K67="","",$K67+Dashboard!$B$8),"")</f>
        <v/>
      </c>
      <c r="M67" s="25">
        <f>IFERROR(IF($A67="","",IF($H67&lt;&gt;"Active",$H67,IF(COUNTIFS('Key Activity Log'!$B$5:$B$254,$A67,'Key Activity Log'!$V$5:$V$254,"Checked Out")+COUNTIFS('Key Activity Log'!$B$5:$B$254,$A67,'Key Activity Log'!$V$5:$V$254,"Overdue")&gt;0,"Checked Out","Available"))),"")</f>
        <v/>
      </c>
      <c r="N67" s="25">
        <f>IFERROR(IF($A67="","",INDEX('Key Activity Log'!$F$5:$F$254,MATCH($A67,'Key Activity Log'!$AA$5:$AA$254,0))),"")</f>
        <v/>
      </c>
      <c r="O67" s="25">
        <f>IFERROR(IF($A67="","",INDEX('Key Activity Log'!$V$5:$V$254,MATCH($A67,'Key Activity Log'!$AA$5:$AA$254,0))),"")</f>
        <v/>
      </c>
      <c r="P67" s="25">
        <f>IFERROR(IF($L67="","",IF($L67&lt;TODAY(),"Overdue",IF($L67&lt;=TODAY()+Dashboard!$B$10,"Due Soon","Current"))),"")</f>
        <v/>
      </c>
      <c r="Q67" s="25">
        <f>IFERROR(IF($A67="","",IF($I67&gt;=Dashboard!$B$9,"High Cost","")),"")</f>
        <v/>
      </c>
      <c r="R67" s="24" t="n"/>
      <c r="S67" s="24" t="n"/>
    </row>
    <row r="68">
      <c r="A68" s="24" t="n"/>
      <c r="B68" s="24" t="n"/>
      <c r="C68" s="24" t="n"/>
      <c r="D68" s="24" t="n"/>
      <c r="E68" s="24" t="n"/>
      <c r="F68" s="24" t="n"/>
      <c r="G68" s="24" t="n"/>
      <c r="H68" s="24" t="n"/>
      <c r="I68" s="30" t="n"/>
      <c r="J68" s="26" t="n"/>
      <c r="K68" s="26" t="n"/>
      <c r="L68" s="31">
        <f>IFERROR(IF($K68="","",$K68+Dashboard!$B$8),"")</f>
        <v/>
      </c>
      <c r="M68" s="25">
        <f>IFERROR(IF($A68="","",IF($H68&lt;&gt;"Active",$H68,IF(COUNTIFS('Key Activity Log'!$B$5:$B$254,$A68,'Key Activity Log'!$V$5:$V$254,"Checked Out")+COUNTIFS('Key Activity Log'!$B$5:$B$254,$A68,'Key Activity Log'!$V$5:$V$254,"Overdue")&gt;0,"Checked Out","Available"))),"")</f>
        <v/>
      </c>
      <c r="N68" s="25">
        <f>IFERROR(IF($A68="","",INDEX('Key Activity Log'!$F$5:$F$254,MATCH($A68,'Key Activity Log'!$AA$5:$AA$254,0))),"")</f>
        <v/>
      </c>
      <c r="O68" s="25">
        <f>IFERROR(IF($A68="","",INDEX('Key Activity Log'!$V$5:$V$254,MATCH($A68,'Key Activity Log'!$AA$5:$AA$254,0))),"")</f>
        <v/>
      </c>
      <c r="P68" s="25">
        <f>IFERROR(IF($L68="","",IF($L68&lt;TODAY(),"Overdue",IF($L68&lt;=TODAY()+Dashboard!$B$10,"Due Soon","Current"))),"")</f>
        <v/>
      </c>
      <c r="Q68" s="25">
        <f>IFERROR(IF($A68="","",IF($I68&gt;=Dashboard!$B$9,"High Cost","")),"")</f>
        <v/>
      </c>
      <c r="R68" s="24" t="n"/>
      <c r="S68" s="24" t="n"/>
    </row>
    <row r="69">
      <c r="A69" s="24" t="n"/>
      <c r="B69" s="24" t="n"/>
      <c r="C69" s="24" t="n"/>
      <c r="D69" s="24" t="n"/>
      <c r="E69" s="24" t="n"/>
      <c r="F69" s="24" t="n"/>
      <c r="G69" s="24" t="n"/>
      <c r="H69" s="24" t="n"/>
      <c r="I69" s="30" t="n"/>
      <c r="J69" s="26" t="n"/>
      <c r="K69" s="26" t="n"/>
      <c r="L69" s="31">
        <f>IFERROR(IF($K69="","",$K69+Dashboard!$B$8),"")</f>
        <v/>
      </c>
      <c r="M69" s="25">
        <f>IFERROR(IF($A69="","",IF($H69&lt;&gt;"Active",$H69,IF(COUNTIFS('Key Activity Log'!$B$5:$B$254,$A69,'Key Activity Log'!$V$5:$V$254,"Checked Out")+COUNTIFS('Key Activity Log'!$B$5:$B$254,$A69,'Key Activity Log'!$V$5:$V$254,"Overdue")&gt;0,"Checked Out","Available"))),"")</f>
        <v/>
      </c>
      <c r="N69" s="25">
        <f>IFERROR(IF($A69="","",INDEX('Key Activity Log'!$F$5:$F$254,MATCH($A69,'Key Activity Log'!$AA$5:$AA$254,0))),"")</f>
        <v/>
      </c>
      <c r="O69" s="25">
        <f>IFERROR(IF($A69="","",INDEX('Key Activity Log'!$V$5:$V$254,MATCH($A69,'Key Activity Log'!$AA$5:$AA$254,0))),"")</f>
        <v/>
      </c>
      <c r="P69" s="25">
        <f>IFERROR(IF($L69="","",IF($L69&lt;TODAY(),"Overdue",IF($L69&lt;=TODAY()+Dashboard!$B$10,"Due Soon","Current"))),"")</f>
        <v/>
      </c>
      <c r="Q69" s="25">
        <f>IFERROR(IF($A69="","",IF($I69&gt;=Dashboard!$B$9,"High Cost","")),"")</f>
        <v/>
      </c>
      <c r="R69" s="24" t="n"/>
      <c r="S69" s="24" t="n"/>
    </row>
    <row r="70">
      <c r="A70" s="24" t="n"/>
      <c r="B70" s="24" t="n"/>
      <c r="C70" s="24" t="n"/>
      <c r="D70" s="24" t="n"/>
      <c r="E70" s="24" t="n"/>
      <c r="F70" s="24" t="n"/>
      <c r="G70" s="24" t="n"/>
      <c r="H70" s="24" t="n"/>
      <c r="I70" s="30" t="n"/>
      <c r="J70" s="26" t="n"/>
      <c r="K70" s="26" t="n"/>
      <c r="L70" s="31">
        <f>IFERROR(IF($K70="","",$K70+Dashboard!$B$8),"")</f>
        <v/>
      </c>
      <c r="M70" s="25">
        <f>IFERROR(IF($A70="","",IF($H70&lt;&gt;"Active",$H70,IF(COUNTIFS('Key Activity Log'!$B$5:$B$254,$A70,'Key Activity Log'!$V$5:$V$254,"Checked Out")+COUNTIFS('Key Activity Log'!$B$5:$B$254,$A70,'Key Activity Log'!$V$5:$V$254,"Overdue")&gt;0,"Checked Out","Available"))),"")</f>
        <v/>
      </c>
      <c r="N70" s="25">
        <f>IFERROR(IF($A70="","",INDEX('Key Activity Log'!$F$5:$F$254,MATCH($A70,'Key Activity Log'!$AA$5:$AA$254,0))),"")</f>
        <v/>
      </c>
      <c r="O70" s="25">
        <f>IFERROR(IF($A70="","",INDEX('Key Activity Log'!$V$5:$V$254,MATCH($A70,'Key Activity Log'!$AA$5:$AA$254,0))),"")</f>
        <v/>
      </c>
      <c r="P70" s="25">
        <f>IFERROR(IF($L70="","",IF($L70&lt;TODAY(),"Overdue",IF($L70&lt;=TODAY()+Dashboard!$B$10,"Due Soon","Current"))),"")</f>
        <v/>
      </c>
      <c r="Q70" s="25">
        <f>IFERROR(IF($A70="","",IF($I70&gt;=Dashboard!$B$9,"High Cost","")),"")</f>
        <v/>
      </c>
      <c r="R70" s="24" t="n"/>
      <c r="S70" s="24" t="n"/>
    </row>
    <row r="71">
      <c r="A71" s="24" t="n"/>
      <c r="B71" s="24" t="n"/>
      <c r="C71" s="24" t="n"/>
      <c r="D71" s="24" t="n"/>
      <c r="E71" s="24" t="n"/>
      <c r="F71" s="24" t="n"/>
      <c r="G71" s="24" t="n"/>
      <c r="H71" s="24" t="n"/>
      <c r="I71" s="30" t="n"/>
      <c r="J71" s="26" t="n"/>
      <c r="K71" s="26" t="n"/>
      <c r="L71" s="31">
        <f>IFERROR(IF($K71="","",$K71+Dashboard!$B$8),"")</f>
        <v/>
      </c>
      <c r="M71" s="25">
        <f>IFERROR(IF($A71="","",IF($H71&lt;&gt;"Active",$H71,IF(COUNTIFS('Key Activity Log'!$B$5:$B$254,$A71,'Key Activity Log'!$V$5:$V$254,"Checked Out")+COUNTIFS('Key Activity Log'!$B$5:$B$254,$A71,'Key Activity Log'!$V$5:$V$254,"Overdue")&gt;0,"Checked Out","Available"))),"")</f>
        <v/>
      </c>
      <c r="N71" s="25">
        <f>IFERROR(IF($A71="","",INDEX('Key Activity Log'!$F$5:$F$254,MATCH($A71,'Key Activity Log'!$AA$5:$AA$254,0))),"")</f>
        <v/>
      </c>
      <c r="O71" s="25">
        <f>IFERROR(IF($A71="","",INDEX('Key Activity Log'!$V$5:$V$254,MATCH($A71,'Key Activity Log'!$AA$5:$AA$254,0))),"")</f>
        <v/>
      </c>
      <c r="P71" s="25">
        <f>IFERROR(IF($L71="","",IF($L71&lt;TODAY(),"Overdue",IF($L71&lt;=TODAY()+Dashboard!$B$10,"Due Soon","Current"))),"")</f>
        <v/>
      </c>
      <c r="Q71" s="25">
        <f>IFERROR(IF($A71="","",IF($I71&gt;=Dashboard!$B$9,"High Cost","")),"")</f>
        <v/>
      </c>
      <c r="R71" s="24" t="n"/>
      <c r="S71" s="24" t="n"/>
    </row>
    <row r="72">
      <c r="A72" s="24" t="n"/>
      <c r="B72" s="24" t="n"/>
      <c r="C72" s="24" t="n"/>
      <c r="D72" s="24" t="n"/>
      <c r="E72" s="24" t="n"/>
      <c r="F72" s="24" t="n"/>
      <c r="G72" s="24" t="n"/>
      <c r="H72" s="24" t="n"/>
      <c r="I72" s="30" t="n"/>
      <c r="J72" s="26" t="n"/>
      <c r="K72" s="26" t="n"/>
      <c r="L72" s="31">
        <f>IFERROR(IF($K72="","",$K72+Dashboard!$B$8),"")</f>
        <v/>
      </c>
      <c r="M72" s="25">
        <f>IFERROR(IF($A72="","",IF($H72&lt;&gt;"Active",$H72,IF(COUNTIFS('Key Activity Log'!$B$5:$B$254,$A72,'Key Activity Log'!$V$5:$V$254,"Checked Out")+COUNTIFS('Key Activity Log'!$B$5:$B$254,$A72,'Key Activity Log'!$V$5:$V$254,"Overdue")&gt;0,"Checked Out","Available"))),"")</f>
        <v/>
      </c>
      <c r="N72" s="25">
        <f>IFERROR(IF($A72="","",INDEX('Key Activity Log'!$F$5:$F$254,MATCH($A72,'Key Activity Log'!$AA$5:$AA$254,0))),"")</f>
        <v/>
      </c>
      <c r="O72" s="25">
        <f>IFERROR(IF($A72="","",INDEX('Key Activity Log'!$V$5:$V$254,MATCH($A72,'Key Activity Log'!$AA$5:$AA$254,0))),"")</f>
        <v/>
      </c>
      <c r="P72" s="25">
        <f>IFERROR(IF($L72="","",IF($L72&lt;TODAY(),"Overdue",IF($L72&lt;=TODAY()+Dashboard!$B$10,"Due Soon","Current"))),"")</f>
        <v/>
      </c>
      <c r="Q72" s="25">
        <f>IFERROR(IF($A72="","",IF($I72&gt;=Dashboard!$B$9,"High Cost","")),"")</f>
        <v/>
      </c>
      <c r="R72" s="24" t="n"/>
      <c r="S72" s="24" t="n"/>
    </row>
    <row r="73">
      <c r="A73" s="24" t="n"/>
      <c r="B73" s="24" t="n"/>
      <c r="C73" s="24" t="n"/>
      <c r="D73" s="24" t="n"/>
      <c r="E73" s="24" t="n"/>
      <c r="F73" s="24" t="n"/>
      <c r="G73" s="24" t="n"/>
      <c r="H73" s="24" t="n"/>
      <c r="I73" s="30" t="n"/>
      <c r="J73" s="26" t="n"/>
      <c r="K73" s="26" t="n"/>
      <c r="L73" s="31">
        <f>IFERROR(IF($K73="","",$K73+Dashboard!$B$8),"")</f>
        <v/>
      </c>
      <c r="M73" s="25">
        <f>IFERROR(IF($A73="","",IF($H73&lt;&gt;"Active",$H73,IF(COUNTIFS('Key Activity Log'!$B$5:$B$254,$A73,'Key Activity Log'!$V$5:$V$254,"Checked Out")+COUNTIFS('Key Activity Log'!$B$5:$B$254,$A73,'Key Activity Log'!$V$5:$V$254,"Overdue")&gt;0,"Checked Out","Available"))),"")</f>
        <v/>
      </c>
      <c r="N73" s="25">
        <f>IFERROR(IF($A73="","",INDEX('Key Activity Log'!$F$5:$F$254,MATCH($A73,'Key Activity Log'!$AA$5:$AA$254,0))),"")</f>
        <v/>
      </c>
      <c r="O73" s="25">
        <f>IFERROR(IF($A73="","",INDEX('Key Activity Log'!$V$5:$V$254,MATCH($A73,'Key Activity Log'!$AA$5:$AA$254,0))),"")</f>
        <v/>
      </c>
      <c r="P73" s="25">
        <f>IFERROR(IF($L73="","",IF($L73&lt;TODAY(),"Overdue",IF($L73&lt;=TODAY()+Dashboard!$B$10,"Due Soon","Current"))),"")</f>
        <v/>
      </c>
      <c r="Q73" s="25">
        <f>IFERROR(IF($A73="","",IF($I73&gt;=Dashboard!$B$9,"High Cost","")),"")</f>
        <v/>
      </c>
      <c r="R73" s="24" t="n"/>
      <c r="S73" s="24" t="n"/>
    </row>
    <row r="74">
      <c r="A74" s="24" t="n"/>
      <c r="B74" s="24" t="n"/>
      <c r="C74" s="24" t="n"/>
      <c r="D74" s="24" t="n"/>
      <c r="E74" s="24" t="n"/>
      <c r="F74" s="24" t="n"/>
      <c r="G74" s="24" t="n"/>
      <c r="H74" s="24" t="n"/>
      <c r="I74" s="30" t="n"/>
      <c r="J74" s="26" t="n"/>
      <c r="K74" s="26" t="n"/>
      <c r="L74" s="31">
        <f>IFERROR(IF($K74="","",$K74+Dashboard!$B$8),"")</f>
        <v/>
      </c>
      <c r="M74" s="25">
        <f>IFERROR(IF($A74="","",IF($H74&lt;&gt;"Active",$H74,IF(COUNTIFS('Key Activity Log'!$B$5:$B$254,$A74,'Key Activity Log'!$V$5:$V$254,"Checked Out")+COUNTIFS('Key Activity Log'!$B$5:$B$254,$A74,'Key Activity Log'!$V$5:$V$254,"Overdue")&gt;0,"Checked Out","Available"))),"")</f>
        <v/>
      </c>
      <c r="N74" s="25">
        <f>IFERROR(IF($A74="","",INDEX('Key Activity Log'!$F$5:$F$254,MATCH($A74,'Key Activity Log'!$AA$5:$AA$254,0))),"")</f>
        <v/>
      </c>
      <c r="O74" s="25">
        <f>IFERROR(IF($A74="","",INDEX('Key Activity Log'!$V$5:$V$254,MATCH($A74,'Key Activity Log'!$AA$5:$AA$254,0))),"")</f>
        <v/>
      </c>
      <c r="P74" s="25">
        <f>IFERROR(IF($L74="","",IF($L74&lt;TODAY(),"Overdue",IF($L74&lt;=TODAY()+Dashboard!$B$10,"Due Soon","Current"))),"")</f>
        <v/>
      </c>
      <c r="Q74" s="25">
        <f>IFERROR(IF($A74="","",IF($I74&gt;=Dashboard!$B$9,"High Cost","")),"")</f>
        <v/>
      </c>
      <c r="R74" s="24" t="n"/>
      <c r="S74" s="24" t="n"/>
    </row>
    <row r="75">
      <c r="A75" s="24" t="n"/>
      <c r="B75" s="24" t="n"/>
      <c r="C75" s="24" t="n"/>
      <c r="D75" s="24" t="n"/>
      <c r="E75" s="24" t="n"/>
      <c r="F75" s="24" t="n"/>
      <c r="G75" s="24" t="n"/>
      <c r="H75" s="24" t="n"/>
      <c r="I75" s="30" t="n"/>
      <c r="J75" s="26" t="n"/>
      <c r="K75" s="26" t="n"/>
      <c r="L75" s="31">
        <f>IFERROR(IF($K75="","",$K75+Dashboard!$B$8),"")</f>
        <v/>
      </c>
      <c r="M75" s="25">
        <f>IFERROR(IF($A75="","",IF($H75&lt;&gt;"Active",$H75,IF(COUNTIFS('Key Activity Log'!$B$5:$B$254,$A75,'Key Activity Log'!$V$5:$V$254,"Checked Out")+COUNTIFS('Key Activity Log'!$B$5:$B$254,$A75,'Key Activity Log'!$V$5:$V$254,"Overdue")&gt;0,"Checked Out","Available"))),"")</f>
        <v/>
      </c>
      <c r="N75" s="25">
        <f>IFERROR(IF($A75="","",INDEX('Key Activity Log'!$F$5:$F$254,MATCH($A75,'Key Activity Log'!$AA$5:$AA$254,0))),"")</f>
        <v/>
      </c>
      <c r="O75" s="25">
        <f>IFERROR(IF($A75="","",INDEX('Key Activity Log'!$V$5:$V$254,MATCH($A75,'Key Activity Log'!$AA$5:$AA$254,0))),"")</f>
        <v/>
      </c>
      <c r="P75" s="25">
        <f>IFERROR(IF($L75="","",IF($L75&lt;TODAY(),"Overdue",IF($L75&lt;=TODAY()+Dashboard!$B$10,"Due Soon","Current"))),"")</f>
        <v/>
      </c>
      <c r="Q75" s="25">
        <f>IFERROR(IF($A75="","",IF($I75&gt;=Dashboard!$B$9,"High Cost","")),"")</f>
        <v/>
      </c>
      <c r="R75" s="24" t="n"/>
      <c r="S75" s="24" t="n"/>
    </row>
    <row r="76">
      <c r="A76" s="24" t="n"/>
      <c r="B76" s="24" t="n"/>
      <c r="C76" s="24" t="n"/>
      <c r="D76" s="24" t="n"/>
      <c r="E76" s="24" t="n"/>
      <c r="F76" s="24" t="n"/>
      <c r="G76" s="24" t="n"/>
      <c r="H76" s="24" t="n"/>
      <c r="I76" s="30" t="n"/>
      <c r="J76" s="26" t="n"/>
      <c r="K76" s="26" t="n"/>
      <c r="L76" s="31">
        <f>IFERROR(IF($K76="","",$K76+Dashboard!$B$8),"")</f>
        <v/>
      </c>
      <c r="M76" s="25">
        <f>IFERROR(IF($A76="","",IF($H76&lt;&gt;"Active",$H76,IF(COUNTIFS('Key Activity Log'!$B$5:$B$254,$A76,'Key Activity Log'!$V$5:$V$254,"Checked Out")+COUNTIFS('Key Activity Log'!$B$5:$B$254,$A76,'Key Activity Log'!$V$5:$V$254,"Overdue")&gt;0,"Checked Out","Available"))),"")</f>
        <v/>
      </c>
      <c r="N76" s="25">
        <f>IFERROR(IF($A76="","",INDEX('Key Activity Log'!$F$5:$F$254,MATCH($A76,'Key Activity Log'!$AA$5:$AA$254,0))),"")</f>
        <v/>
      </c>
      <c r="O76" s="25">
        <f>IFERROR(IF($A76="","",INDEX('Key Activity Log'!$V$5:$V$254,MATCH($A76,'Key Activity Log'!$AA$5:$AA$254,0))),"")</f>
        <v/>
      </c>
      <c r="P76" s="25">
        <f>IFERROR(IF($L76="","",IF($L76&lt;TODAY(),"Overdue",IF($L76&lt;=TODAY()+Dashboard!$B$10,"Due Soon","Current"))),"")</f>
        <v/>
      </c>
      <c r="Q76" s="25">
        <f>IFERROR(IF($A76="","",IF($I76&gt;=Dashboard!$B$9,"High Cost","")),"")</f>
        <v/>
      </c>
      <c r="R76" s="24" t="n"/>
      <c r="S76" s="24" t="n"/>
    </row>
    <row r="77">
      <c r="A77" s="24" t="n"/>
      <c r="B77" s="24" t="n"/>
      <c r="C77" s="24" t="n"/>
      <c r="D77" s="24" t="n"/>
      <c r="E77" s="24" t="n"/>
      <c r="F77" s="24" t="n"/>
      <c r="G77" s="24" t="n"/>
      <c r="H77" s="24" t="n"/>
      <c r="I77" s="30" t="n"/>
      <c r="J77" s="26" t="n"/>
      <c r="K77" s="26" t="n"/>
      <c r="L77" s="31">
        <f>IFERROR(IF($K77="","",$K77+Dashboard!$B$8),"")</f>
        <v/>
      </c>
      <c r="M77" s="25">
        <f>IFERROR(IF($A77="","",IF($H77&lt;&gt;"Active",$H77,IF(COUNTIFS('Key Activity Log'!$B$5:$B$254,$A77,'Key Activity Log'!$V$5:$V$254,"Checked Out")+COUNTIFS('Key Activity Log'!$B$5:$B$254,$A77,'Key Activity Log'!$V$5:$V$254,"Overdue")&gt;0,"Checked Out","Available"))),"")</f>
        <v/>
      </c>
      <c r="N77" s="25">
        <f>IFERROR(IF($A77="","",INDEX('Key Activity Log'!$F$5:$F$254,MATCH($A77,'Key Activity Log'!$AA$5:$AA$254,0))),"")</f>
        <v/>
      </c>
      <c r="O77" s="25">
        <f>IFERROR(IF($A77="","",INDEX('Key Activity Log'!$V$5:$V$254,MATCH($A77,'Key Activity Log'!$AA$5:$AA$254,0))),"")</f>
        <v/>
      </c>
      <c r="P77" s="25">
        <f>IFERROR(IF($L77="","",IF($L77&lt;TODAY(),"Overdue",IF($L77&lt;=TODAY()+Dashboard!$B$10,"Due Soon","Current"))),"")</f>
        <v/>
      </c>
      <c r="Q77" s="25">
        <f>IFERROR(IF($A77="","",IF($I77&gt;=Dashboard!$B$9,"High Cost","")),"")</f>
        <v/>
      </c>
      <c r="R77" s="24" t="n"/>
      <c r="S77" s="24" t="n"/>
    </row>
    <row r="78">
      <c r="A78" s="24" t="n"/>
      <c r="B78" s="24" t="n"/>
      <c r="C78" s="24" t="n"/>
      <c r="D78" s="24" t="n"/>
      <c r="E78" s="24" t="n"/>
      <c r="F78" s="24" t="n"/>
      <c r="G78" s="24" t="n"/>
      <c r="H78" s="24" t="n"/>
      <c r="I78" s="30" t="n"/>
      <c r="J78" s="26" t="n"/>
      <c r="K78" s="26" t="n"/>
      <c r="L78" s="31">
        <f>IFERROR(IF($K78="","",$K78+Dashboard!$B$8),"")</f>
        <v/>
      </c>
      <c r="M78" s="25">
        <f>IFERROR(IF($A78="","",IF($H78&lt;&gt;"Active",$H78,IF(COUNTIFS('Key Activity Log'!$B$5:$B$254,$A78,'Key Activity Log'!$V$5:$V$254,"Checked Out")+COUNTIFS('Key Activity Log'!$B$5:$B$254,$A78,'Key Activity Log'!$V$5:$V$254,"Overdue")&gt;0,"Checked Out","Available"))),"")</f>
        <v/>
      </c>
      <c r="N78" s="25">
        <f>IFERROR(IF($A78="","",INDEX('Key Activity Log'!$F$5:$F$254,MATCH($A78,'Key Activity Log'!$AA$5:$AA$254,0))),"")</f>
        <v/>
      </c>
      <c r="O78" s="25">
        <f>IFERROR(IF($A78="","",INDEX('Key Activity Log'!$V$5:$V$254,MATCH($A78,'Key Activity Log'!$AA$5:$AA$254,0))),"")</f>
        <v/>
      </c>
      <c r="P78" s="25">
        <f>IFERROR(IF($L78="","",IF($L78&lt;TODAY(),"Overdue",IF($L78&lt;=TODAY()+Dashboard!$B$10,"Due Soon","Current"))),"")</f>
        <v/>
      </c>
      <c r="Q78" s="25">
        <f>IFERROR(IF($A78="","",IF($I78&gt;=Dashboard!$B$9,"High Cost","")),"")</f>
        <v/>
      </c>
      <c r="R78" s="24" t="n"/>
      <c r="S78" s="24" t="n"/>
    </row>
    <row r="79">
      <c r="A79" s="24" t="n"/>
      <c r="B79" s="24" t="n"/>
      <c r="C79" s="24" t="n"/>
      <c r="D79" s="24" t="n"/>
      <c r="E79" s="24" t="n"/>
      <c r="F79" s="24" t="n"/>
      <c r="G79" s="24" t="n"/>
      <c r="H79" s="24" t="n"/>
      <c r="I79" s="30" t="n"/>
      <c r="J79" s="26" t="n"/>
      <c r="K79" s="26" t="n"/>
      <c r="L79" s="31">
        <f>IFERROR(IF($K79="","",$K79+Dashboard!$B$8),"")</f>
        <v/>
      </c>
      <c r="M79" s="25">
        <f>IFERROR(IF($A79="","",IF($H79&lt;&gt;"Active",$H79,IF(COUNTIFS('Key Activity Log'!$B$5:$B$254,$A79,'Key Activity Log'!$V$5:$V$254,"Checked Out")+COUNTIFS('Key Activity Log'!$B$5:$B$254,$A79,'Key Activity Log'!$V$5:$V$254,"Overdue")&gt;0,"Checked Out","Available"))),"")</f>
        <v/>
      </c>
      <c r="N79" s="25">
        <f>IFERROR(IF($A79="","",INDEX('Key Activity Log'!$F$5:$F$254,MATCH($A79,'Key Activity Log'!$AA$5:$AA$254,0))),"")</f>
        <v/>
      </c>
      <c r="O79" s="25">
        <f>IFERROR(IF($A79="","",INDEX('Key Activity Log'!$V$5:$V$254,MATCH($A79,'Key Activity Log'!$AA$5:$AA$254,0))),"")</f>
        <v/>
      </c>
      <c r="P79" s="25">
        <f>IFERROR(IF($L79="","",IF($L79&lt;TODAY(),"Overdue",IF($L79&lt;=TODAY()+Dashboard!$B$10,"Due Soon","Current"))),"")</f>
        <v/>
      </c>
      <c r="Q79" s="25">
        <f>IFERROR(IF($A79="","",IF($I79&gt;=Dashboard!$B$9,"High Cost","")),"")</f>
        <v/>
      </c>
      <c r="R79" s="24" t="n"/>
      <c r="S79" s="24" t="n"/>
    </row>
    <row r="80">
      <c r="A80" s="24" t="n"/>
      <c r="B80" s="24" t="n"/>
      <c r="C80" s="24" t="n"/>
      <c r="D80" s="24" t="n"/>
      <c r="E80" s="24" t="n"/>
      <c r="F80" s="24" t="n"/>
      <c r="G80" s="24" t="n"/>
      <c r="H80" s="24" t="n"/>
      <c r="I80" s="30" t="n"/>
      <c r="J80" s="26" t="n"/>
      <c r="K80" s="26" t="n"/>
      <c r="L80" s="31">
        <f>IFERROR(IF($K80="","",$K80+Dashboard!$B$8),"")</f>
        <v/>
      </c>
      <c r="M80" s="25">
        <f>IFERROR(IF($A80="","",IF($H80&lt;&gt;"Active",$H80,IF(COUNTIFS('Key Activity Log'!$B$5:$B$254,$A80,'Key Activity Log'!$V$5:$V$254,"Checked Out")+COUNTIFS('Key Activity Log'!$B$5:$B$254,$A80,'Key Activity Log'!$V$5:$V$254,"Overdue")&gt;0,"Checked Out","Available"))),"")</f>
        <v/>
      </c>
      <c r="N80" s="25">
        <f>IFERROR(IF($A80="","",INDEX('Key Activity Log'!$F$5:$F$254,MATCH($A80,'Key Activity Log'!$AA$5:$AA$254,0))),"")</f>
        <v/>
      </c>
      <c r="O80" s="25">
        <f>IFERROR(IF($A80="","",INDEX('Key Activity Log'!$V$5:$V$254,MATCH($A80,'Key Activity Log'!$AA$5:$AA$254,0))),"")</f>
        <v/>
      </c>
      <c r="P80" s="25">
        <f>IFERROR(IF($L80="","",IF($L80&lt;TODAY(),"Overdue",IF($L80&lt;=TODAY()+Dashboard!$B$10,"Due Soon","Current"))),"")</f>
        <v/>
      </c>
      <c r="Q80" s="25">
        <f>IFERROR(IF($A80="","",IF($I80&gt;=Dashboard!$B$9,"High Cost","")),"")</f>
        <v/>
      </c>
      <c r="R80" s="24" t="n"/>
      <c r="S80" s="24" t="n"/>
    </row>
    <row r="81">
      <c r="A81" s="24" t="n"/>
      <c r="B81" s="24" t="n"/>
      <c r="C81" s="24" t="n"/>
      <c r="D81" s="24" t="n"/>
      <c r="E81" s="24" t="n"/>
      <c r="F81" s="24" t="n"/>
      <c r="G81" s="24" t="n"/>
      <c r="H81" s="24" t="n"/>
      <c r="I81" s="30" t="n"/>
      <c r="J81" s="26" t="n"/>
      <c r="K81" s="26" t="n"/>
      <c r="L81" s="31">
        <f>IFERROR(IF($K81="","",$K81+Dashboard!$B$8),"")</f>
        <v/>
      </c>
      <c r="M81" s="25">
        <f>IFERROR(IF($A81="","",IF($H81&lt;&gt;"Active",$H81,IF(COUNTIFS('Key Activity Log'!$B$5:$B$254,$A81,'Key Activity Log'!$V$5:$V$254,"Checked Out")+COUNTIFS('Key Activity Log'!$B$5:$B$254,$A81,'Key Activity Log'!$V$5:$V$254,"Overdue")&gt;0,"Checked Out","Available"))),"")</f>
        <v/>
      </c>
      <c r="N81" s="25">
        <f>IFERROR(IF($A81="","",INDEX('Key Activity Log'!$F$5:$F$254,MATCH($A81,'Key Activity Log'!$AA$5:$AA$254,0))),"")</f>
        <v/>
      </c>
      <c r="O81" s="25">
        <f>IFERROR(IF($A81="","",INDEX('Key Activity Log'!$V$5:$V$254,MATCH($A81,'Key Activity Log'!$AA$5:$AA$254,0))),"")</f>
        <v/>
      </c>
      <c r="P81" s="25">
        <f>IFERROR(IF($L81="","",IF($L81&lt;TODAY(),"Overdue",IF($L81&lt;=TODAY()+Dashboard!$B$10,"Due Soon","Current"))),"")</f>
        <v/>
      </c>
      <c r="Q81" s="25">
        <f>IFERROR(IF($A81="","",IF($I81&gt;=Dashboard!$B$9,"High Cost","")),"")</f>
        <v/>
      </c>
      <c r="R81" s="24" t="n"/>
      <c r="S81" s="24" t="n"/>
    </row>
    <row r="82">
      <c r="A82" s="24" t="n"/>
      <c r="B82" s="24" t="n"/>
      <c r="C82" s="24" t="n"/>
      <c r="D82" s="24" t="n"/>
      <c r="E82" s="24" t="n"/>
      <c r="F82" s="24" t="n"/>
      <c r="G82" s="24" t="n"/>
      <c r="H82" s="24" t="n"/>
      <c r="I82" s="30" t="n"/>
      <c r="J82" s="26" t="n"/>
      <c r="K82" s="26" t="n"/>
      <c r="L82" s="31">
        <f>IFERROR(IF($K82="","",$K82+Dashboard!$B$8),"")</f>
        <v/>
      </c>
      <c r="M82" s="25">
        <f>IFERROR(IF($A82="","",IF($H82&lt;&gt;"Active",$H82,IF(COUNTIFS('Key Activity Log'!$B$5:$B$254,$A82,'Key Activity Log'!$V$5:$V$254,"Checked Out")+COUNTIFS('Key Activity Log'!$B$5:$B$254,$A82,'Key Activity Log'!$V$5:$V$254,"Overdue")&gt;0,"Checked Out","Available"))),"")</f>
        <v/>
      </c>
      <c r="N82" s="25">
        <f>IFERROR(IF($A82="","",INDEX('Key Activity Log'!$F$5:$F$254,MATCH($A82,'Key Activity Log'!$AA$5:$AA$254,0))),"")</f>
        <v/>
      </c>
      <c r="O82" s="25">
        <f>IFERROR(IF($A82="","",INDEX('Key Activity Log'!$V$5:$V$254,MATCH($A82,'Key Activity Log'!$AA$5:$AA$254,0))),"")</f>
        <v/>
      </c>
      <c r="P82" s="25">
        <f>IFERROR(IF($L82="","",IF($L82&lt;TODAY(),"Overdue",IF($L82&lt;=TODAY()+Dashboard!$B$10,"Due Soon","Current"))),"")</f>
        <v/>
      </c>
      <c r="Q82" s="25">
        <f>IFERROR(IF($A82="","",IF($I82&gt;=Dashboard!$B$9,"High Cost","")),"")</f>
        <v/>
      </c>
      <c r="R82" s="24" t="n"/>
      <c r="S82" s="24" t="n"/>
    </row>
    <row r="83">
      <c r="A83" s="24" t="n"/>
      <c r="B83" s="24" t="n"/>
      <c r="C83" s="24" t="n"/>
      <c r="D83" s="24" t="n"/>
      <c r="E83" s="24" t="n"/>
      <c r="F83" s="24" t="n"/>
      <c r="G83" s="24" t="n"/>
      <c r="H83" s="24" t="n"/>
      <c r="I83" s="30" t="n"/>
      <c r="J83" s="26" t="n"/>
      <c r="K83" s="26" t="n"/>
      <c r="L83" s="31">
        <f>IFERROR(IF($K83="","",$K83+Dashboard!$B$8),"")</f>
        <v/>
      </c>
      <c r="M83" s="25">
        <f>IFERROR(IF($A83="","",IF($H83&lt;&gt;"Active",$H83,IF(COUNTIFS('Key Activity Log'!$B$5:$B$254,$A83,'Key Activity Log'!$V$5:$V$254,"Checked Out")+COUNTIFS('Key Activity Log'!$B$5:$B$254,$A83,'Key Activity Log'!$V$5:$V$254,"Overdue")&gt;0,"Checked Out","Available"))),"")</f>
        <v/>
      </c>
      <c r="N83" s="25">
        <f>IFERROR(IF($A83="","",INDEX('Key Activity Log'!$F$5:$F$254,MATCH($A83,'Key Activity Log'!$AA$5:$AA$254,0))),"")</f>
        <v/>
      </c>
      <c r="O83" s="25">
        <f>IFERROR(IF($A83="","",INDEX('Key Activity Log'!$V$5:$V$254,MATCH($A83,'Key Activity Log'!$AA$5:$AA$254,0))),"")</f>
        <v/>
      </c>
      <c r="P83" s="25">
        <f>IFERROR(IF($L83="","",IF($L83&lt;TODAY(),"Overdue",IF($L83&lt;=TODAY()+Dashboard!$B$10,"Due Soon","Current"))),"")</f>
        <v/>
      </c>
      <c r="Q83" s="25">
        <f>IFERROR(IF($A83="","",IF($I83&gt;=Dashboard!$B$9,"High Cost","")),"")</f>
        <v/>
      </c>
      <c r="R83" s="24" t="n"/>
      <c r="S83" s="24" t="n"/>
    </row>
    <row r="84">
      <c r="A84" s="24" t="n"/>
      <c r="B84" s="24" t="n"/>
      <c r="C84" s="24" t="n"/>
      <c r="D84" s="24" t="n"/>
      <c r="E84" s="24" t="n"/>
      <c r="F84" s="24" t="n"/>
      <c r="G84" s="24" t="n"/>
      <c r="H84" s="24" t="n"/>
      <c r="I84" s="30" t="n"/>
      <c r="J84" s="26" t="n"/>
      <c r="K84" s="26" t="n"/>
      <c r="L84" s="31">
        <f>IFERROR(IF($K84="","",$K84+Dashboard!$B$8),"")</f>
        <v/>
      </c>
      <c r="M84" s="25">
        <f>IFERROR(IF($A84="","",IF($H84&lt;&gt;"Active",$H84,IF(COUNTIFS('Key Activity Log'!$B$5:$B$254,$A84,'Key Activity Log'!$V$5:$V$254,"Checked Out")+COUNTIFS('Key Activity Log'!$B$5:$B$254,$A84,'Key Activity Log'!$V$5:$V$254,"Overdue")&gt;0,"Checked Out","Available"))),"")</f>
        <v/>
      </c>
      <c r="N84" s="25">
        <f>IFERROR(IF($A84="","",INDEX('Key Activity Log'!$F$5:$F$254,MATCH($A84,'Key Activity Log'!$AA$5:$AA$254,0))),"")</f>
        <v/>
      </c>
      <c r="O84" s="25">
        <f>IFERROR(IF($A84="","",INDEX('Key Activity Log'!$V$5:$V$254,MATCH($A84,'Key Activity Log'!$AA$5:$AA$254,0))),"")</f>
        <v/>
      </c>
      <c r="P84" s="25">
        <f>IFERROR(IF($L84="","",IF($L84&lt;TODAY(),"Overdue",IF($L84&lt;=TODAY()+Dashboard!$B$10,"Due Soon","Current"))),"")</f>
        <v/>
      </c>
      <c r="Q84" s="25">
        <f>IFERROR(IF($A84="","",IF($I84&gt;=Dashboard!$B$9,"High Cost","")),"")</f>
        <v/>
      </c>
      <c r="R84" s="24" t="n"/>
      <c r="S84" s="24" t="n"/>
    </row>
    <row r="85">
      <c r="A85" s="24" t="n"/>
      <c r="B85" s="24" t="n"/>
      <c r="C85" s="24" t="n"/>
      <c r="D85" s="24" t="n"/>
      <c r="E85" s="24" t="n"/>
      <c r="F85" s="24" t="n"/>
      <c r="G85" s="24" t="n"/>
      <c r="H85" s="24" t="n"/>
      <c r="I85" s="30" t="n"/>
      <c r="J85" s="26" t="n"/>
      <c r="K85" s="26" t="n"/>
      <c r="L85" s="31">
        <f>IFERROR(IF($K85="","",$K85+Dashboard!$B$8),"")</f>
        <v/>
      </c>
      <c r="M85" s="25">
        <f>IFERROR(IF($A85="","",IF($H85&lt;&gt;"Active",$H85,IF(COUNTIFS('Key Activity Log'!$B$5:$B$254,$A85,'Key Activity Log'!$V$5:$V$254,"Checked Out")+COUNTIFS('Key Activity Log'!$B$5:$B$254,$A85,'Key Activity Log'!$V$5:$V$254,"Overdue")&gt;0,"Checked Out","Available"))),"")</f>
        <v/>
      </c>
      <c r="N85" s="25">
        <f>IFERROR(IF($A85="","",INDEX('Key Activity Log'!$F$5:$F$254,MATCH($A85,'Key Activity Log'!$AA$5:$AA$254,0))),"")</f>
        <v/>
      </c>
      <c r="O85" s="25">
        <f>IFERROR(IF($A85="","",INDEX('Key Activity Log'!$V$5:$V$254,MATCH($A85,'Key Activity Log'!$AA$5:$AA$254,0))),"")</f>
        <v/>
      </c>
      <c r="P85" s="25">
        <f>IFERROR(IF($L85="","",IF($L85&lt;TODAY(),"Overdue",IF($L85&lt;=TODAY()+Dashboard!$B$10,"Due Soon","Current"))),"")</f>
        <v/>
      </c>
      <c r="Q85" s="25">
        <f>IFERROR(IF($A85="","",IF($I85&gt;=Dashboard!$B$9,"High Cost","")),"")</f>
        <v/>
      </c>
      <c r="R85" s="24" t="n"/>
      <c r="S85" s="24" t="n"/>
    </row>
    <row r="86">
      <c r="A86" s="24" t="n"/>
      <c r="B86" s="24" t="n"/>
      <c r="C86" s="24" t="n"/>
      <c r="D86" s="24" t="n"/>
      <c r="E86" s="24" t="n"/>
      <c r="F86" s="24" t="n"/>
      <c r="G86" s="24" t="n"/>
      <c r="H86" s="24" t="n"/>
      <c r="I86" s="30" t="n"/>
      <c r="J86" s="26" t="n"/>
      <c r="K86" s="26" t="n"/>
      <c r="L86" s="31">
        <f>IFERROR(IF($K86="","",$K86+Dashboard!$B$8),"")</f>
        <v/>
      </c>
      <c r="M86" s="25">
        <f>IFERROR(IF($A86="","",IF($H86&lt;&gt;"Active",$H86,IF(COUNTIFS('Key Activity Log'!$B$5:$B$254,$A86,'Key Activity Log'!$V$5:$V$254,"Checked Out")+COUNTIFS('Key Activity Log'!$B$5:$B$254,$A86,'Key Activity Log'!$V$5:$V$254,"Overdue")&gt;0,"Checked Out","Available"))),"")</f>
        <v/>
      </c>
      <c r="N86" s="25">
        <f>IFERROR(IF($A86="","",INDEX('Key Activity Log'!$F$5:$F$254,MATCH($A86,'Key Activity Log'!$AA$5:$AA$254,0))),"")</f>
        <v/>
      </c>
      <c r="O86" s="25">
        <f>IFERROR(IF($A86="","",INDEX('Key Activity Log'!$V$5:$V$254,MATCH($A86,'Key Activity Log'!$AA$5:$AA$254,0))),"")</f>
        <v/>
      </c>
      <c r="P86" s="25">
        <f>IFERROR(IF($L86="","",IF($L86&lt;TODAY(),"Overdue",IF($L86&lt;=TODAY()+Dashboard!$B$10,"Due Soon","Current"))),"")</f>
        <v/>
      </c>
      <c r="Q86" s="25">
        <f>IFERROR(IF($A86="","",IF($I86&gt;=Dashboard!$B$9,"High Cost","")),"")</f>
        <v/>
      </c>
      <c r="R86" s="24" t="n"/>
      <c r="S86" s="24" t="n"/>
    </row>
    <row r="87">
      <c r="A87" s="24" t="n"/>
      <c r="B87" s="24" t="n"/>
      <c r="C87" s="24" t="n"/>
      <c r="D87" s="24" t="n"/>
      <c r="E87" s="24" t="n"/>
      <c r="F87" s="24" t="n"/>
      <c r="G87" s="24" t="n"/>
      <c r="H87" s="24" t="n"/>
      <c r="I87" s="30" t="n"/>
      <c r="J87" s="26" t="n"/>
      <c r="K87" s="26" t="n"/>
      <c r="L87" s="31">
        <f>IFERROR(IF($K87="","",$K87+Dashboard!$B$8),"")</f>
        <v/>
      </c>
      <c r="M87" s="25">
        <f>IFERROR(IF($A87="","",IF($H87&lt;&gt;"Active",$H87,IF(COUNTIFS('Key Activity Log'!$B$5:$B$254,$A87,'Key Activity Log'!$V$5:$V$254,"Checked Out")+COUNTIFS('Key Activity Log'!$B$5:$B$254,$A87,'Key Activity Log'!$V$5:$V$254,"Overdue")&gt;0,"Checked Out","Available"))),"")</f>
        <v/>
      </c>
      <c r="N87" s="25">
        <f>IFERROR(IF($A87="","",INDEX('Key Activity Log'!$F$5:$F$254,MATCH($A87,'Key Activity Log'!$AA$5:$AA$254,0))),"")</f>
        <v/>
      </c>
      <c r="O87" s="25">
        <f>IFERROR(IF($A87="","",INDEX('Key Activity Log'!$V$5:$V$254,MATCH($A87,'Key Activity Log'!$AA$5:$AA$254,0))),"")</f>
        <v/>
      </c>
      <c r="P87" s="25">
        <f>IFERROR(IF($L87="","",IF($L87&lt;TODAY(),"Overdue",IF($L87&lt;=TODAY()+Dashboard!$B$10,"Due Soon","Current"))),"")</f>
        <v/>
      </c>
      <c r="Q87" s="25">
        <f>IFERROR(IF($A87="","",IF($I87&gt;=Dashboard!$B$9,"High Cost","")),"")</f>
        <v/>
      </c>
      <c r="R87" s="24" t="n"/>
      <c r="S87" s="24" t="n"/>
    </row>
    <row r="88">
      <c r="A88" s="24" t="n"/>
      <c r="B88" s="24" t="n"/>
      <c r="C88" s="24" t="n"/>
      <c r="D88" s="24" t="n"/>
      <c r="E88" s="24" t="n"/>
      <c r="F88" s="24" t="n"/>
      <c r="G88" s="24" t="n"/>
      <c r="H88" s="24" t="n"/>
      <c r="I88" s="30" t="n"/>
      <c r="J88" s="26" t="n"/>
      <c r="K88" s="26" t="n"/>
      <c r="L88" s="31">
        <f>IFERROR(IF($K88="","",$K88+Dashboard!$B$8),"")</f>
        <v/>
      </c>
      <c r="M88" s="25">
        <f>IFERROR(IF($A88="","",IF($H88&lt;&gt;"Active",$H88,IF(COUNTIFS('Key Activity Log'!$B$5:$B$254,$A88,'Key Activity Log'!$V$5:$V$254,"Checked Out")+COUNTIFS('Key Activity Log'!$B$5:$B$254,$A88,'Key Activity Log'!$V$5:$V$254,"Overdue")&gt;0,"Checked Out","Available"))),"")</f>
        <v/>
      </c>
      <c r="N88" s="25">
        <f>IFERROR(IF($A88="","",INDEX('Key Activity Log'!$F$5:$F$254,MATCH($A88,'Key Activity Log'!$AA$5:$AA$254,0))),"")</f>
        <v/>
      </c>
      <c r="O88" s="25">
        <f>IFERROR(IF($A88="","",INDEX('Key Activity Log'!$V$5:$V$254,MATCH($A88,'Key Activity Log'!$AA$5:$AA$254,0))),"")</f>
        <v/>
      </c>
      <c r="P88" s="25">
        <f>IFERROR(IF($L88="","",IF($L88&lt;TODAY(),"Overdue",IF($L88&lt;=TODAY()+Dashboard!$B$10,"Due Soon","Current"))),"")</f>
        <v/>
      </c>
      <c r="Q88" s="25">
        <f>IFERROR(IF($A88="","",IF($I88&gt;=Dashboard!$B$9,"High Cost","")),"")</f>
        <v/>
      </c>
      <c r="R88" s="24" t="n"/>
      <c r="S88" s="24" t="n"/>
    </row>
    <row r="89">
      <c r="A89" s="24" t="n"/>
      <c r="B89" s="24" t="n"/>
      <c r="C89" s="24" t="n"/>
      <c r="D89" s="24" t="n"/>
      <c r="E89" s="24" t="n"/>
      <c r="F89" s="24" t="n"/>
      <c r="G89" s="24" t="n"/>
      <c r="H89" s="24" t="n"/>
      <c r="I89" s="30" t="n"/>
      <c r="J89" s="26" t="n"/>
      <c r="K89" s="26" t="n"/>
      <c r="L89" s="31">
        <f>IFERROR(IF($K89="","",$K89+Dashboard!$B$8),"")</f>
        <v/>
      </c>
      <c r="M89" s="25">
        <f>IFERROR(IF($A89="","",IF($H89&lt;&gt;"Active",$H89,IF(COUNTIFS('Key Activity Log'!$B$5:$B$254,$A89,'Key Activity Log'!$V$5:$V$254,"Checked Out")+COUNTIFS('Key Activity Log'!$B$5:$B$254,$A89,'Key Activity Log'!$V$5:$V$254,"Overdue")&gt;0,"Checked Out","Available"))),"")</f>
        <v/>
      </c>
      <c r="N89" s="25">
        <f>IFERROR(IF($A89="","",INDEX('Key Activity Log'!$F$5:$F$254,MATCH($A89,'Key Activity Log'!$AA$5:$AA$254,0))),"")</f>
        <v/>
      </c>
      <c r="O89" s="25">
        <f>IFERROR(IF($A89="","",INDEX('Key Activity Log'!$V$5:$V$254,MATCH($A89,'Key Activity Log'!$AA$5:$AA$254,0))),"")</f>
        <v/>
      </c>
      <c r="P89" s="25">
        <f>IFERROR(IF($L89="","",IF($L89&lt;TODAY(),"Overdue",IF($L89&lt;=TODAY()+Dashboard!$B$10,"Due Soon","Current"))),"")</f>
        <v/>
      </c>
      <c r="Q89" s="25">
        <f>IFERROR(IF($A89="","",IF($I89&gt;=Dashboard!$B$9,"High Cost","")),"")</f>
        <v/>
      </c>
      <c r="R89" s="24" t="n"/>
      <c r="S89" s="24" t="n"/>
    </row>
    <row r="90">
      <c r="A90" s="24" t="n"/>
      <c r="B90" s="24" t="n"/>
      <c r="C90" s="24" t="n"/>
      <c r="D90" s="24" t="n"/>
      <c r="E90" s="24" t="n"/>
      <c r="F90" s="24" t="n"/>
      <c r="G90" s="24" t="n"/>
      <c r="H90" s="24" t="n"/>
      <c r="I90" s="30" t="n"/>
      <c r="J90" s="26" t="n"/>
      <c r="K90" s="26" t="n"/>
      <c r="L90" s="31">
        <f>IFERROR(IF($K90="","",$K90+Dashboard!$B$8),"")</f>
        <v/>
      </c>
      <c r="M90" s="25">
        <f>IFERROR(IF($A90="","",IF($H90&lt;&gt;"Active",$H90,IF(COUNTIFS('Key Activity Log'!$B$5:$B$254,$A90,'Key Activity Log'!$V$5:$V$254,"Checked Out")+COUNTIFS('Key Activity Log'!$B$5:$B$254,$A90,'Key Activity Log'!$V$5:$V$254,"Overdue")&gt;0,"Checked Out","Available"))),"")</f>
        <v/>
      </c>
      <c r="N90" s="25">
        <f>IFERROR(IF($A90="","",INDEX('Key Activity Log'!$F$5:$F$254,MATCH($A90,'Key Activity Log'!$AA$5:$AA$254,0))),"")</f>
        <v/>
      </c>
      <c r="O90" s="25">
        <f>IFERROR(IF($A90="","",INDEX('Key Activity Log'!$V$5:$V$254,MATCH($A90,'Key Activity Log'!$AA$5:$AA$254,0))),"")</f>
        <v/>
      </c>
      <c r="P90" s="25">
        <f>IFERROR(IF($L90="","",IF($L90&lt;TODAY(),"Overdue",IF($L90&lt;=TODAY()+Dashboard!$B$10,"Due Soon","Current"))),"")</f>
        <v/>
      </c>
      <c r="Q90" s="25">
        <f>IFERROR(IF($A90="","",IF($I90&gt;=Dashboard!$B$9,"High Cost","")),"")</f>
        <v/>
      </c>
      <c r="R90" s="24" t="n"/>
      <c r="S90" s="24" t="n"/>
    </row>
    <row r="91">
      <c r="A91" s="24" t="n"/>
      <c r="B91" s="24" t="n"/>
      <c r="C91" s="24" t="n"/>
      <c r="D91" s="24" t="n"/>
      <c r="E91" s="24" t="n"/>
      <c r="F91" s="24" t="n"/>
      <c r="G91" s="24" t="n"/>
      <c r="H91" s="24" t="n"/>
      <c r="I91" s="30" t="n"/>
      <c r="J91" s="26" t="n"/>
      <c r="K91" s="26" t="n"/>
      <c r="L91" s="31">
        <f>IFERROR(IF($K91="","",$K91+Dashboard!$B$8),"")</f>
        <v/>
      </c>
      <c r="M91" s="25">
        <f>IFERROR(IF($A91="","",IF($H91&lt;&gt;"Active",$H91,IF(COUNTIFS('Key Activity Log'!$B$5:$B$254,$A91,'Key Activity Log'!$V$5:$V$254,"Checked Out")+COUNTIFS('Key Activity Log'!$B$5:$B$254,$A91,'Key Activity Log'!$V$5:$V$254,"Overdue")&gt;0,"Checked Out","Available"))),"")</f>
        <v/>
      </c>
      <c r="N91" s="25">
        <f>IFERROR(IF($A91="","",INDEX('Key Activity Log'!$F$5:$F$254,MATCH($A91,'Key Activity Log'!$AA$5:$AA$254,0))),"")</f>
        <v/>
      </c>
      <c r="O91" s="25">
        <f>IFERROR(IF($A91="","",INDEX('Key Activity Log'!$V$5:$V$254,MATCH($A91,'Key Activity Log'!$AA$5:$AA$254,0))),"")</f>
        <v/>
      </c>
      <c r="P91" s="25">
        <f>IFERROR(IF($L91="","",IF($L91&lt;TODAY(),"Overdue",IF($L91&lt;=TODAY()+Dashboard!$B$10,"Due Soon","Current"))),"")</f>
        <v/>
      </c>
      <c r="Q91" s="25">
        <f>IFERROR(IF($A91="","",IF($I91&gt;=Dashboard!$B$9,"High Cost","")),"")</f>
        <v/>
      </c>
      <c r="R91" s="24" t="n"/>
      <c r="S91" s="24" t="n"/>
    </row>
    <row r="92">
      <c r="A92" s="24" t="n"/>
      <c r="B92" s="24" t="n"/>
      <c r="C92" s="24" t="n"/>
      <c r="D92" s="24" t="n"/>
      <c r="E92" s="24" t="n"/>
      <c r="F92" s="24" t="n"/>
      <c r="G92" s="24" t="n"/>
      <c r="H92" s="24" t="n"/>
      <c r="I92" s="30" t="n"/>
      <c r="J92" s="26" t="n"/>
      <c r="K92" s="26" t="n"/>
      <c r="L92" s="31">
        <f>IFERROR(IF($K92="","",$K92+Dashboard!$B$8),"")</f>
        <v/>
      </c>
      <c r="M92" s="25">
        <f>IFERROR(IF($A92="","",IF($H92&lt;&gt;"Active",$H92,IF(COUNTIFS('Key Activity Log'!$B$5:$B$254,$A92,'Key Activity Log'!$V$5:$V$254,"Checked Out")+COUNTIFS('Key Activity Log'!$B$5:$B$254,$A92,'Key Activity Log'!$V$5:$V$254,"Overdue")&gt;0,"Checked Out","Available"))),"")</f>
        <v/>
      </c>
      <c r="N92" s="25">
        <f>IFERROR(IF($A92="","",INDEX('Key Activity Log'!$F$5:$F$254,MATCH($A92,'Key Activity Log'!$AA$5:$AA$254,0))),"")</f>
        <v/>
      </c>
      <c r="O92" s="25">
        <f>IFERROR(IF($A92="","",INDEX('Key Activity Log'!$V$5:$V$254,MATCH($A92,'Key Activity Log'!$AA$5:$AA$254,0))),"")</f>
        <v/>
      </c>
      <c r="P92" s="25">
        <f>IFERROR(IF($L92="","",IF($L92&lt;TODAY(),"Overdue",IF($L92&lt;=TODAY()+Dashboard!$B$10,"Due Soon","Current"))),"")</f>
        <v/>
      </c>
      <c r="Q92" s="25">
        <f>IFERROR(IF($A92="","",IF($I92&gt;=Dashboard!$B$9,"High Cost","")),"")</f>
        <v/>
      </c>
      <c r="R92" s="24" t="n"/>
      <c r="S92" s="24" t="n"/>
    </row>
    <row r="93">
      <c r="A93" s="24" t="n"/>
      <c r="B93" s="24" t="n"/>
      <c r="C93" s="24" t="n"/>
      <c r="D93" s="24" t="n"/>
      <c r="E93" s="24" t="n"/>
      <c r="F93" s="24" t="n"/>
      <c r="G93" s="24" t="n"/>
      <c r="H93" s="24" t="n"/>
      <c r="I93" s="30" t="n"/>
      <c r="J93" s="26" t="n"/>
      <c r="K93" s="26" t="n"/>
      <c r="L93" s="31">
        <f>IFERROR(IF($K93="","",$K93+Dashboard!$B$8),"")</f>
        <v/>
      </c>
      <c r="M93" s="25">
        <f>IFERROR(IF($A93="","",IF($H93&lt;&gt;"Active",$H93,IF(COUNTIFS('Key Activity Log'!$B$5:$B$254,$A93,'Key Activity Log'!$V$5:$V$254,"Checked Out")+COUNTIFS('Key Activity Log'!$B$5:$B$254,$A93,'Key Activity Log'!$V$5:$V$254,"Overdue")&gt;0,"Checked Out","Available"))),"")</f>
        <v/>
      </c>
      <c r="N93" s="25">
        <f>IFERROR(IF($A93="","",INDEX('Key Activity Log'!$F$5:$F$254,MATCH($A93,'Key Activity Log'!$AA$5:$AA$254,0))),"")</f>
        <v/>
      </c>
      <c r="O93" s="25">
        <f>IFERROR(IF($A93="","",INDEX('Key Activity Log'!$V$5:$V$254,MATCH($A93,'Key Activity Log'!$AA$5:$AA$254,0))),"")</f>
        <v/>
      </c>
      <c r="P93" s="25">
        <f>IFERROR(IF($L93="","",IF($L93&lt;TODAY(),"Overdue",IF($L93&lt;=TODAY()+Dashboard!$B$10,"Due Soon","Current"))),"")</f>
        <v/>
      </c>
      <c r="Q93" s="25">
        <f>IFERROR(IF($A93="","",IF($I93&gt;=Dashboard!$B$9,"High Cost","")),"")</f>
        <v/>
      </c>
      <c r="R93" s="24" t="n"/>
      <c r="S93" s="24" t="n"/>
    </row>
    <row r="94">
      <c r="A94" s="24" t="n"/>
      <c r="B94" s="24" t="n"/>
      <c r="C94" s="24" t="n"/>
      <c r="D94" s="24" t="n"/>
      <c r="E94" s="24" t="n"/>
      <c r="F94" s="24" t="n"/>
      <c r="G94" s="24" t="n"/>
      <c r="H94" s="24" t="n"/>
      <c r="I94" s="30" t="n"/>
      <c r="J94" s="26" t="n"/>
      <c r="K94" s="26" t="n"/>
      <c r="L94" s="31">
        <f>IFERROR(IF($K94="","",$K94+Dashboard!$B$8),"")</f>
        <v/>
      </c>
      <c r="M94" s="25">
        <f>IFERROR(IF($A94="","",IF($H94&lt;&gt;"Active",$H94,IF(COUNTIFS('Key Activity Log'!$B$5:$B$254,$A94,'Key Activity Log'!$V$5:$V$254,"Checked Out")+COUNTIFS('Key Activity Log'!$B$5:$B$254,$A94,'Key Activity Log'!$V$5:$V$254,"Overdue")&gt;0,"Checked Out","Available"))),"")</f>
        <v/>
      </c>
      <c r="N94" s="25">
        <f>IFERROR(IF($A94="","",INDEX('Key Activity Log'!$F$5:$F$254,MATCH($A94,'Key Activity Log'!$AA$5:$AA$254,0))),"")</f>
        <v/>
      </c>
      <c r="O94" s="25">
        <f>IFERROR(IF($A94="","",INDEX('Key Activity Log'!$V$5:$V$254,MATCH($A94,'Key Activity Log'!$AA$5:$AA$254,0))),"")</f>
        <v/>
      </c>
      <c r="P94" s="25">
        <f>IFERROR(IF($L94="","",IF($L94&lt;TODAY(),"Overdue",IF($L94&lt;=TODAY()+Dashboard!$B$10,"Due Soon","Current"))),"")</f>
        <v/>
      </c>
      <c r="Q94" s="25">
        <f>IFERROR(IF($A94="","",IF($I94&gt;=Dashboard!$B$9,"High Cost","")),"")</f>
        <v/>
      </c>
      <c r="R94" s="24" t="n"/>
      <c r="S94" s="24" t="n"/>
    </row>
    <row r="95">
      <c r="A95" s="24" t="n"/>
      <c r="B95" s="24" t="n"/>
      <c r="C95" s="24" t="n"/>
      <c r="D95" s="24" t="n"/>
      <c r="E95" s="24" t="n"/>
      <c r="F95" s="24" t="n"/>
      <c r="G95" s="24" t="n"/>
      <c r="H95" s="24" t="n"/>
      <c r="I95" s="30" t="n"/>
      <c r="J95" s="26" t="n"/>
      <c r="K95" s="26" t="n"/>
      <c r="L95" s="31">
        <f>IFERROR(IF($K95="","",$K95+Dashboard!$B$8),"")</f>
        <v/>
      </c>
      <c r="M95" s="25">
        <f>IFERROR(IF($A95="","",IF($H95&lt;&gt;"Active",$H95,IF(COUNTIFS('Key Activity Log'!$B$5:$B$254,$A95,'Key Activity Log'!$V$5:$V$254,"Checked Out")+COUNTIFS('Key Activity Log'!$B$5:$B$254,$A95,'Key Activity Log'!$V$5:$V$254,"Overdue")&gt;0,"Checked Out","Available"))),"")</f>
        <v/>
      </c>
      <c r="N95" s="25">
        <f>IFERROR(IF($A95="","",INDEX('Key Activity Log'!$F$5:$F$254,MATCH($A95,'Key Activity Log'!$AA$5:$AA$254,0))),"")</f>
        <v/>
      </c>
      <c r="O95" s="25">
        <f>IFERROR(IF($A95="","",INDEX('Key Activity Log'!$V$5:$V$254,MATCH($A95,'Key Activity Log'!$AA$5:$AA$254,0))),"")</f>
        <v/>
      </c>
      <c r="P95" s="25">
        <f>IFERROR(IF($L95="","",IF($L95&lt;TODAY(),"Overdue",IF($L95&lt;=TODAY()+Dashboard!$B$10,"Due Soon","Current"))),"")</f>
        <v/>
      </c>
      <c r="Q95" s="25">
        <f>IFERROR(IF($A95="","",IF($I95&gt;=Dashboard!$B$9,"High Cost","")),"")</f>
        <v/>
      </c>
      <c r="R95" s="24" t="n"/>
      <c r="S95" s="24" t="n"/>
    </row>
    <row r="96">
      <c r="A96" s="24" t="n"/>
      <c r="B96" s="24" t="n"/>
      <c r="C96" s="24" t="n"/>
      <c r="D96" s="24" t="n"/>
      <c r="E96" s="24" t="n"/>
      <c r="F96" s="24" t="n"/>
      <c r="G96" s="24" t="n"/>
      <c r="H96" s="24" t="n"/>
      <c r="I96" s="30" t="n"/>
      <c r="J96" s="26" t="n"/>
      <c r="K96" s="26" t="n"/>
      <c r="L96" s="31">
        <f>IFERROR(IF($K96="","",$K96+Dashboard!$B$8),"")</f>
        <v/>
      </c>
      <c r="M96" s="25">
        <f>IFERROR(IF($A96="","",IF($H96&lt;&gt;"Active",$H96,IF(COUNTIFS('Key Activity Log'!$B$5:$B$254,$A96,'Key Activity Log'!$V$5:$V$254,"Checked Out")+COUNTIFS('Key Activity Log'!$B$5:$B$254,$A96,'Key Activity Log'!$V$5:$V$254,"Overdue")&gt;0,"Checked Out","Available"))),"")</f>
        <v/>
      </c>
      <c r="N96" s="25">
        <f>IFERROR(IF($A96="","",INDEX('Key Activity Log'!$F$5:$F$254,MATCH($A96,'Key Activity Log'!$AA$5:$AA$254,0))),"")</f>
        <v/>
      </c>
      <c r="O96" s="25">
        <f>IFERROR(IF($A96="","",INDEX('Key Activity Log'!$V$5:$V$254,MATCH($A96,'Key Activity Log'!$AA$5:$AA$254,0))),"")</f>
        <v/>
      </c>
      <c r="P96" s="25">
        <f>IFERROR(IF($L96="","",IF($L96&lt;TODAY(),"Overdue",IF($L96&lt;=TODAY()+Dashboard!$B$10,"Due Soon","Current"))),"")</f>
        <v/>
      </c>
      <c r="Q96" s="25">
        <f>IFERROR(IF($A96="","",IF($I96&gt;=Dashboard!$B$9,"High Cost","")),"")</f>
        <v/>
      </c>
      <c r="R96" s="24" t="n"/>
      <c r="S96" s="24" t="n"/>
    </row>
    <row r="97">
      <c r="A97" s="24" t="n"/>
      <c r="B97" s="24" t="n"/>
      <c r="C97" s="24" t="n"/>
      <c r="D97" s="24" t="n"/>
      <c r="E97" s="24" t="n"/>
      <c r="F97" s="24" t="n"/>
      <c r="G97" s="24" t="n"/>
      <c r="H97" s="24" t="n"/>
      <c r="I97" s="30" t="n"/>
      <c r="J97" s="26" t="n"/>
      <c r="K97" s="26" t="n"/>
      <c r="L97" s="31">
        <f>IFERROR(IF($K97="","",$K97+Dashboard!$B$8),"")</f>
        <v/>
      </c>
      <c r="M97" s="25">
        <f>IFERROR(IF($A97="","",IF($H97&lt;&gt;"Active",$H97,IF(COUNTIFS('Key Activity Log'!$B$5:$B$254,$A97,'Key Activity Log'!$V$5:$V$254,"Checked Out")+COUNTIFS('Key Activity Log'!$B$5:$B$254,$A97,'Key Activity Log'!$V$5:$V$254,"Overdue")&gt;0,"Checked Out","Available"))),"")</f>
        <v/>
      </c>
      <c r="N97" s="25">
        <f>IFERROR(IF($A97="","",INDEX('Key Activity Log'!$F$5:$F$254,MATCH($A97,'Key Activity Log'!$AA$5:$AA$254,0))),"")</f>
        <v/>
      </c>
      <c r="O97" s="25">
        <f>IFERROR(IF($A97="","",INDEX('Key Activity Log'!$V$5:$V$254,MATCH($A97,'Key Activity Log'!$AA$5:$AA$254,0))),"")</f>
        <v/>
      </c>
      <c r="P97" s="25">
        <f>IFERROR(IF($L97="","",IF($L97&lt;TODAY(),"Overdue",IF($L97&lt;=TODAY()+Dashboard!$B$10,"Due Soon","Current"))),"")</f>
        <v/>
      </c>
      <c r="Q97" s="25">
        <f>IFERROR(IF($A97="","",IF($I97&gt;=Dashboard!$B$9,"High Cost","")),"")</f>
        <v/>
      </c>
      <c r="R97" s="24" t="n"/>
      <c r="S97" s="24" t="n"/>
    </row>
    <row r="98">
      <c r="A98" s="24" t="n"/>
      <c r="B98" s="24" t="n"/>
      <c r="C98" s="24" t="n"/>
      <c r="D98" s="24" t="n"/>
      <c r="E98" s="24" t="n"/>
      <c r="F98" s="24" t="n"/>
      <c r="G98" s="24" t="n"/>
      <c r="H98" s="24" t="n"/>
      <c r="I98" s="30" t="n"/>
      <c r="J98" s="26" t="n"/>
      <c r="K98" s="26" t="n"/>
      <c r="L98" s="31">
        <f>IFERROR(IF($K98="","",$K98+Dashboard!$B$8),"")</f>
        <v/>
      </c>
      <c r="M98" s="25">
        <f>IFERROR(IF($A98="","",IF($H98&lt;&gt;"Active",$H98,IF(COUNTIFS('Key Activity Log'!$B$5:$B$254,$A98,'Key Activity Log'!$V$5:$V$254,"Checked Out")+COUNTIFS('Key Activity Log'!$B$5:$B$254,$A98,'Key Activity Log'!$V$5:$V$254,"Overdue")&gt;0,"Checked Out","Available"))),"")</f>
        <v/>
      </c>
      <c r="N98" s="25">
        <f>IFERROR(IF($A98="","",INDEX('Key Activity Log'!$F$5:$F$254,MATCH($A98,'Key Activity Log'!$AA$5:$AA$254,0))),"")</f>
        <v/>
      </c>
      <c r="O98" s="25">
        <f>IFERROR(IF($A98="","",INDEX('Key Activity Log'!$V$5:$V$254,MATCH($A98,'Key Activity Log'!$AA$5:$AA$254,0))),"")</f>
        <v/>
      </c>
      <c r="P98" s="25">
        <f>IFERROR(IF($L98="","",IF($L98&lt;TODAY(),"Overdue",IF($L98&lt;=TODAY()+Dashboard!$B$10,"Due Soon","Current"))),"")</f>
        <v/>
      </c>
      <c r="Q98" s="25">
        <f>IFERROR(IF($A98="","",IF($I98&gt;=Dashboard!$B$9,"High Cost","")),"")</f>
        <v/>
      </c>
      <c r="R98" s="24" t="n"/>
      <c r="S98" s="24" t="n"/>
    </row>
    <row r="99">
      <c r="A99" s="24" t="n"/>
      <c r="B99" s="24" t="n"/>
      <c r="C99" s="24" t="n"/>
      <c r="D99" s="24" t="n"/>
      <c r="E99" s="24" t="n"/>
      <c r="F99" s="24" t="n"/>
      <c r="G99" s="24" t="n"/>
      <c r="H99" s="24" t="n"/>
      <c r="I99" s="30" t="n"/>
      <c r="J99" s="26" t="n"/>
      <c r="K99" s="26" t="n"/>
      <c r="L99" s="31">
        <f>IFERROR(IF($K99="","",$K99+Dashboard!$B$8),"")</f>
        <v/>
      </c>
      <c r="M99" s="25">
        <f>IFERROR(IF($A99="","",IF($H99&lt;&gt;"Active",$H99,IF(COUNTIFS('Key Activity Log'!$B$5:$B$254,$A99,'Key Activity Log'!$V$5:$V$254,"Checked Out")+COUNTIFS('Key Activity Log'!$B$5:$B$254,$A99,'Key Activity Log'!$V$5:$V$254,"Overdue")&gt;0,"Checked Out","Available"))),"")</f>
        <v/>
      </c>
      <c r="N99" s="25">
        <f>IFERROR(IF($A99="","",INDEX('Key Activity Log'!$F$5:$F$254,MATCH($A99,'Key Activity Log'!$AA$5:$AA$254,0))),"")</f>
        <v/>
      </c>
      <c r="O99" s="25">
        <f>IFERROR(IF($A99="","",INDEX('Key Activity Log'!$V$5:$V$254,MATCH($A99,'Key Activity Log'!$AA$5:$AA$254,0))),"")</f>
        <v/>
      </c>
      <c r="P99" s="25">
        <f>IFERROR(IF($L99="","",IF($L99&lt;TODAY(),"Overdue",IF($L99&lt;=TODAY()+Dashboard!$B$10,"Due Soon","Current"))),"")</f>
        <v/>
      </c>
      <c r="Q99" s="25">
        <f>IFERROR(IF($A99="","",IF($I99&gt;=Dashboard!$B$9,"High Cost","")),"")</f>
        <v/>
      </c>
      <c r="R99" s="24" t="n"/>
      <c r="S99" s="24" t="n"/>
    </row>
    <row r="100">
      <c r="A100" s="24" t="n"/>
      <c r="B100" s="24" t="n"/>
      <c r="C100" s="24" t="n"/>
      <c r="D100" s="24" t="n"/>
      <c r="E100" s="24" t="n"/>
      <c r="F100" s="24" t="n"/>
      <c r="G100" s="24" t="n"/>
      <c r="H100" s="24" t="n"/>
      <c r="I100" s="30" t="n"/>
      <c r="J100" s="26" t="n"/>
      <c r="K100" s="26" t="n"/>
      <c r="L100" s="31">
        <f>IFERROR(IF($K100="","",$K100+Dashboard!$B$8),"")</f>
        <v/>
      </c>
      <c r="M100" s="25">
        <f>IFERROR(IF($A100="","",IF($H100&lt;&gt;"Active",$H100,IF(COUNTIFS('Key Activity Log'!$B$5:$B$254,$A100,'Key Activity Log'!$V$5:$V$254,"Checked Out")+COUNTIFS('Key Activity Log'!$B$5:$B$254,$A100,'Key Activity Log'!$V$5:$V$254,"Overdue")&gt;0,"Checked Out","Available"))),"")</f>
        <v/>
      </c>
      <c r="N100" s="25">
        <f>IFERROR(IF($A100="","",INDEX('Key Activity Log'!$F$5:$F$254,MATCH($A100,'Key Activity Log'!$AA$5:$AA$254,0))),"")</f>
        <v/>
      </c>
      <c r="O100" s="25">
        <f>IFERROR(IF($A100="","",INDEX('Key Activity Log'!$V$5:$V$254,MATCH($A100,'Key Activity Log'!$AA$5:$AA$254,0))),"")</f>
        <v/>
      </c>
      <c r="P100" s="25">
        <f>IFERROR(IF($L100="","",IF($L100&lt;TODAY(),"Overdue",IF($L100&lt;=TODAY()+Dashboard!$B$10,"Due Soon","Current"))),"")</f>
        <v/>
      </c>
      <c r="Q100" s="25">
        <f>IFERROR(IF($A100="","",IF($I100&gt;=Dashboard!$B$9,"High Cost","")),"")</f>
        <v/>
      </c>
      <c r="R100" s="24" t="n"/>
      <c r="S100" s="24" t="n"/>
    </row>
    <row r="101">
      <c r="A101" s="24" t="n"/>
      <c r="B101" s="24" t="n"/>
      <c r="C101" s="24" t="n"/>
      <c r="D101" s="24" t="n"/>
      <c r="E101" s="24" t="n"/>
      <c r="F101" s="24" t="n"/>
      <c r="G101" s="24" t="n"/>
      <c r="H101" s="24" t="n"/>
      <c r="I101" s="30" t="n"/>
      <c r="J101" s="26" t="n"/>
      <c r="K101" s="26" t="n"/>
      <c r="L101" s="31">
        <f>IFERROR(IF($K101="","",$K101+Dashboard!$B$8),"")</f>
        <v/>
      </c>
      <c r="M101" s="25">
        <f>IFERROR(IF($A101="","",IF($H101&lt;&gt;"Active",$H101,IF(COUNTIFS('Key Activity Log'!$B$5:$B$254,$A101,'Key Activity Log'!$V$5:$V$254,"Checked Out")+COUNTIFS('Key Activity Log'!$B$5:$B$254,$A101,'Key Activity Log'!$V$5:$V$254,"Overdue")&gt;0,"Checked Out","Available"))),"")</f>
        <v/>
      </c>
      <c r="N101" s="25">
        <f>IFERROR(IF($A101="","",INDEX('Key Activity Log'!$F$5:$F$254,MATCH($A101,'Key Activity Log'!$AA$5:$AA$254,0))),"")</f>
        <v/>
      </c>
      <c r="O101" s="25">
        <f>IFERROR(IF($A101="","",INDEX('Key Activity Log'!$V$5:$V$254,MATCH($A101,'Key Activity Log'!$AA$5:$AA$254,0))),"")</f>
        <v/>
      </c>
      <c r="P101" s="25">
        <f>IFERROR(IF($L101="","",IF($L101&lt;TODAY(),"Overdue",IF($L101&lt;=TODAY()+Dashboard!$B$10,"Due Soon","Current"))),"")</f>
        <v/>
      </c>
      <c r="Q101" s="25">
        <f>IFERROR(IF($A101="","",IF($I101&gt;=Dashboard!$B$9,"High Cost","")),"")</f>
        <v/>
      </c>
      <c r="R101" s="24" t="n"/>
      <c r="S101" s="24" t="n"/>
    </row>
    <row r="102">
      <c r="A102" s="24" t="n"/>
      <c r="B102" s="24" t="n"/>
      <c r="C102" s="24" t="n"/>
      <c r="D102" s="24" t="n"/>
      <c r="E102" s="24" t="n"/>
      <c r="F102" s="24" t="n"/>
      <c r="G102" s="24" t="n"/>
      <c r="H102" s="24" t="n"/>
      <c r="I102" s="30" t="n"/>
      <c r="J102" s="26" t="n"/>
      <c r="K102" s="26" t="n"/>
      <c r="L102" s="31">
        <f>IFERROR(IF($K102="","",$K102+Dashboard!$B$8),"")</f>
        <v/>
      </c>
      <c r="M102" s="25">
        <f>IFERROR(IF($A102="","",IF($H102&lt;&gt;"Active",$H102,IF(COUNTIFS('Key Activity Log'!$B$5:$B$254,$A102,'Key Activity Log'!$V$5:$V$254,"Checked Out")+COUNTIFS('Key Activity Log'!$B$5:$B$254,$A102,'Key Activity Log'!$V$5:$V$254,"Overdue")&gt;0,"Checked Out","Available"))),"")</f>
        <v/>
      </c>
      <c r="N102" s="25">
        <f>IFERROR(IF($A102="","",INDEX('Key Activity Log'!$F$5:$F$254,MATCH($A102,'Key Activity Log'!$AA$5:$AA$254,0))),"")</f>
        <v/>
      </c>
      <c r="O102" s="25">
        <f>IFERROR(IF($A102="","",INDEX('Key Activity Log'!$V$5:$V$254,MATCH($A102,'Key Activity Log'!$AA$5:$AA$254,0))),"")</f>
        <v/>
      </c>
      <c r="P102" s="25">
        <f>IFERROR(IF($L102="","",IF($L102&lt;TODAY(),"Overdue",IF($L102&lt;=TODAY()+Dashboard!$B$10,"Due Soon","Current"))),"")</f>
        <v/>
      </c>
      <c r="Q102" s="25">
        <f>IFERROR(IF($A102="","",IF($I102&gt;=Dashboard!$B$9,"High Cost","")),"")</f>
        <v/>
      </c>
      <c r="R102" s="24" t="n"/>
      <c r="S102" s="24" t="n"/>
    </row>
    <row r="103">
      <c r="A103" s="24" t="n"/>
      <c r="B103" s="24" t="n"/>
      <c r="C103" s="24" t="n"/>
      <c r="D103" s="24" t="n"/>
      <c r="E103" s="24" t="n"/>
      <c r="F103" s="24" t="n"/>
      <c r="G103" s="24" t="n"/>
      <c r="H103" s="24" t="n"/>
      <c r="I103" s="30" t="n"/>
      <c r="J103" s="26" t="n"/>
      <c r="K103" s="26" t="n"/>
      <c r="L103" s="31">
        <f>IFERROR(IF($K103="","",$K103+Dashboard!$B$8),"")</f>
        <v/>
      </c>
      <c r="M103" s="25">
        <f>IFERROR(IF($A103="","",IF($H103&lt;&gt;"Active",$H103,IF(COUNTIFS('Key Activity Log'!$B$5:$B$254,$A103,'Key Activity Log'!$V$5:$V$254,"Checked Out")+COUNTIFS('Key Activity Log'!$B$5:$B$254,$A103,'Key Activity Log'!$V$5:$V$254,"Overdue")&gt;0,"Checked Out","Available"))),"")</f>
        <v/>
      </c>
      <c r="N103" s="25">
        <f>IFERROR(IF($A103="","",INDEX('Key Activity Log'!$F$5:$F$254,MATCH($A103,'Key Activity Log'!$AA$5:$AA$254,0))),"")</f>
        <v/>
      </c>
      <c r="O103" s="25">
        <f>IFERROR(IF($A103="","",INDEX('Key Activity Log'!$V$5:$V$254,MATCH($A103,'Key Activity Log'!$AA$5:$AA$254,0))),"")</f>
        <v/>
      </c>
      <c r="P103" s="25">
        <f>IFERROR(IF($L103="","",IF($L103&lt;TODAY(),"Overdue",IF($L103&lt;=TODAY()+Dashboard!$B$10,"Due Soon","Current"))),"")</f>
        <v/>
      </c>
      <c r="Q103" s="25">
        <f>IFERROR(IF($A103="","",IF($I103&gt;=Dashboard!$B$9,"High Cost","")),"")</f>
        <v/>
      </c>
      <c r="R103" s="24" t="n"/>
      <c r="S103" s="24" t="n"/>
    </row>
    <row r="104">
      <c r="A104" s="24" t="n"/>
      <c r="B104" s="24" t="n"/>
      <c r="C104" s="24" t="n"/>
      <c r="D104" s="24" t="n"/>
      <c r="E104" s="24" t="n"/>
      <c r="F104" s="24" t="n"/>
      <c r="G104" s="24" t="n"/>
      <c r="H104" s="24" t="n"/>
      <c r="I104" s="30" t="n"/>
      <c r="J104" s="26" t="n"/>
      <c r="K104" s="26" t="n"/>
      <c r="L104" s="31">
        <f>IFERROR(IF($K104="","",$K104+Dashboard!$B$8),"")</f>
        <v/>
      </c>
      <c r="M104" s="25">
        <f>IFERROR(IF($A104="","",IF($H104&lt;&gt;"Active",$H104,IF(COUNTIFS('Key Activity Log'!$B$5:$B$254,$A104,'Key Activity Log'!$V$5:$V$254,"Checked Out")+COUNTIFS('Key Activity Log'!$B$5:$B$254,$A104,'Key Activity Log'!$V$5:$V$254,"Overdue")&gt;0,"Checked Out","Available"))),"")</f>
        <v/>
      </c>
      <c r="N104" s="25">
        <f>IFERROR(IF($A104="","",INDEX('Key Activity Log'!$F$5:$F$254,MATCH($A104,'Key Activity Log'!$AA$5:$AA$254,0))),"")</f>
        <v/>
      </c>
      <c r="O104" s="25">
        <f>IFERROR(IF($A104="","",INDEX('Key Activity Log'!$V$5:$V$254,MATCH($A104,'Key Activity Log'!$AA$5:$AA$254,0))),"")</f>
        <v/>
      </c>
      <c r="P104" s="25">
        <f>IFERROR(IF($L104="","",IF($L104&lt;TODAY(),"Overdue",IF($L104&lt;=TODAY()+Dashboard!$B$10,"Due Soon","Current"))),"")</f>
        <v/>
      </c>
      <c r="Q104" s="25">
        <f>IFERROR(IF($A104="","",IF($I104&gt;=Dashboard!$B$9,"High Cost","")),"")</f>
        <v/>
      </c>
      <c r="R104" s="24" t="n"/>
      <c r="S104" s="24" t="n"/>
    </row>
  </sheetData>
  <autoFilter ref="A4:S104"/>
  <mergeCells count="1">
    <mergeCell ref="A1:S1"/>
  </mergeCells>
  <conditionalFormatting sqref="A5:A104">
    <cfRule type="expression" priority="1" dxfId="0">
      <formula>AND($A5&lt;&gt;"",COUNTIF($A$5:$A$104,$A5)&gt;1)</formula>
    </cfRule>
  </conditionalFormatting>
  <conditionalFormatting sqref="H5:H104">
    <cfRule type="expression" priority="2" dxfId="0">
      <formula>$H5="Lost"</formula>
    </cfRule>
    <cfRule type="expression" priority="3" dxfId="3">
      <formula>$H5="Out of Service"</formula>
    </cfRule>
  </conditionalFormatting>
  <conditionalFormatting sqref="M5:M104">
    <cfRule type="expression" priority="4" dxfId="3">
      <formula>$M5="Checked Out"</formula>
    </cfRule>
  </conditionalFormatting>
  <conditionalFormatting sqref="O5:O104">
    <cfRule type="expression" priority="5" dxfId="0">
      <formula>$O5="Overdue"</formula>
    </cfRule>
  </conditionalFormatting>
  <conditionalFormatting sqref="P5:P104">
    <cfRule type="expression" priority="6" dxfId="0">
      <formula>$P5="Overdue"</formula>
    </cfRule>
    <cfRule type="expression" priority="7" dxfId="3">
      <formula>$P5="Due Soon"</formula>
    </cfRule>
  </conditionalFormatting>
  <conditionalFormatting sqref="Q5:Q104">
    <cfRule type="expression" priority="8" dxfId="2">
      <formula>$Q5="High Cost"</formula>
    </cfRule>
  </conditionalFormatting>
  <conditionalFormatting sqref="K5:K104">
    <cfRule type="expression" priority="9" dxfId="3">
      <formula>AND($A5&lt;&gt;"",$H5="Active",$K5="")</formula>
    </cfRule>
  </conditionalFormatting>
  <conditionalFormatting sqref="H5:O104">
    <cfRule type="expression" priority="10" dxfId="0">
      <formula>AND(OR($H5="Lost",$H5="Retired"),OR($O5="Checked Out",$O5="Overdue"))</formula>
    </cfRule>
  </conditionalFormatting>
  <conditionalFormatting sqref="F5:F104">
    <cfRule type="expression" priority="11" dxfId="3">
      <formula>AND($A5&lt;&gt;"",$H5="Active",$F5="")</formula>
    </cfRule>
  </conditionalFormatting>
  <dataValidations count="4">
    <dataValidation sqref="C5:C104" showDropDown="0" showInputMessage="1" showErrorMessage="1" allowBlank="0" errorTitle="Invalid selection" error="Choose a value from the dropdown list." promptTitle="Select a key type" prompt="Choose the physical key or device category." type="list" errorStyle="stop">
      <formula1>"Grand Master,Department Master,Floor Master,Office Key,Mechanical Key,Storage Key,Exterior Key,Access Fob,Key Ring,Secured Device"</formula1>
    </dataValidation>
    <dataValidation sqref="E5:E104" showDropDown="0" showInputMessage="1" showErrorMessage="1" allowBlank="0" errorTitle="Invalid selection" error="Choose a value from the dropdown list." promptTitle="Select a department" prompt="Choose the department responsible for this item." type="list" errorStyle="stop">
      <formula1>"Front Office,Housekeeping,Engineering,Security,Food &amp; Beverage,Sales &amp; Events,Management,Vendor / Contractor"</formula1>
    </dataValidation>
    <dataValidation sqref="H5:H104" showDropDown="0" showInputMessage="1" showErrorMessage="1" allowBlank="0" errorTitle="Invalid selection" error="Choose a value from the dropdown list." promptTitle="Select lifecycle status" prompt="Update when an item is lost, retired, or out of service." type="list" errorStyle="stop">
      <formula1>"Active,Lost,Out of Service,Retired"</formula1>
    </dataValidation>
    <dataValidation sqref="I5:I104" showDropDown="0" showInputMessage="1" showErrorMessage="1" allowBlank="0" errorTitle="Invalid cost" error="Enter a value from 0 through 10,000." promptTitle="Replacement cost" prompt="Enter an internal estimate from $0 through $10,000." type="decimal" operator="between">
      <formula1>0</formula1>
      <formula2>10000</formula2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showGridLines="0" zoomScale="70" zoomScaleNormal="70"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31" customWidth="1" min="2" max="2"/>
    <col width="78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22" t="inlineStr">
        <is>
          <t>Hotel Key Control Log — Instructions</t>
        </is>
      </c>
    </row>
    <row r="3">
      <c r="B3" s="5" t="inlineStr">
        <is>
          <t>Purpose</t>
        </is>
      </c>
      <c r="C3" s="32" t="n"/>
    </row>
    <row r="4" ht="28" customHeight="1">
      <c r="B4" t="inlineStr">
        <is>
          <t>•</t>
        </is>
      </c>
      <c r="C4" s="33" t="inlineStr">
        <is>
          <t>This workbook helps a hotel or venue team maintain a controlled inventory of physical keys and key devices, record issuance and return activity, identify overdue returns, track damaged, lost, or out-of-service items, schedule recurring internal inventory reviews, and estimate replacement exposure.</t>
        </is>
      </c>
    </row>
    <row r="5" ht="28" customHeight="1">
      <c r="B5" t="inlineStr">
        <is>
          <t>•</t>
        </is>
      </c>
      <c r="C5" s="33" t="inlineStr">
        <is>
          <t>This workbook supports internal operational control. It does not establish legal requirements, guarantee compliance, or replace property-specific security procedures.</t>
        </is>
      </c>
    </row>
    <row r="7">
      <c r="B7" s="5" t="inlineStr">
        <is>
          <t>Recommended Workflow</t>
        </is>
      </c>
      <c r="C7" s="32" t="n"/>
    </row>
    <row r="8" ht="28" customHeight="1">
      <c r="C8" s="33" t="inlineStr">
        <is>
          <t>1. Add each controlled key or device to Key Inventory.</t>
        </is>
      </c>
    </row>
    <row r="9" ht="28" customHeight="1">
      <c r="C9" s="33" t="inlineStr">
        <is>
          <t>2. Assign a unique Key ID and record its normal storage location.</t>
        </is>
      </c>
    </row>
    <row r="10" ht="28" customHeight="1">
      <c r="C10" s="33" t="inlineStr">
        <is>
          <t>3. Add one Key Activity Log row whenever an item is issued.</t>
        </is>
      </c>
    </row>
    <row r="11" ht="28" customHeight="1">
      <c r="C11" s="33" t="inlineStr">
        <is>
          <t>4. Enter the planned Due Date and Due Time.</t>
        </is>
      </c>
    </row>
    <row r="12" ht="28" customHeight="1">
      <c r="C12" s="33" t="inlineStr">
        <is>
          <t>5. Complete Returned Date, Returned Time, Received By, and Condition In when the item returns.</t>
        </is>
      </c>
    </row>
    <row r="13" ht="28" customHeight="1">
      <c r="C13" s="33" t="inlineStr">
        <is>
          <t>6. Review the Dashboard at shift change and investigate overdue or duplicate open assignments.</t>
        </is>
      </c>
    </row>
    <row r="14" ht="28" customHeight="1">
      <c r="C14" s="33" t="inlineStr">
        <is>
          <t>7. Update Lifecycle Status when an item is lost, retired, or placed out of service.</t>
        </is>
      </c>
    </row>
    <row r="15" ht="28" customHeight="1">
      <c r="C15" s="33" t="inlineStr">
        <is>
          <t>8. Perform inventory reviews according to the property's chosen audit interval.</t>
        </is>
      </c>
    </row>
    <row r="16" ht="28" customHeight="1">
      <c r="C16" s="33" t="inlineStr">
        <is>
          <t>9. Retain or archive completed records according to the property's own document-retention policy.</t>
        </is>
      </c>
    </row>
    <row r="19">
      <c r="B19" s="5" t="inlineStr">
        <is>
          <t>Data Entry Guidance</t>
        </is>
      </c>
      <c r="C19" s="32" t="n"/>
    </row>
    <row r="20" ht="28" customHeight="1">
      <c r="B20" t="inlineStr">
        <is>
          <t>•</t>
        </is>
      </c>
      <c r="C20" s="33" t="inlineStr">
        <is>
          <t>Gold entry cells are intended for entry. Gray cells contain formulas and should not be overwritten.</t>
        </is>
      </c>
    </row>
    <row r="21" ht="28" customHeight="1">
      <c r="B21" t="inlineStr">
        <is>
          <t>•</t>
        </is>
      </c>
      <c r="C21" s="33" t="inlineStr">
        <is>
          <t>Do not enter lock combinations, alarm codes, PINs, door codes, or digital credentials.</t>
        </is>
      </c>
    </row>
    <row r="22" ht="28" customHeight="1">
      <c r="B22" t="inlineStr">
        <is>
          <t>•</t>
        </is>
      </c>
      <c r="C22" s="33" t="inlineStr">
        <is>
          <t>Use Authorization Reference for a manually entered internal work order, event order, approval, or vendor reference.</t>
        </is>
      </c>
    </row>
    <row r="23" ht="28" customHeight="1">
      <c r="B23" t="inlineStr">
        <is>
          <t>•</t>
        </is>
      </c>
      <c r="C23" s="33" t="inlineStr">
        <is>
          <t>A key remains checked out until return fields are completed.</t>
        </is>
      </c>
    </row>
    <row r="24" ht="28" customHeight="1">
      <c r="B24" t="inlineStr">
        <is>
          <t>•</t>
        </is>
      </c>
      <c r="C24" s="33" t="inlineStr">
        <is>
          <t>The overdue formula includes the editable grace period from the Dashboard.</t>
        </is>
      </c>
    </row>
    <row r="25" ht="28" customHeight="1">
      <c r="B25" t="inlineStr">
        <is>
          <t>•</t>
        </is>
      </c>
      <c r="C25" s="33" t="inlineStr">
        <is>
          <t>Replacement Cost is an internal estimate and should be adjusted by the property.</t>
        </is>
      </c>
    </row>
    <row r="29">
      <c r="B29" s="5" t="inlineStr">
        <is>
          <t>Status Definitions</t>
        </is>
      </c>
      <c r="C29" s="32" t="n"/>
    </row>
    <row r="30">
      <c r="B30" s="34" t="inlineStr">
        <is>
          <t>Status</t>
        </is>
      </c>
      <c r="C30" s="34" t="inlineStr">
        <is>
          <t>Meaning</t>
        </is>
      </c>
    </row>
    <row r="31">
      <c r="B31" s="35" t="inlineStr">
        <is>
          <t>Available</t>
        </is>
      </c>
      <c r="C31" s="35" t="inlineStr">
        <is>
          <t>Active inventory item with no open issue record</t>
        </is>
      </c>
    </row>
    <row r="32">
      <c r="B32" s="36" t="inlineStr">
        <is>
          <t>Checked Out</t>
        </is>
      </c>
      <c r="C32" s="36" t="inlineStr">
        <is>
          <t>Issued and not yet beyond the due time plus grace period</t>
        </is>
      </c>
    </row>
    <row r="33">
      <c r="B33" s="35" t="inlineStr">
        <is>
          <t>Overdue</t>
        </is>
      </c>
      <c r="C33" s="35" t="inlineStr">
        <is>
          <t>Issued, not returned, and beyond the due time plus grace period</t>
        </is>
      </c>
    </row>
    <row r="34">
      <c r="B34" s="36" t="inlineStr">
        <is>
          <t>Returned</t>
        </is>
      </c>
      <c r="C34" s="36" t="inlineStr">
        <is>
          <t>Return date has been entered</t>
        </is>
      </c>
    </row>
    <row r="35">
      <c r="B35" s="35" t="inlineStr">
        <is>
          <t>Lost</t>
        </is>
      </c>
      <c r="C35" s="35" t="inlineStr">
        <is>
          <t>Inventory lifecycle status entered by the property</t>
        </is>
      </c>
    </row>
    <row r="36">
      <c r="B36" s="36" t="inlineStr">
        <is>
          <t>Out of Service</t>
        </is>
      </c>
      <c r="C36" s="36" t="inlineStr">
        <is>
          <t>Item should not be issued until restored</t>
        </is>
      </c>
    </row>
    <row r="37">
      <c r="B37" s="35" t="inlineStr">
        <is>
          <t>Due Soon</t>
        </is>
      </c>
      <c r="C37" s="35" t="inlineStr">
        <is>
          <t>Audit falls within the editable upcoming-audit window</t>
        </is>
      </c>
    </row>
    <row r="38">
      <c r="B38" s="36" t="inlineStr">
        <is>
          <t>Audit Overdue</t>
        </is>
      </c>
      <c r="C38" s="36" t="inlineStr">
        <is>
          <t>Next audit date is before today</t>
        </is>
      </c>
    </row>
    <row r="41">
      <c r="B41" s="5" t="inlineStr">
        <is>
          <t>Sample Data Note</t>
        </is>
      </c>
      <c r="C41" s="32" t="n"/>
    </row>
    <row r="42" ht="38" customHeight="1">
      <c r="C42" s="37" t="inlineStr">
        <is>
          <t>All names, key identifiers, companies, and authorization references in this workbook are fictional examples. Replace or delete the sample records before operational use.</t>
        </is>
      </c>
    </row>
  </sheetData>
  <mergeCells count="1">
    <mergeCell ref="A1:H1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2026-09-06T01:09:20Z</dcterms:created>
  <dcterms:modified xmlns:dcterms="http://purl.org/dc/terms/" xmlns:xsi="http://www.w3.org/2001/XMLSchema-instance" xsi:type="dcterms:W3CDTF">2026-09-06T01:09:22+00:00Z</dcterms:modified>
</cp:coreProperties>
</file>