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Housekeeping Schedule" sheetId="2" state="visible" r:id="rId2"/>
    <sheet xmlns:r="http://schemas.openxmlformats.org/officeDocument/2006/relationships" name="Rooms and Staff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'Dashboard'!$A$1:$R$48</definedName>
    <definedName name="_xlnm._FilterDatabase" localSheetId="1" hidden="1">'Housekeeping Schedule'!$A$1:$AE$101</definedName>
    <definedName name="_xlnm.Print_Area" localSheetId="1">'Housekeeping Schedule'!$A$1:$AE$101</definedName>
    <definedName name="_xlnm.Print_Area" localSheetId="2">'Rooms and Staff'!$A$1:$S$115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m/d/yyyy"/>
    <numFmt numFmtId="165" formatCode="m/d/yyyy h:mm AM/PM"/>
    <numFmt numFmtId="166" formatCode="0.0"/>
    <numFmt numFmtId="167" formatCode="0.0%"/>
    <numFmt numFmtId="168" formatCode="'$'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0"/>
    </font>
    <font>
      <name val="Calibri"/>
      <b val="1"/>
      <color rgb="0017324D"/>
      <sz val="16"/>
    </font>
    <font>
      <name val="Calibri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DDEBF7"/>
      </patternFill>
    </fill>
    <fill>
      <patternFill patternType="solid">
        <fgColor rgb="00FFF1CE"/>
      </patternFill>
    </fill>
    <fill>
      <patternFill patternType="solid">
        <fgColor rgb="002B5D74"/>
      </patternFill>
    </fill>
    <fill>
      <patternFill patternType="solid">
        <fgColor rgb="00FFFFFF"/>
      </patternFill>
    </fill>
    <fill>
      <patternFill patternType="solid">
        <fgColor rgb="00F2F7F8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1" pivotButton="0" quotePrefix="0" xfId="0"/>
    <xf numFmtId="164" fontId="0" fillId="4" borderId="1" pivotButton="0" quotePrefix="0" xfId="0"/>
    <xf numFmtId="0" fontId="3" fillId="0" borderId="0" applyAlignment="1" pivotButton="0" quotePrefix="0" xfId="0">
      <alignment horizontal="left" vertical="top" wrapText="1"/>
    </xf>
    <xf numFmtId="165" fontId="0" fillId="4" borderId="1" pivotButton="0" quotePrefix="0" xfId="0"/>
    <xf numFmtId="0" fontId="0" fillId="4" borderId="1" pivotButton="0" quotePrefix="0" xfId="0"/>
    <xf numFmtId="0" fontId="4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166" fontId="5" fillId="6" borderId="1" applyAlignment="1" pivotButton="0" quotePrefix="0" xfId="0">
      <alignment horizontal="center" vertical="center" wrapText="1"/>
    </xf>
    <xf numFmtId="167" fontId="5" fillId="6" borderId="1" applyAlignment="1" pivotButton="0" quotePrefix="0" xfId="0">
      <alignment horizontal="center" vertical="center" wrapText="1"/>
    </xf>
    <xf numFmtId="0" fontId="6" fillId="2" borderId="0" pivotButton="0" quotePrefix="0" xfId="0"/>
    <xf numFmtId="0" fontId="0" fillId="7" borderId="1" pivotButton="0" quotePrefix="0" xfId="0"/>
    <xf numFmtId="0" fontId="0" fillId="6" borderId="1" pivotButton="0" quotePrefix="0" xfId="0"/>
    <xf numFmtId="0" fontId="6" fillId="5" borderId="1" applyAlignment="1" pivotButton="0" quotePrefix="0" xfId="0">
      <alignment horizontal="center" vertical="center" wrapText="1"/>
    </xf>
    <xf numFmtId="166" fontId="0" fillId="7" borderId="1" pivotButton="0" quotePrefix="0" xfId="0"/>
    <xf numFmtId="166" fontId="0" fillId="6" borderId="1" pivotButton="0" quotePrefix="0" xfId="0"/>
    <xf numFmtId="0" fontId="6" fillId="5" borderId="1" pivotButton="0" quotePrefix="0" xfId="0"/>
    <xf numFmtId="165" fontId="0" fillId="7" borderId="1" pivotButton="0" quotePrefix="0" xfId="0"/>
    <xf numFmtId="165" fontId="0" fillId="6" borderId="1" pivotButton="0" quotePrefix="0" xfId="0"/>
    <xf numFmtId="0" fontId="2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164" fontId="3" fillId="7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left" vertical="center" wrapText="1"/>
    </xf>
    <xf numFmtId="1" fontId="3" fillId="7" borderId="1" applyAlignment="1" pivotButton="0" quotePrefix="0" xfId="0">
      <alignment horizontal="left" vertical="center" wrapText="1"/>
    </xf>
    <xf numFmtId="168" fontId="3" fillId="7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left" vertical="center" wrapText="1"/>
    </xf>
    <xf numFmtId="168" fontId="3" fillId="6" borderId="1" applyAlignment="1" pivotButton="0" quotePrefix="0" xfId="0">
      <alignment horizontal="left" vertical="center" wrapText="1"/>
    </xf>
    <xf numFmtId="0" fontId="1" fillId="2" borderId="0" pivotButton="0" quotePrefix="0" xfId="0"/>
    <xf numFmtId="0" fontId="2" fillId="2" borderId="1" pivotButton="0" quotePrefix="0" xfId="0"/>
    <xf numFmtId="0" fontId="2" fillId="0" borderId="1" pivotButton="0" quotePrefix="0" xfId="0"/>
    <xf numFmtId="167" fontId="0" fillId="0" borderId="0" pivotButton="0" quotePrefix="0" xfId="0"/>
    <xf numFmtId="0" fontId="0" fillId="4" borderId="1" applyAlignment="1" pivotButton="0" quotePrefix="0" xfId="0">
      <alignment horizontal="left" vertical="center" wrapText="1"/>
    </xf>
    <xf numFmtId="18" fontId="0" fillId="4" borderId="1" applyAlignment="1" pivotButton="0" quotePrefix="0" xfId="0">
      <alignment horizontal="left" vertical="center" wrapText="1"/>
    </xf>
    <xf numFmtId="166" fontId="0" fillId="4" borderId="1" applyAlignment="1" pivotButton="0" quotePrefix="0" xfId="0">
      <alignment horizontal="left" vertical="center" wrapText="1"/>
    </xf>
    <xf numFmtId="168" fontId="0" fillId="4" borderId="1" applyAlignment="1" pivotButton="0" quotePrefix="0" xfId="0">
      <alignment horizontal="left" vertical="center" wrapText="1"/>
    </xf>
    <xf numFmtId="0" fontId="6" fillId="5" borderId="0" pivotButton="0" quotePrefix="0" xfId="0"/>
    <xf numFmtId="0" fontId="3" fillId="0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Calibri"/>
        <b val="1"/>
        <color rgb="009C1C1C"/>
        <sz val="10"/>
      </font>
      <fill>
        <patternFill patternType="solid">
          <fgColor rgb="00F4CCCC"/>
        </patternFill>
      </fill>
    </dxf>
    <dxf>
      <font>
        <name val="Calibri"/>
        <b val="1"/>
        <color rgb="00147D64"/>
        <sz val="10"/>
      </font>
      <fill>
        <patternFill patternType="solid">
          <fgColor rgb="00D9EAD3"/>
        </patternFill>
      </fill>
    </dxf>
    <dxf>
      <fill>
        <patternFill patternType="solid">
          <fgColor rgb="00FCE5CD"/>
        </patternFill>
      </fill>
    </dxf>
    <dxf>
      <font>
        <name val="Calibri"/>
        <b val="1"/>
        <color rgb="001D5F91"/>
        <sz val="10"/>
      </font>
      <fill>
        <patternFill patternType="solid">
          <f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Cleaning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'Dashboard'!B15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7D64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4F81BD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A6A6A6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F4B183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666666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'Dashboard'!$A$16:$A$20</f>
            </numRef>
          </cat>
          <val>
            <numRef>
              <f>'Dashboard'!$B$16:$B$20</f>
            </numRef>
          </val>
        </ser>
        <dLbls>
          <showVal val="0"/>
          <showCatName val="0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Assigned Rooms by Attendant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'Dashboard'!B24</f>
            </strRef>
          </tx>
          <spPr>
            <a:solidFill xmlns:a="http://schemas.openxmlformats.org/drawingml/2006/main">
              <a:srgbClr val="4F81BD"/>
            </a:solidFill>
            <a:ln xmlns:a="http://schemas.openxmlformats.org/drawingml/2006/main">
              <a:prstDash val="solid"/>
            </a:ln>
          </spPr>
          <cat>
            <numRef>
              <f>'Dashboard'!$A$25:$A$32</f>
            </numRef>
          </cat>
          <val>
            <numRef>
              <f>'Dashboard'!$B$25:$B$32</f>
            </numRef>
          </val>
        </ser>
        <ser>
          <idx val="1"/>
          <order val="1"/>
          <tx>
            <strRef>
              <f>'Dashboard'!C24</f>
            </strRef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prstDash val="solid"/>
            </a:ln>
          </spPr>
          <cat>
            <numRef>
              <f>'Dashboard'!$A$25:$A$32</f>
            </numRef>
          </cat>
          <val>
            <numRef>
              <f>'Dashboard'!$C$25:$C$32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Rooms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Attendant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14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24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Housekeeping" displayName="tblHousekeeping" ref="A1:AE101" headerRowCount="1">
  <autoFilter ref="A1:AE101"/>
  <tableColumns count="31">
    <tableColumn id="1" name="Schedule Date"/>
    <tableColumn id="2" name="Room"/>
    <tableColumn id="3" name="Room Type"/>
    <tableColumn id="4" name="Floor"/>
    <tableColumn id="5" name="Occupancy Status"/>
    <tableColumn id="6" name="Cleaning Type"/>
    <tableColumn id="7" name="Priority"/>
    <tableColumn id="8" name="Assigned Attendant"/>
    <tableColumn id="9" name="Shift"/>
    <tableColumn id="10" name="Check-Out Time"/>
    <tableColumn id="11" name="Next Arrival"/>
    <tableColumn id="12" name="Planned Start"/>
    <tableColumn id="13" name="Planned Finish"/>
    <tableColumn id="14" name="Actual Start"/>
    <tableColumn id="15" name="Actual Finish"/>
    <tableColumn id="16" name="DND Status"/>
    <tableColumn id="17" name="Inspection Required"/>
    <tableColumn id="18" name="Inspector"/>
    <tableColumn id="19" name="Inspection Result"/>
    <tableColumn id="20" name="Ready Time"/>
    <tableColumn id="21" name="Estimated Minutes"/>
    <tableColumn id="22" name="Actual Minutes"/>
    <tableColumn id="23" name="Minute Variance"/>
    <tableColumn id="24" name="Estimated Labor Cost"/>
    <tableColumn id="25" name="Actual Labor Cost"/>
    <tableColumn id="26" name="Work Status"/>
    <tableColumn id="27" name="Room Ready"/>
    <tableColumn id="28" name="Ready On Time"/>
    <tableColumn id="29" name="Guest Request or Notes"/>
    <tableColumn id="30" name="External Reference"/>
    <tableColumn id="31" name="Operational Chec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Rooms" displayName="tblRooms" ref="A15:H115" headerRowCount="1">
  <autoFilter ref="A15:H115"/>
  <tableColumns count="8">
    <tableColumn id="1" name="Room"/>
    <tableColumn id="2" name="Room Type"/>
    <tableColumn id="3" name="Floor"/>
    <tableColumn id="4" name="Building or Wing"/>
    <tableColumn id="5" name="Standard Cleaning Zone"/>
    <tableColumn id="6" name="Inspection Required by Default"/>
    <tableColumn id="7" name="Active"/>
    <tableColumn id="8" name="Room Notes"/>
  </tableColumns>
  <tableStyleInfo name="TableStyleMedium2" showRowStripes="1"/>
</table>
</file>

<file path=xl/tables/table3.xml><?xml version="1.0" encoding="utf-8"?>
<table xmlns="http://schemas.openxmlformats.org/spreadsheetml/2006/main" id="3" name="tblStaff" displayName="tblStaff" ref="J15:S115" headerRowCount="1">
  <autoFilter ref="J15:S115"/>
  <tableColumns count="10">
    <tableColumn id="10" name="Staff Name"/>
    <tableColumn id="11" name="Role"/>
    <tableColumn id="12" name="Primary Shift"/>
    <tableColumn id="13" name="Shift Start"/>
    <tableColumn id="14" name="Shift End"/>
    <tableColumn id="15" name="Scheduled Hours"/>
    <tableColumn id="16" name="Hourly Rate"/>
    <tableColumn id="17" name="Primary Zone"/>
    <tableColumn id="18" name="Active"/>
    <tableColumn id="19" name="Supervisor Not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1"/>
  <sheetViews>
    <sheetView zoomScale="70" zoomScaleNormal="7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17" customWidth="1" min="3" max="3"/>
    <col width="18" customWidth="1" min="4" max="4"/>
    <col width="18" customWidth="1" min="5" max="5"/>
    <col width="20" customWidth="1" min="6" max="6"/>
    <col width="18" customWidth="1" min="7" max="7"/>
    <col width="14" customWidth="1" min="8" max="8"/>
    <col width="3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</cols>
  <sheetData>
    <row r="1" ht="28" customHeight="1">
      <c r="A1" s="1" t="inlineStr">
        <is>
          <t>Hotel Housekeeping Schedule</t>
        </is>
      </c>
    </row>
    <row r="2"/>
    <row r="3">
      <c r="A3" s="2" t="inlineStr">
        <is>
          <t>Operating Date</t>
        </is>
      </c>
      <c r="B3" s="3">
        <f>IFERROR(TODAY(),"")</f>
        <v/>
      </c>
      <c r="D3" s="4" t="inlineStr">
        <is>
          <t>Change the operating date to review another day. The dashboard summarizes schedule rows for the selected date.</t>
        </is>
      </c>
    </row>
    <row r="4">
      <c r="A4" s="2" t="inlineStr">
        <is>
          <t>As of Date/Time</t>
        </is>
      </c>
      <c r="B4" s="5">
        <f>IFERROR(NOW(),"")</f>
        <v/>
      </c>
    </row>
    <row r="5">
      <c r="A5" s="2" t="inlineStr">
        <is>
          <t>Property Name</t>
        </is>
      </c>
      <c r="B5" s="6" t="inlineStr">
        <is>
          <t>Harbor View Hotel</t>
        </is>
      </c>
    </row>
    <row r="6">
      <c r="A6" s="2" t="inlineStr">
        <is>
          <t>Default Shift</t>
        </is>
      </c>
      <c r="B6" s="6" t="inlineStr">
        <is>
          <t>Day</t>
        </is>
      </c>
    </row>
    <row r="7"/>
    <row r="8" ht="30" customHeight="1">
      <c r="A8" s="7" t="inlineStr">
        <is>
          <t>Rooms Scheduled</t>
        </is>
      </c>
      <c r="B8" s="8">
        <f>IFERROR(COUNTIFS('Housekeeping Schedule'!$A$2:$A$101,$B$3,'Housekeeping Schedule'!$F$2:$F$101,"&lt;&gt;Canceled"),0)</f>
        <v/>
      </c>
      <c r="C8" s="7" t="inlineStr">
        <is>
          <t>Completed</t>
        </is>
      </c>
      <c r="D8" s="8">
        <f>IFERROR(COUNTIFS('Housekeeping Schedule'!$A$2:$A$101,$B$3,'Housekeeping Schedule'!$Z$2:$Z$101,"Completed"),0)</f>
        <v/>
      </c>
      <c r="E8" s="7" t="inlineStr">
        <is>
          <t>In Progress</t>
        </is>
      </c>
      <c r="F8" s="8">
        <f>IFERROR(COUNTIFS('Housekeeping Schedule'!$A$2:$A$101,$B$3,'Housekeeping Schedule'!$Z$2:$Z$101,"In Progress"),0)</f>
        <v/>
      </c>
      <c r="G8" s="7" t="inlineStr">
        <is>
          <t>Not Started</t>
        </is>
      </c>
      <c r="H8" s="8">
        <f>IFERROR(COUNTIFS('Housekeeping Schedule'!$A$2:$A$101,$B$3,'Housekeeping Schedule'!$Z$2:$Z$101,"Not Started"),0)</f>
        <v/>
      </c>
      <c r="I8" s="7" t="inlineStr">
        <is>
          <t>Rooms Ready</t>
        </is>
      </c>
      <c r="J8" s="8">
        <f>IFERROR(COUNTIFS('Housekeeping Schedule'!$A$2:$A$101,$B$3,'Housekeeping Schedule'!$AA$2:$AA$101,"Yes"),0)</f>
        <v/>
      </c>
    </row>
    <row r="9"/>
    <row r="10"/>
    <row r="11" ht="30" customHeight="1">
      <c r="A11" s="7" t="inlineStr">
        <is>
          <t>Inspections Pending</t>
        </is>
      </c>
      <c r="B11" s="8">
        <f>IFERROR(COUNTIFS('Housekeeping Schedule'!$A$2:$A$101,$B$3,'Housekeeping Schedule'!$Q$2:$Q$101,"Yes",'Housekeeping Schedule'!$Z$2:$Z$101,"Completed",'Housekeeping Schedule'!$S$2:$S$101,""),0)</f>
        <v/>
      </c>
      <c r="C11" s="7" t="inlineStr">
        <is>
          <t>Operational Alerts</t>
        </is>
      </c>
      <c r="D11" s="8">
        <f>IFERROR(COUNTIFS('Housekeeping Schedule'!$A$2:$A$101,$B$3,'Housekeeping Schedule'!$AE$2:$AE$101,"&lt;&gt;OK",'Housekeeping Schedule'!$AE$2:$AE$101,"&lt;&gt;"),0)</f>
        <v/>
      </c>
      <c r="E11" s="7" t="inlineStr">
        <is>
          <t>Estimated Labor Hours</t>
        </is>
      </c>
      <c r="F11" s="8">
        <f>IFERROR(SUMIFS('Housekeeping Schedule'!$U$2:$U$101,'Housekeeping Schedule'!$A$2:$A$101,$B$3)/60,0)</f>
        <v/>
      </c>
      <c r="G11" s="7" t="inlineStr">
        <is>
          <t>Actual Labor Hours</t>
        </is>
      </c>
      <c r="H11" s="9">
        <f>IFERROR(SUMIFS('Housekeeping Schedule'!$V$2:$V$101,'Housekeeping Schedule'!$A$2:$A$101,$B$3)/60,0)</f>
        <v/>
      </c>
      <c r="I11" s="7" t="inlineStr">
        <is>
          <t>On-Time Ready Rate</t>
        </is>
      </c>
      <c r="J11" s="10">
        <f>IFERROR(COUNTIFS('Housekeeping Schedule'!$A$2:$A$101,$B$3,'Housekeeping Schedule'!$AA$2:$AA$101,"Yes",'Housekeeping Schedule'!$AB$2:$AB$101,"Yes")/COUNTIFS('Housekeeping Schedule'!$A$2:$A$101,$B$3,'Housekeeping Schedule'!$AA$2:$AA$101,"Yes"),0)</f>
        <v/>
      </c>
    </row>
    <row r="12"/>
    <row r="13"/>
    <row r="14"/>
    <row r="15">
      <c r="A15" s="11" t="inlineStr">
        <is>
          <t>Cleaning Status</t>
        </is>
      </c>
    </row>
    <row r="16">
      <c r="A16" s="12" t="inlineStr">
        <is>
          <t>Completed</t>
        </is>
      </c>
      <c r="B16" s="12">
        <f>IFERROR(COUNTIFS('Housekeeping Schedule'!$A$2:$A$101,$B$3,'Housekeeping Schedule'!$Z$2:$Z$101,A16),0)</f>
        <v/>
      </c>
    </row>
    <row r="17">
      <c r="A17" s="13" t="inlineStr">
        <is>
          <t>In Progress</t>
        </is>
      </c>
      <c r="B17" s="13">
        <f>IFERROR(COUNTIFS('Housekeeping Schedule'!$A$2:$A$101,$B$3,'Housekeeping Schedule'!$Z$2:$Z$101,A17),0)</f>
        <v/>
      </c>
    </row>
    <row r="18">
      <c r="A18" s="12" t="inlineStr">
        <is>
          <t>Not Started</t>
        </is>
      </c>
      <c r="B18" s="12">
        <f>IFERROR(COUNTIFS('Housekeeping Schedule'!$A$2:$A$101,$B$3,'Housekeeping Schedule'!$Z$2:$Z$101,A18),0)</f>
        <v/>
      </c>
    </row>
    <row r="19">
      <c r="A19" s="13" t="inlineStr">
        <is>
          <t>On Hold</t>
        </is>
      </c>
      <c r="B19" s="13">
        <f>IFERROR(COUNTIFS('Housekeeping Schedule'!$A$2:$A$101,$B$3,'Housekeeping Schedule'!$Z$2:$Z$101,A19),0)</f>
        <v/>
      </c>
    </row>
    <row r="20">
      <c r="A20" s="12" t="inlineStr">
        <is>
          <t>Canceled</t>
        </is>
      </c>
      <c r="B20" s="12">
        <f>IFERROR(COUNTIFS('Housekeeping Schedule'!$A$2:$A$101,$B$3,'Housekeeping Schedule'!$Z$2:$Z$101,A20),0)</f>
        <v/>
      </c>
    </row>
    <row r="21"/>
    <row r="22"/>
    <row r="23">
      <c r="A23" s="11" t="inlineStr">
        <is>
          <t>Workload by Attendant</t>
        </is>
      </c>
    </row>
    <row r="24">
      <c r="A24" s="14" t="inlineStr">
        <is>
          <t>Attendant</t>
        </is>
      </c>
      <c r="B24" s="14" t="inlineStr">
        <is>
          <t>Assigned Rooms</t>
        </is>
      </c>
      <c r="C24" s="14" t="inlineStr">
        <is>
          <t>Completed Rooms</t>
        </is>
      </c>
      <c r="D24" s="14" t="inlineStr">
        <is>
          <t>Estimated Hours</t>
        </is>
      </c>
      <c r="E24" s="14" t="inlineStr">
        <is>
          <t>Actual Hours</t>
        </is>
      </c>
      <c r="F24" s="14" t="inlineStr">
        <is>
          <t>Rooms per Scheduled Hour</t>
        </is>
      </c>
      <c r="G24" s="14" t="inlineStr">
        <is>
          <t>Capacity Status</t>
        </is>
      </c>
    </row>
    <row r="25">
      <c r="A25" s="12" t="inlineStr">
        <is>
          <t>Maria Lopez</t>
        </is>
      </c>
      <c r="B25" s="12">
        <f>IFERROR(COUNTIFS('Housekeeping Schedule'!$A$2:$A$101,$B$3,'Housekeeping Schedule'!$H$2:$H$101,$A25,'Housekeeping Schedule'!$F$2:$F$101,"&lt;&gt;Canceled"),0)</f>
        <v/>
      </c>
      <c r="C25" s="12">
        <f>IFERROR(COUNTIFS('Housekeeping Schedule'!$A$2:$A$101,$B$3,'Housekeeping Schedule'!$H$2:$H$101,$A25,'Housekeeping Schedule'!$Z$2:$Z$101,"Completed"),0)</f>
        <v/>
      </c>
      <c r="D25" s="15">
        <f>IFERROR(SUMIFS('Housekeeping Schedule'!$U$2:$U$101,'Housekeeping Schedule'!$A$2:$A$101,$B$3,'Housekeeping Schedule'!$H$2:$H$101,$A25)/60,0)</f>
        <v/>
      </c>
      <c r="E25" s="15">
        <f>IFERROR(SUMIFS('Housekeeping Schedule'!$V$2:$V$101,'Housekeeping Schedule'!$A$2:$A$101,$B$3,'Housekeeping Schedule'!$H$2:$H$101,$A25)/60,0)</f>
        <v/>
      </c>
      <c r="F25" s="15">
        <f>IFERROR(B25/VLOOKUP(A25,'Rooms and Staff'!$J$16:$O$115,6,0),0)</f>
        <v/>
      </c>
      <c r="G25" s="12">
        <f>IFERROR(IF(B25&gt;'Rooms and Staff'!$B$10,"Over Capacity",IF(B25&gt;='Rooms and Staff'!$B$10*0.9,"Near Capacity","Within Capacity")),"")</f>
        <v/>
      </c>
    </row>
    <row r="26">
      <c r="A26" s="13" t="inlineStr">
        <is>
          <t>James Carter</t>
        </is>
      </c>
      <c r="B26" s="13">
        <f>IFERROR(COUNTIFS('Housekeeping Schedule'!$A$2:$A$101,$B$3,'Housekeeping Schedule'!$H$2:$H$101,$A26,'Housekeeping Schedule'!$F$2:$F$101,"&lt;&gt;Canceled"),0)</f>
        <v/>
      </c>
      <c r="C26" s="13">
        <f>IFERROR(COUNTIFS('Housekeeping Schedule'!$A$2:$A$101,$B$3,'Housekeeping Schedule'!$H$2:$H$101,$A26,'Housekeeping Schedule'!$Z$2:$Z$101,"Completed"),0)</f>
        <v/>
      </c>
      <c r="D26" s="16">
        <f>IFERROR(SUMIFS('Housekeeping Schedule'!$U$2:$U$101,'Housekeeping Schedule'!$A$2:$A$101,$B$3,'Housekeeping Schedule'!$H$2:$H$101,$A26)/60,0)</f>
        <v/>
      </c>
      <c r="E26" s="16">
        <f>IFERROR(SUMIFS('Housekeeping Schedule'!$V$2:$V$101,'Housekeeping Schedule'!$A$2:$A$101,$B$3,'Housekeeping Schedule'!$H$2:$H$101,$A26)/60,0)</f>
        <v/>
      </c>
      <c r="F26" s="16">
        <f>IFERROR(B26/VLOOKUP(A26,'Rooms and Staff'!$J$16:$O$115,6,0),0)</f>
        <v/>
      </c>
      <c r="G26" s="13">
        <f>IFERROR(IF(B26&gt;'Rooms and Staff'!$B$10,"Over Capacity",IF(B26&gt;='Rooms and Staff'!$B$10*0.9,"Near Capacity","Within Capacity")),"")</f>
        <v/>
      </c>
    </row>
    <row r="27">
      <c r="A27" s="12" t="inlineStr">
        <is>
          <t>Denise Williams</t>
        </is>
      </c>
      <c r="B27" s="12">
        <f>IFERROR(COUNTIFS('Housekeeping Schedule'!$A$2:$A$101,$B$3,'Housekeeping Schedule'!$H$2:$H$101,$A27,'Housekeeping Schedule'!$F$2:$F$101,"&lt;&gt;Canceled"),0)</f>
        <v/>
      </c>
      <c r="C27" s="12">
        <f>IFERROR(COUNTIFS('Housekeeping Schedule'!$A$2:$A$101,$B$3,'Housekeeping Schedule'!$H$2:$H$101,$A27,'Housekeeping Schedule'!$Z$2:$Z$101,"Completed"),0)</f>
        <v/>
      </c>
      <c r="D27" s="15">
        <f>IFERROR(SUMIFS('Housekeeping Schedule'!$U$2:$U$101,'Housekeeping Schedule'!$A$2:$A$101,$B$3,'Housekeeping Schedule'!$H$2:$H$101,$A27)/60,0)</f>
        <v/>
      </c>
      <c r="E27" s="15">
        <f>IFERROR(SUMIFS('Housekeeping Schedule'!$V$2:$V$101,'Housekeeping Schedule'!$A$2:$A$101,$B$3,'Housekeeping Schedule'!$H$2:$H$101,$A27)/60,0)</f>
        <v/>
      </c>
      <c r="F27" s="15">
        <f>IFERROR(B27/VLOOKUP(A27,'Rooms and Staff'!$J$16:$O$115,6,0),0)</f>
        <v/>
      </c>
      <c r="G27" s="12">
        <f>IFERROR(IF(B27&gt;'Rooms and Staff'!$B$10,"Over Capacity",IF(B27&gt;='Rooms and Staff'!$B$10*0.9,"Near Capacity","Within Capacity")),"")</f>
        <v/>
      </c>
    </row>
    <row r="28">
      <c r="A28" s="13" t="inlineStr">
        <is>
          <t>Kevin Nguyen</t>
        </is>
      </c>
      <c r="B28" s="13">
        <f>IFERROR(COUNTIFS('Housekeeping Schedule'!$A$2:$A$101,$B$3,'Housekeeping Schedule'!$H$2:$H$101,$A28,'Housekeeping Schedule'!$F$2:$F$101,"&lt;&gt;Canceled"),0)</f>
        <v/>
      </c>
      <c r="C28" s="13">
        <f>IFERROR(COUNTIFS('Housekeeping Schedule'!$A$2:$A$101,$B$3,'Housekeeping Schedule'!$H$2:$H$101,$A28,'Housekeeping Schedule'!$Z$2:$Z$101,"Completed"),0)</f>
        <v/>
      </c>
      <c r="D28" s="16">
        <f>IFERROR(SUMIFS('Housekeeping Schedule'!$U$2:$U$101,'Housekeeping Schedule'!$A$2:$A$101,$B$3,'Housekeeping Schedule'!$H$2:$H$101,$A28)/60,0)</f>
        <v/>
      </c>
      <c r="E28" s="16">
        <f>IFERROR(SUMIFS('Housekeeping Schedule'!$V$2:$V$101,'Housekeeping Schedule'!$A$2:$A$101,$B$3,'Housekeeping Schedule'!$H$2:$H$101,$A28)/60,0)</f>
        <v/>
      </c>
      <c r="F28" s="16">
        <f>IFERROR(B28/VLOOKUP(A28,'Rooms and Staff'!$J$16:$O$115,6,0),0)</f>
        <v/>
      </c>
      <c r="G28" s="13">
        <f>IFERROR(IF(B28&gt;'Rooms and Staff'!$B$10,"Over Capacity",IF(B28&gt;='Rooms and Staff'!$B$10*0.9,"Near Capacity","Within Capacity")),"")</f>
        <v/>
      </c>
    </row>
    <row r="29">
      <c r="A29" s="12" t="inlineStr">
        <is>
          <t>Rosa Martinez</t>
        </is>
      </c>
      <c r="B29" s="12">
        <f>IFERROR(COUNTIFS('Housekeeping Schedule'!$A$2:$A$101,$B$3,'Housekeeping Schedule'!$H$2:$H$101,$A29,'Housekeeping Schedule'!$F$2:$F$101,"&lt;&gt;Canceled"),0)</f>
        <v/>
      </c>
      <c r="C29" s="12">
        <f>IFERROR(COUNTIFS('Housekeeping Schedule'!$A$2:$A$101,$B$3,'Housekeeping Schedule'!$H$2:$H$101,$A29,'Housekeeping Schedule'!$Z$2:$Z$101,"Completed"),0)</f>
        <v/>
      </c>
      <c r="D29" s="15">
        <f>IFERROR(SUMIFS('Housekeeping Schedule'!$U$2:$U$101,'Housekeeping Schedule'!$A$2:$A$101,$B$3,'Housekeeping Schedule'!$H$2:$H$101,$A29)/60,0)</f>
        <v/>
      </c>
      <c r="E29" s="15">
        <f>IFERROR(SUMIFS('Housekeeping Schedule'!$V$2:$V$101,'Housekeeping Schedule'!$A$2:$A$101,$B$3,'Housekeeping Schedule'!$H$2:$H$101,$A29)/60,0)</f>
        <v/>
      </c>
      <c r="F29" s="15">
        <f>IFERROR(B29/VLOOKUP(A29,'Rooms and Staff'!$J$16:$O$115,6,0),0)</f>
        <v/>
      </c>
      <c r="G29" s="12">
        <f>IFERROR(IF(B29&gt;'Rooms and Staff'!$B$10,"Over Capacity",IF(B29&gt;='Rooms and Staff'!$B$10*0.9,"Near Capacity","Within Capacity")),"")</f>
        <v/>
      </c>
    </row>
    <row r="30">
      <c r="A30" s="13" t="inlineStr">
        <is>
          <t>Alicia Brown</t>
        </is>
      </c>
      <c r="B30" s="13">
        <f>IFERROR(COUNTIFS('Housekeeping Schedule'!$A$2:$A$101,$B$3,'Housekeeping Schedule'!$H$2:$H$101,$A30,'Housekeeping Schedule'!$F$2:$F$101,"&lt;&gt;Canceled"),0)</f>
        <v/>
      </c>
      <c r="C30" s="13">
        <f>IFERROR(COUNTIFS('Housekeeping Schedule'!$A$2:$A$101,$B$3,'Housekeeping Schedule'!$H$2:$H$101,$A30,'Housekeeping Schedule'!$Z$2:$Z$101,"Completed"),0)</f>
        <v/>
      </c>
      <c r="D30" s="16">
        <f>IFERROR(SUMIFS('Housekeeping Schedule'!$U$2:$U$101,'Housekeeping Schedule'!$A$2:$A$101,$B$3,'Housekeeping Schedule'!$H$2:$H$101,$A30)/60,0)</f>
        <v/>
      </c>
      <c r="E30" s="16">
        <f>IFERROR(SUMIFS('Housekeeping Schedule'!$V$2:$V$101,'Housekeeping Schedule'!$A$2:$A$101,$B$3,'Housekeeping Schedule'!$H$2:$H$101,$A30)/60,0)</f>
        <v/>
      </c>
      <c r="F30" s="16">
        <f>IFERROR(B30/VLOOKUP(A30,'Rooms and Staff'!$J$16:$O$115,6,0),0)</f>
        <v/>
      </c>
      <c r="G30" s="13">
        <f>IFERROR(IF(B30&gt;'Rooms and Staff'!$B$10,"Over Capacity",IF(B30&gt;='Rooms and Staff'!$B$10*0.9,"Near Capacity","Within Capacity")),"")</f>
        <v/>
      </c>
    </row>
    <row r="31">
      <c r="A31" s="12" t="inlineStr">
        <is>
          <t>Thomas Reed</t>
        </is>
      </c>
      <c r="B31" s="12">
        <f>IFERROR(COUNTIFS('Housekeeping Schedule'!$A$2:$A$101,$B$3,'Housekeeping Schedule'!$H$2:$H$101,$A31,'Housekeeping Schedule'!$F$2:$F$101,"&lt;&gt;Canceled"),0)</f>
        <v/>
      </c>
      <c r="C31" s="12">
        <f>IFERROR(COUNTIFS('Housekeeping Schedule'!$A$2:$A$101,$B$3,'Housekeeping Schedule'!$H$2:$H$101,$A31,'Housekeeping Schedule'!$Z$2:$Z$101,"Completed"),0)</f>
        <v/>
      </c>
      <c r="D31" s="15">
        <f>IFERROR(SUMIFS('Housekeeping Schedule'!$U$2:$U$101,'Housekeeping Schedule'!$A$2:$A$101,$B$3,'Housekeeping Schedule'!$H$2:$H$101,$A31)/60,0)</f>
        <v/>
      </c>
      <c r="E31" s="15">
        <f>IFERROR(SUMIFS('Housekeeping Schedule'!$V$2:$V$101,'Housekeeping Schedule'!$A$2:$A$101,$B$3,'Housekeeping Schedule'!$H$2:$H$101,$A31)/60,0)</f>
        <v/>
      </c>
      <c r="F31" s="15">
        <f>IFERROR(B31/VLOOKUP(A31,'Rooms and Staff'!$J$16:$O$115,6,0),0)</f>
        <v/>
      </c>
      <c r="G31" s="12">
        <f>IFERROR(IF(B31&gt;'Rooms and Staff'!$B$10,"Over Capacity",IF(B31&gt;='Rooms and Staff'!$B$10*0.9,"Near Capacity","Within Capacity")),"")</f>
        <v/>
      </c>
    </row>
    <row r="32">
      <c r="A32" s="13" t="inlineStr">
        <is>
          <t>Nicole Davis</t>
        </is>
      </c>
      <c r="B32" s="13">
        <f>IFERROR(COUNTIFS('Housekeeping Schedule'!$A$2:$A$101,$B$3,'Housekeeping Schedule'!$H$2:$H$101,$A32,'Housekeeping Schedule'!$F$2:$F$101,"&lt;&gt;Canceled"),0)</f>
        <v/>
      </c>
      <c r="C32" s="13">
        <f>IFERROR(COUNTIFS('Housekeeping Schedule'!$A$2:$A$101,$B$3,'Housekeeping Schedule'!$H$2:$H$101,$A32,'Housekeeping Schedule'!$Z$2:$Z$101,"Completed"),0)</f>
        <v/>
      </c>
      <c r="D32" s="16">
        <f>IFERROR(SUMIFS('Housekeeping Schedule'!$U$2:$U$101,'Housekeeping Schedule'!$A$2:$A$101,$B$3,'Housekeeping Schedule'!$H$2:$H$101,$A32)/60,0)</f>
        <v/>
      </c>
      <c r="E32" s="16">
        <f>IFERROR(SUMIFS('Housekeeping Schedule'!$V$2:$V$101,'Housekeeping Schedule'!$A$2:$A$101,$B$3,'Housekeeping Schedule'!$H$2:$H$101,$A32)/60,0)</f>
        <v/>
      </c>
      <c r="F32" s="16">
        <f>IFERROR(B32/VLOOKUP(A32,'Rooms and Staff'!$J$16:$O$115,6,0),0)</f>
        <v/>
      </c>
      <c r="G32" s="13">
        <f>IFERROR(IF(B32&gt;'Rooms and Staff'!$B$10,"Over Capacity",IF(B32&gt;='Rooms and Staff'!$B$10*0.9,"Near Capacity","Within Capacity")),"")</f>
        <v/>
      </c>
    </row>
    <row r="33">
      <c r="F33">
        <f>""</f>
        <v/>
      </c>
      <c r="G33">
        <f>""</f>
        <v/>
      </c>
    </row>
    <row r="34">
      <c r="F34">
        <f>""</f>
        <v/>
      </c>
      <c r="G34">
        <f>""</f>
        <v/>
      </c>
    </row>
    <row r="35">
      <c r="A35" s="11" t="inlineStr">
        <is>
          <t>Rooms Requiring Attention</t>
        </is>
      </c>
      <c r="F35">
        <f>""</f>
        <v/>
      </c>
      <c r="G35">
        <f>""</f>
        <v/>
      </c>
    </row>
    <row r="36">
      <c r="A36" s="17" t="inlineStr">
        <is>
          <t>Room</t>
        </is>
      </c>
      <c r="B36" s="17" t="inlineStr">
        <is>
          <t>Assigned Attendant</t>
        </is>
      </c>
      <c r="C36" s="17" t="inlineStr">
        <is>
          <t>Work Status</t>
        </is>
      </c>
      <c r="D36" s="17" t="inlineStr">
        <is>
          <t>Next Arrival</t>
        </is>
      </c>
      <c r="E36" s="17" t="inlineStr">
        <is>
          <t>Operational Check</t>
        </is>
      </c>
      <c r="F36">
        <f>""</f>
        <v/>
      </c>
      <c r="G36">
        <f>""</f>
        <v/>
      </c>
    </row>
    <row r="37">
      <c r="A37" s="12">
        <f>IFERROR(INDEX('Housekeeping Schedule'!$B$2:$B$101,MATCH(1,'Housekeeping Schedule'!$AH$2:$AH$101,0)),"")</f>
        <v/>
      </c>
      <c r="B37" s="12">
        <f>IFERROR(INDEX('Housekeeping Schedule'!$H$2:$H$101,MATCH(1,'Housekeeping Schedule'!$AH$2:$AH$101,0)),"")</f>
        <v/>
      </c>
      <c r="C37" s="12">
        <f>IFERROR(INDEX('Housekeeping Schedule'!$Z$2:$Z$101,MATCH(1,'Housekeeping Schedule'!$AH$2:$AH$101,0)),"")</f>
        <v/>
      </c>
      <c r="D37" s="18">
        <f>IFERROR(INDEX('Housekeeping Schedule'!$K$2:$K$101,MATCH(1,'Housekeeping Schedule'!$AH$2:$AH$101,0)),"")</f>
        <v/>
      </c>
      <c r="E37" s="12">
        <f>IFERROR(INDEX('Housekeeping Schedule'!$AE$2:$AE$101,MATCH(1,'Housekeeping Schedule'!$AH$2:$AH$101,0)),"")</f>
        <v/>
      </c>
      <c r="F37">
        <f>""</f>
        <v/>
      </c>
      <c r="G37">
        <f>""</f>
        <v/>
      </c>
    </row>
    <row r="38">
      <c r="A38" s="13">
        <f>IFERROR(INDEX('Housekeeping Schedule'!$B$2:$B$101,MATCH(2,'Housekeeping Schedule'!$AH$2:$AH$101,0)),"")</f>
        <v/>
      </c>
      <c r="B38" s="13">
        <f>IFERROR(INDEX('Housekeeping Schedule'!$H$2:$H$101,MATCH(2,'Housekeeping Schedule'!$AH$2:$AH$101,0)),"")</f>
        <v/>
      </c>
      <c r="C38" s="13">
        <f>IFERROR(INDEX('Housekeeping Schedule'!$Z$2:$Z$101,MATCH(2,'Housekeeping Schedule'!$AH$2:$AH$101,0)),"")</f>
        <v/>
      </c>
      <c r="D38" s="19">
        <f>IFERROR(INDEX('Housekeeping Schedule'!$K$2:$K$101,MATCH(2,'Housekeeping Schedule'!$AH$2:$AH$101,0)),"")</f>
        <v/>
      </c>
      <c r="E38" s="13">
        <f>IFERROR(INDEX('Housekeeping Schedule'!$AE$2:$AE$101,MATCH(2,'Housekeeping Schedule'!$AH$2:$AH$101,0)),"")</f>
        <v/>
      </c>
      <c r="F38">
        <f>""</f>
        <v/>
      </c>
      <c r="G38">
        <f>""</f>
        <v/>
      </c>
    </row>
    <row r="39">
      <c r="A39" s="12">
        <f>IFERROR(INDEX('Housekeeping Schedule'!$B$2:$B$101,MATCH(3,'Housekeeping Schedule'!$AH$2:$AH$101,0)),"")</f>
        <v/>
      </c>
      <c r="B39" s="12">
        <f>IFERROR(INDEX('Housekeeping Schedule'!$H$2:$H$101,MATCH(3,'Housekeeping Schedule'!$AH$2:$AH$101,0)),"")</f>
        <v/>
      </c>
      <c r="C39" s="12">
        <f>IFERROR(INDEX('Housekeeping Schedule'!$Z$2:$Z$101,MATCH(3,'Housekeeping Schedule'!$AH$2:$AH$101,0)),"")</f>
        <v/>
      </c>
      <c r="D39" s="18">
        <f>IFERROR(INDEX('Housekeeping Schedule'!$K$2:$K$101,MATCH(3,'Housekeeping Schedule'!$AH$2:$AH$101,0)),"")</f>
        <v/>
      </c>
      <c r="E39" s="12">
        <f>IFERROR(INDEX('Housekeeping Schedule'!$AE$2:$AE$101,MATCH(3,'Housekeeping Schedule'!$AH$2:$AH$101,0)),"")</f>
        <v/>
      </c>
      <c r="F39">
        <f>""</f>
        <v/>
      </c>
      <c r="G39">
        <f>""</f>
        <v/>
      </c>
    </row>
    <row r="40">
      <c r="A40" s="13">
        <f>IFERROR(INDEX('Housekeeping Schedule'!$B$2:$B$101,MATCH(4,'Housekeeping Schedule'!$AH$2:$AH$101,0)),"")</f>
        <v/>
      </c>
      <c r="B40" s="13">
        <f>IFERROR(INDEX('Housekeeping Schedule'!$H$2:$H$101,MATCH(4,'Housekeeping Schedule'!$AH$2:$AH$101,0)),"")</f>
        <v/>
      </c>
      <c r="C40" s="13">
        <f>IFERROR(INDEX('Housekeeping Schedule'!$Z$2:$Z$101,MATCH(4,'Housekeeping Schedule'!$AH$2:$AH$101,0)),"")</f>
        <v/>
      </c>
      <c r="D40" s="19">
        <f>IFERROR(INDEX('Housekeeping Schedule'!$K$2:$K$101,MATCH(4,'Housekeeping Schedule'!$AH$2:$AH$101,0)),"")</f>
        <v/>
      </c>
      <c r="E40" s="13">
        <f>IFERROR(INDEX('Housekeeping Schedule'!$AE$2:$AE$101,MATCH(4,'Housekeeping Schedule'!$AH$2:$AH$101,0)),"")</f>
        <v/>
      </c>
      <c r="F40">
        <f>""</f>
        <v/>
      </c>
      <c r="G40">
        <f>""</f>
        <v/>
      </c>
    </row>
    <row r="41">
      <c r="A41" s="12">
        <f>IFERROR(INDEX('Housekeeping Schedule'!$B$2:$B$101,MATCH(5,'Housekeeping Schedule'!$AH$2:$AH$101,0)),"")</f>
        <v/>
      </c>
      <c r="B41" s="12">
        <f>IFERROR(INDEX('Housekeeping Schedule'!$H$2:$H$101,MATCH(5,'Housekeeping Schedule'!$AH$2:$AH$101,0)),"")</f>
        <v/>
      </c>
      <c r="C41" s="12">
        <f>IFERROR(INDEX('Housekeeping Schedule'!$Z$2:$Z$101,MATCH(5,'Housekeeping Schedule'!$AH$2:$AH$101,0)),"")</f>
        <v/>
      </c>
      <c r="D41" s="18">
        <f>IFERROR(INDEX('Housekeeping Schedule'!$K$2:$K$101,MATCH(5,'Housekeeping Schedule'!$AH$2:$AH$101,0)),"")</f>
        <v/>
      </c>
      <c r="E41" s="12">
        <f>IFERROR(INDEX('Housekeeping Schedule'!$AE$2:$AE$101,MATCH(5,'Housekeeping Schedule'!$AH$2:$AH$101,0)),"")</f>
        <v/>
      </c>
      <c r="F41">
        <f>""</f>
        <v/>
      </c>
      <c r="G41">
        <f>""</f>
        <v/>
      </c>
    </row>
    <row r="42">
      <c r="A42" s="13">
        <f>IFERROR(INDEX('Housekeeping Schedule'!$B$2:$B$101,MATCH(6,'Housekeeping Schedule'!$AH$2:$AH$101,0)),"")</f>
        <v/>
      </c>
      <c r="B42" s="13">
        <f>IFERROR(INDEX('Housekeeping Schedule'!$H$2:$H$101,MATCH(6,'Housekeeping Schedule'!$AH$2:$AH$101,0)),"")</f>
        <v/>
      </c>
      <c r="C42" s="13">
        <f>IFERROR(INDEX('Housekeeping Schedule'!$Z$2:$Z$101,MATCH(6,'Housekeeping Schedule'!$AH$2:$AH$101,0)),"")</f>
        <v/>
      </c>
      <c r="D42" s="19">
        <f>IFERROR(INDEX('Housekeeping Schedule'!$K$2:$K$101,MATCH(6,'Housekeeping Schedule'!$AH$2:$AH$101,0)),"")</f>
        <v/>
      </c>
      <c r="E42" s="13">
        <f>IFERROR(INDEX('Housekeeping Schedule'!$AE$2:$AE$101,MATCH(6,'Housekeeping Schedule'!$AH$2:$AH$101,0)),"")</f>
        <v/>
      </c>
      <c r="F42">
        <f>""</f>
        <v/>
      </c>
      <c r="G42">
        <f>""</f>
        <v/>
      </c>
    </row>
    <row r="43">
      <c r="A43" s="12">
        <f>IFERROR(INDEX('Housekeeping Schedule'!$B$2:$B$101,MATCH(7,'Housekeeping Schedule'!$AH$2:$AH$101,0)),"")</f>
        <v/>
      </c>
      <c r="B43" s="12">
        <f>IFERROR(INDEX('Housekeeping Schedule'!$H$2:$H$101,MATCH(7,'Housekeeping Schedule'!$AH$2:$AH$101,0)),"")</f>
        <v/>
      </c>
      <c r="C43" s="12">
        <f>IFERROR(INDEX('Housekeeping Schedule'!$Z$2:$Z$101,MATCH(7,'Housekeeping Schedule'!$AH$2:$AH$101,0)),"")</f>
        <v/>
      </c>
      <c r="D43" s="18">
        <f>IFERROR(INDEX('Housekeeping Schedule'!$K$2:$K$101,MATCH(7,'Housekeeping Schedule'!$AH$2:$AH$101,0)),"")</f>
        <v/>
      </c>
      <c r="E43" s="12">
        <f>IFERROR(INDEX('Housekeeping Schedule'!$AE$2:$AE$101,MATCH(7,'Housekeeping Schedule'!$AH$2:$AH$101,0)),"")</f>
        <v/>
      </c>
      <c r="F43">
        <f>""</f>
        <v/>
      </c>
      <c r="G43">
        <f>""</f>
        <v/>
      </c>
    </row>
    <row r="44">
      <c r="A44" s="13">
        <f>IFERROR(INDEX('Housekeeping Schedule'!$B$2:$B$101,MATCH(8,'Housekeeping Schedule'!$AH$2:$AH$101,0)),"")</f>
        <v/>
      </c>
      <c r="B44" s="13">
        <f>IFERROR(INDEX('Housekeeping Schedule'!$H$2:$H$101,MATCH(8,'Housekeeping Schedule'!$AH$2:$AH$101,0)),"")</f>
        <v/>
      </c>
      <c r="C44" s="13">
        <f>IFERROR(INDEX('Housekeeping Schedule'!$Z$2:$Z$101,MATCH(8,'Housekeeping Schedule'!$AH$2:$AH$101,0)),"")</f>
        <v/>
      </c>
      <c r="D44" s="19">
        <f>IFERROR(INDEX('Housekeeping Schedule'!$K$2:$K$101,MATCH(8,'Housekeeping Schedule'!$AH$2:$AH$101,0)),"")</f>
        <v/>
      </c>
      <c r="E44" s="13">
        <f>IFERROR(INDEX('Housekeeping Schedule'!$AE$2:$AE$101,MATCH(8,'Housekeeping Schedule'!$AH$2:$AH$101,0)),"")</f>
        <v/>
      </c>
      <c r="F44">
        <f>""</f>
        <v/>
      </c>
      <c r="G44">
        <f>""</f>
        <v/>
      </c>
    </row>
    <row r="45">
      <c r="A45" s="12">
        <f>IFERROR(INDEX('Housekeeping Schedule'!$B$2:$B$101,MATCH(9,'Housekeeping Schedule'!$AH$2:$AH$101,0)),"")</f>
        <v/>
      </c>
      <c r="B45" s="12">
        <f>IFERROR(INDEX('Housekeeping Schedule'!$H$2:$H$101,MATCH(9,'Housekeeping Schedule'!$AH$2:$AH$101,0)),"")</f>
        <v/>
      </c>
      <c r="C45" s="12">
        <f>IFERROR(INDEX('Housekeeping Schedule'!$Z$2:$Z$101,MATCH(9,'Housekeeping Schedule'!$AH$2:$AH$101,0)),"")</f>
        <v/>
      </c>
      <c r="D45" s="18">
        <f>IFERROR(INDEX('Housekeeping Schedule'!$K$2:$K$101,MATCH(9,'Housekeeping Schedule'!$AH$2:$AH$101,0)),"")</f>
        <v/>
      </c>
      <c r="E45" s="12">
        <f>IFERROR(INDEX('Housekeeping Schedule'!$AE$2:$AE$101,MATCH(9,'Housekeeping Schedule'!$AH$2:$AH$101,0)),"")</f>
        <v/>
      </c>
      <c r="F45">
        <f>""</f>
        <v/>
      </c>
      <c r="G45">
        <f>""</f>
        <v/>
      </c>
    </row>
    <row r="46">
      <c r="A46" s="13">
        <f>IFERROR(INDEX('Housekeeping Schedule'!$B$2:$B$101,MATCH(10,'Housekeeping Schedule'!$AH$2:$AH$101,0)),"")</f>
        <v/>
      </c>
      <c r="B46" s="13">
        <f>IFERROR(INDEX('Housekeeping Schedule'!$H$2:$H$101,MATCH(10,'Housekeeping Schedule'!$AH$2:$AH$101,0)),"")</f>
        <v/>
      </c>
      <c r="C46" s="13">
        <f>IFERROR(INDEX('Housekeeping Schedule'!$Z$2:$Z$101,MATCH(10,'Housekeeping Schedule'!$AH$2:$AH$101,0)),"")</f>
        <v/>
      </c>
      <c r="D46" s="19">
        <f>IFERROR(INDEX('Housekeeping Schedule'!$K$2:$K$101,MATCH(10,'Housekeeping Schedule'!$AH$2:$AH$101,0)),"")</f>
        <v/>
      </c>
      <c r="E46" s="13">
        <f>IFERROR(INDEX('Housekeeping Schedule'!$AE$2:$AE$101,MATCH(10,'Housekeeping Schedule'!$AH$2:$AH$101,0)),"")</f>
        <v/>
      </c>
      <c r="F46">
        <f>""</f>
        <v/>
      </c>
      <c r="G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</row>
    <row r="48">
      <c r="A48" s="20">
        <f>IFERROR(IF($N$8=0,"No current operational alerts","Review the rooms listed above before expected arrivals."),"")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</row>
  </sheetData>
  <mergeCells count="2">
    <mergeCell ref="D3:H5"/>
    <mergeCell ref="A1:H1"/>
  </mergeCells>
  <conditionalFormatting sqref="N8">
    <cfRule type="cellIs" priority="1" operator="greaterThan" dxfId="0">
      <formula>0</formula>
    </cfRule>
  </conditionalFormatting>
  <conditionalFormatting sqref="J11">
    <cfRule type="cellIs" priority="2" operator="lessThan" dxfId="0">
      <formula>'Rooms and Staff'!$B$13</formula>
    </cfRule>
    <cfRule type="cellIs" priority="3" operator="greaterThanOrEqual" dxfId="1">
      <formula>'Rooms and Staff'!$B$13</formula>
    </cfRule>
  </conditionalFormatting>
  <conditionalFormatting sqref="G25:G32">
    <cfRule type="expression" priority="4" dxfId="0">
      <formula>G25="Over Capacity"</formula>
    </cfRule>
    <cfRule type="expression" priority="5" dxfId="2">
      <formula>G25="Near Capacity"</formula>
    </cfRule>
  </conditionalFormatting>
  <conditionalFormatting sqref="A48:E48">
    <cfRule type="expression" priority="6" dxfId="1">
      <formula>$N$8=0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H101"/>
  <sheetViews>
    <sheetView zoomScale="70" zoomScaleNormal="7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8" customWidth="1" min="3" max="3"/>
    <col width="8" customWidth="1" min="4" max="4"/>
    <col width="18" customWidth="1" min="5" max="5"/>
    <col width="15" customWidth="1" min="6" max="6"/>
    <col width="12" customWidth="1" min="7" max="7"/>
    <col width="20" customWidth="1" min="8" max="8"/>
    <col width="11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20" customWidth="1" min="18" max="18"/>
    <col width="18" customWidth="1" min="19" max="19"/>
    <col width="18" customWidth="1" min="20" max="20"/>
    <col width="15" customWidth="1" min="21" max="21"/>
    <col width="14" customWidth="1" min="22" max="22"/>
    <col width="14" customWidth="1" min="23" max="23"/>
    <col width="17" customWidth="1" min="24" max="24"/>
    <col width="17" customWidth="1" min="25" max="25"/>
    <col width="15" customWidth="1" min="26" max="26"/>
    <col width="12" customWidth="1" min="27" max="27"/>
    <col width="14" customWidth="1" min="28" max="28"/>
    <col width="34" customWidth="1" min="29" max="29"/>
    <col width="18" customWidth="1" min="30" max="30"/>
    <col width="31" customWidth="1" min="31" max="31"/>
    <col hidden="1" width="13" customWidth="1" min="34" max="34"/>
  </cols>
  <sheetData>
    <row r="1" ht="42" customHeight="1">
      <c r="A1" s="21" t="inlineStr">
        <is>
          <t>Schedule Date</t>
        </is>
      </c>
      <c r="B1" s="21" t="inlineStr">
        <is>
          <t>Room</t>
        </is>
      </c>
      <c r="C1" s="21" t="inlineStr">
        <is>
          <t>Room Type</t>
        </is>
      </c>
      <c r="D1" s="21" t="inlineStr">
        <is>
          <t>Floor</t>
        </is>
      </c>
      <c r="E1" s="21" t="inlineStr">
        <is>
          <t>Occupancy Status</t>
        </is>
      </c>
      <c r="F1" s="21" t="inlineStr">
        <is>
          <t>Cleaning Type</t>
        </is>
      </c>
      <c r="G1" s="21" t="inlineStr">
        <is>
          <t>Priority</t>
        </is>
      </c>
      <c r="H1" s="21" t="inlineStr">
        <is>
          <t>Assigned Attendant</t>
        </is>
      </c>
      <c r="I1" s="21" t="inlineStr">
        <is>
          <t>Shift</t>
        </is>
      </c>
      <c r="J1" s="21" t="inlineStr">
        <is>
          <t>Check-Out Time</t>
        </is>
      </c>
      <c r="K1" s="21" t="inlineStr">
        <is>
          <t>Next Arrival</t>
        </is>
      </c>
      <c r="L1" s="21" t="inlineStr">
        <is>
          <t>Planned Start</t>
        </is>
      </c>
      <c r="M1" s="21" t="inlineStr">
        <is>
          <t>Planned Finish</t>
        </is>
      </c>
      <c r="N1" s="21" t="inlineStr">
        <is>
          <t>Actual Start</t>
        </is>
      </c>
      <c r="O1" s="21" t="inlineStr">
        <is>
          <t>Actual Finish</t>
        </is>
      </c>
      <c r="P1" s="21" t="inlineStr">
        <is>
          <t>DND Status</t>
        </is>
      </c>
      <c r="Q1" s="21" t="inlineStr">
        <is>
          <t>Inspection Required</t>
        </is>
      </c>
      <c r="R1" s="21" t="inlineStr">
        <is>
          <t>Inspector</t>
        </is>
      </c>
      <c r="S1" s="21" t="inlineStr">
        <is>
          <t>Inspection Result</t>
        </is>
      </c>
      <c r="T1" s="21" t="inlineStr">
        <is>
          <t>Ready Time</t>
        </is>
      </c>
      <c r="U1" s="21" t="inlineStr">
        <is>
          <t>Estimated Minutes</t>
        </is>
      </c>
      <c r="V1" s="21" t="inlineStr">
        <is>
          <t>Actual Minutes</t>
        </is>
      </c>
      <c r="W1" s="21" t="inlineStr">
        <is>
          <t>Minute Variance</t>
        </is>
      </c>
      <c r="X1" s="21" t="inlineStr">
        <is>
          <t>Estimated Labor Cost</t>
        </is>
      </c>
      <c r="Y1" s="21" t="inlineStr">
        <is>
          <t>Actual Labor Cost</t>
        </is>
      </c>
      <c r="Z1" s="21" t="inlineStr">
        <is>
          <t>Work Status</t>
        </is>
      </c>
      <c r="AA1" s="21" t="inlineStr">
        <is>
          <t>Room Ready</t>
        </is>
      </c>
      <c r="AB1" s="21" t="inlineStr">
        <is>
          <t>Ready On Time</t>
        </is>
      </c>
      <c r="AC1" s="21" t="inlineStr">
        <is>
          <t>Guest Request or Notes</t>
        </is>
      </c>
      <c r="AD1" s="21" t="inlineStr">
        <is>
          <t>External Reference</t>
        </is>
      </c>
      <c r="AE1" s="21" t="inlineStr">
        <is>
          <t>Operational Check</t>
        </is>
      </c>
    </row>
    <row r="2">
      <c r="A2" s="22">
        <f>IFERROR(IF(B2="","",'Dashboard'!$B$3),"")</f>
        <v/>
      </c>
      <c r="B2" s="23" t="inlineStr">
        <is>
          <t>101</t>
        </is>
      </c>
      <c r="C2" s="24">
        <f>IFERROR(IF(B2="","",IFERROR(INDEX('Rooms and Staff'!$B$16:$B$115,MATCH(B2,'Rooms and Staff'!$A$16:$A$115,0)),"Room not found")),"")</f>
        <v/>
      </c>
      <c r="D2" s="24">
        <f>IFERROR(IF(B2="","",IFERROR(INDEX('Rooms and Staff'!$C$16:$C$115,MATCH(B2,'Rooms and Staff'!$A$16:$A$115,0)),"")),"")</f>
        <v/>
      </c>
      <c r="E2" s="23" t="inlineStr">
        <is>
          <t>Vacant Dirty</t>
        </is>
      </c>
      <c r="F2" s="23" t="inlineStr">
        <is>
          <t>Checkout</t>
        </is>
      </c>
      <c r="G2" s="23" t="inlineStr">
        <is>
          <t>Standard</t>
        </is>
      </c>
      <c r="H2" s="23" t="inlineStr">
        <is>
          <t>Maria Lopez</t>
        </is>
      </c>
      <c r="I2" s="23" t="inlineStr">
        <is>
          <t>Day</t>
        </is>
      </c>
      <c r="J2" s="25" t="n"/>
      <c r="K2" s="25" t="n"/>
      <c r="L2" s="25" t="n"/>
      <c r="M2" s="25" t="n"/>
      <c r="N2" s="25" t="n"/>
      <c r="O2" s="25" t="n"/>
      <c r="P2" s="23" t="n"/>
      <c r="Q2" s="23" t="n"/>
      <c r="R2" s="23" t="n"/>
      <c r="S2" s="23" t="n"/>
      <c r="T2" s="25" t="n"/>
      <c r="U2" s="26">
        <f>IFERROR(IF(A2="","",IF(F2="Canceled",0,IF(F2="","",IF(F2="Checkout",'Rooms and Staff'!$B$4,IF(F2="Stayover",'Rooms and Staff'!$B$5,IF(F2="Deep Clean",'Rooms and Staff'!$B$6,IF(F2="Touch-Up",'Rooms and Staff'!$B$7,IF(F2="Public Area",'Rooms and Staff'!$B$8,0)))))))),"")</f>
        <v/>
      </c>
      <c r="V2" s="26">
        <f>IFERROR(IF(OR(N2="",O2=""),"",(O2-N2)*1440),"")</f>
        <v/>
      </c>
      <c r="W2" s="26">
        <f>IFERROR(IF(OR(V2="",U2=""),"",V2-U2),"")</f>
        <v/>
      </c>
      <c r="X2" s="27">
        <f>IFERROR(IF(OR(H2="",U2=""),"",(U2/60)*INDEX('Rooms and Staff'!$P$16:$P$115,MATCH(H2,'Rooms and Staff'!$J$16:$J$115,0))),"")</f>
        <v/>
      </c>
      <c r="Y2" s="27">
        <f>IFERROR(IF(OR(H2="",V2=""),"",(V2/60)*INDEX('Rooms and Staff'!$P$16:$P$115,MATCH(H2,'Rooms and Staff'!$J$16:$J$115,0))),"")</f>
        <v/>
      </c>
      <c r="Z2" s="24">
        <f>IFERROR(IF(A2="","",IF(F2="Canceled","Canceled",IF(P2="DND","On Hold",IF(O2&lt;&gt;"","Completed",IF(N2&lt;&gt;"","In Progress","Not Started"))))),"")</f>
        <v/>
      </c>
      <c r="AA2" s="24">
        <f>IFERROR(IF(A2="","",IF(Z2&lt;&gt;"Completed","No",IF(Q2="Yes",IF(S2="Passed","Yes","No"),"Yes"))),"")</f>
        <v/>
      </c>
      <c r="AB2" s="24">
        <f>IFERROR(IF(AA2&lt;&gt;"Yes","",IF(K2="","Yes",IF(T2&lt;&gt;"",IF(T2&lt;=K2-'Rooms and Staff'!$B$11/1440,"Yes","No"),"No"))),"")</f>
        <v/>
      </c>
      <c r="AC2" s="23" t="n"/>
      <c r="AD2" s="23" t="n"/>
      <c r="AE2" s="24">
        <f>IFERROR(IF(A2="","",IF(C2="Room not found","Room not found",IF(COUNTIFS($A$2:$A$101,A2,$B$2:$B$101,B2)&gt;1,"Duplicate room assignment",IF(H2="","Attendant not assigned",IF(AND(N2&lt;&gt;"",O2&lt;&gt;"",O2&lt;N2),"Actual finish is before start",IF(AND(L2&lt;&gt;"",M2&lt;&gt;"",M2&lt;L2),"Planned finish is before start",IF(AND(P2="DND",O2&lt;&gt;""),"DND room marked completed",IF(AND(Q2="Yes",Z2="Completed",S2=""),"Inspection result missing",IF(S2="Failed","Inspection failed",IF(AND(K2&lt;&gt;"",J2&lt;&gt;"",K2&lt;J2),"Arrival is before check-out","OK")))))))))),"Review row")</f>
        <v/>
      </c>
      <c r="AH2">
        <f>IFERROR(IF(AND($A2='Dashboard'!$B$3,$AE2&lt;&gt;"OK",$AE2&lt;&gt;""),COUNTIFS($A$2:A2,'Dashboard'!$B$3,$AE$2:AE2,"&lt;&gt;OK",$AE$2:AE2,"&lt;&gt;"),""),"")</f>
        <v/>
      </c>
    </row>
    <row r="3">
      <c r="A3" s="28">
        <f>IFERROR(IF(B3="","",'Dashboard'!$B$3),"")</f>
        <v/>
      </c>
      <c r="B3" s="23" t="inlineStr">
        <is>
          <t>102</t>
        </is>
      </c>
      <c r="C3" s="29">
        <f>IFERROR(IF(B3="","",IFERROR(INDEX('Rooms and Staff'!$B$16:$B$115,MATCH(B3,'Rooms and Staff'!$A$16:$A$115,0)),"Room not found")),"")</f>
        <v/>
      </c>
      <c r="D3" s="29">
        <f>IFERROR(IF(B3="","",IFERROR(INDEX('Rooms and Staff'!$C$16:$C$115,MATCH(B3,'Rooms and Staff'!$A$16:$A$115,0)),"")),"")</f>
        <v/>
      </c>
      <c r="E3" s="23" t="inlineStr">
        <is>
          <t>Occupied</t>
        </is>
      </c>
      <c r="F3" s="23" t="inlineStr">
        <is>
          <t>Stayover</t>
        </is>
      </c>
      <c r="G3" s="23" t="inlineStr">
        <is>
          <t>Standard</t>
        </is>
      </c>
      <c r="H3" s="23" t="inlineStr">
        <is>
          <t>James Carter</t>
        </is>
      </c>
      <c r="I3" s="23" t="inlineStr">
        <is>
          <t>Day</t>
        </is>
      </c>
      <c r="J3" s="25" t="n"/>
      <c r="K3" s="25" t="n"/>
      <c r="L3" s="25" t="n"/>
      <c r="M3" s="25" t="n"/>
      <c r="N3" s="25" t="n"/>
      <c r="O3" s="25" t="n"/>
      <c r="P3" s="23" t="n"/>
      <c r="Q3" s="23" t="n"/>
      <c r="R3" s="23" t="n"/>
      <c r="S3" s="23" t="n"/>
      <c r="T3" s="25" t="n"/>
      <c r="U3" s="30">
        <f>IFERROR(IF(A3="","",IF(F3="Canceled",0,IF(F3="","",IF(F3="Checkout",'Rooms and Staff'!$B$4,IF(F3="Stayover",'Rooms and Staff'!$B$5,IF(F3="Deep Clean",'Rooms and Staff'!$B$6,IF(F3="Touch-Up",'Rooms and Staff'!$B$7,IF(F3="Public Area",'Rooms and Staff'!$B$8,0)))))))),"")</f>
        <v/>
      </c>
      <c r="V3" s="30">
        <f>IFERROR(IF(OR(N3="",O3=""),"",(O3-N3)*1440),"")</f>
        <v/>
      </c>
      <c r="W3" s="30">
        <f>IFERROR(IF(OR(V3="",U3=""),"",V3-U3),"")</f>
        <v/>
      </c>
      <c r="X3" s="31">
        <f>IFERROR(IF(OR(H3="",U3=""),"",(U3/60)*INDEX('Rooms and Staff'!$P$16:$P$115,MATCH(H3,'Rooms and Staff'!$J$16:$J$115,0))),"")</f>
        <v/>
      </c>
      <c r="Y3" s="31">
        <f>IFERROR(IF(OR(H3="",V3=""),"",(V3/60)*INDEX('Rooms and Staff'!$P$16:$P$115,MATCH(H3,'Rooms and Staff'!$J$16:$J$115,0))),"")</f>
        <v/>
      </c>
      <c r="Z3" s="29">
        <f>IFERROR(IF(A3="","",IF(F3="Canceled","Canceled",IF(P3="DND","On Hold",IF(O3&lt;&gt;"","Completed",IF(N3&lt;&gt;"","In Progress","Not Started"))))),"")</f>
        <v/>
      </c>
      <c r="AA3" s="29">
        <f>IFERROR(IF(A3="","",IF(Z3&lt;&gt;"Completed","No",IF(Q3="Yes",IF(S3="Passed","Yes","No"),"Yes"))),"")</f>
        <v/>
      </c>
      <c r="AB3" s="29">
        <f>IFERROR(IF(AA3&lt;&gt;"Yes","",IF(K3="","Yes",IF(T3&lt;&gt;"",IF(T3&lt;=K3-'Rooms and Staff'!$B$11/1440,"Yes","No"),"No"))),"")</f>
        <v/>
      </c>
      <c r="AC3" s="23" t="n"/>
      <c r="AD3" s="23" t="n"/>
      <c r="AE3" s="29">
        <f>IFERROR(IF(A3="","",IF(C3="Room not found","Room not found",IF(COUNTIFS($A$2:$A$101,A3,$B$2:$B$101,B3)&gt;1,"Duplicate room assignment",IF(H3="","Attendant not assigned",IF(AND(N3&lt;&gt;"",O3&lt;&gt;"",O3&lt;N3),"Actual finish is before start",IF(AND(L3&lt;&gt;"",M3&lt;&gt;"",M3&lt;L3),"Planned finish is before start",IF(AND(P3="DND",O3&lt;&gt;""),"DND room marked completed",IF(AND(Q3="Yes",Z3="Completed",S3=""),"Inspection result missing",IF(S3="Failed","Inspection failed",IF(AND(K3&lt;&gt;"",J3&lt;&gt;"",K3&lt;J3),"Arrival is before check-out","OK")))))))))),"Review row")</f>
        <v/>
      </c>
      <c r="AH3">
        <f>IFERROR(IF(AND($A3='Dashboard'!$B$3,$AE3&lt;&gt;"OK",$AE3&lt;&gt;""),COUNTIFS($A$2:A3,'Dashboard'!$B$3,$AE$2:AE3,"&lt;&gt;OK",$AE$2:AE3,"&lt;&gt;"),""),"")</f>
        <v/>
      </c>
    </row>
    <row r="4">
      <c r="A4" s="22">
        <f>IFERROR(IF(B4="","",'Dashboard'!$B$3),"")</f>
        <v/>
      </c>
      <c r="B4" s="23" t="inlineStr">
        <is>
          <t>103</t>
        </is>
      </c>
      <c r="C4" s="24">
        <f>IFERROR(IF(B4="","",IFERROR(INDEX('Rooms and Staff'!$B$16:$B$115,MATCH(B4,'Rooms and Staff'!$A$16:$A$115,0)),"Room not found")),"")</f>
        <v/>
      </c>
      <c r="D4" s="24">
        <f>IFERROR(IF(B4="","",IFERROR(INDEX('Rooms and Staff'!$C$16:$C$115,MATCH(B4,'Rooms and Staff'!$A$16:$A$115,0)),"")),"")</f>
        <v/>
      </c>
      <c r="E4" s="23" t="inlineStr">
        <is>
          <t>Due Out</t>
        </is>
      </c>
      <c r="F4" s="23" t="inlineStr">
        <is>
          <t>Checkout</t>
        </is>
      </c>
      <c r="G4" s="23" t="inlineStr">
        <is>
          <t>Rush</t>
        </is>
      </c>
      <c r="H4" s="23" t="inlineStr">
        <is>
          <t>Denise Williams</t>
        </is>
      </c>
      <c r="I4" s="23" t="inlineStr">
        <is>
          <t>Day</t>
        </is>
      </c>
      <c r="J4" s="25" t="n"/>
      <c r="K4" s="25" t="n"/>
      <c r="L4" s="25" t="n"/>
      <c r="M4" s="25" t="n"/>
      <c r="N4" s="25" t="n"/>
      <c r="O4" s="25" t="n"/>
      <c r="P4" s="23" t="n"/>
      <c r="Q4" s="23" t="n"/>
      <c r="R4" s="23" t="n"/>
      <c r="S4" s="23" t="n"/>
      <c r="T4" s="25" t="n"/>
      <c r="U4" s="26">
        <f>IFERROR(IF(A4="","",IF(F4="Canceled",0,IF(F4="","",IF(F4="Checkout",'Rooms and Staff'!$B$4,IF(F4="Stayover",'Rooms and Staff'!$B$5,IF(F4="Deep Clean",'Rooms and Staff'!$B$6,IF(F4="Touch-Up",'Rooms and Staff'!$B$7,IF(F4="Public Area",'Rooms and Staff'!$B$8,0)))))))),"")</f>
        <v/>
      </c>
      <c r="V4" s="26">
        <f>IFERROR(IF(OR(N4="",O4=""),"",(O4-N4)*1440),"")</f>
        <v/>
      </c>
      <c r="W4" s="26">
        <f>IFERROR(IF(OR(V4="",U4=""),"",V4-U4),"")</f>
        <v/>
      </c>
      <c r="X4" s="27">
        <f>IFERROR(IF(OR(H4="",U4=""),"",(U4/60)*INDEX('Rooms and Staff'!$P$16:$P$115,MATCH(H4,'Rooms and Staff'!$J$16:$J$115,0))),"")</f>
        <v/>
      </c>
      <c r="Y4" s="27">
        <f>IFERROR(IF(OR(H4="",V4=""),"",(V4/60)*INDEX('Rooms and Staff'!$P$16:$P$115,MATCH(H4,'Rooms and Staff'!$J$16:$J$115,0))),"")</f>
        <v/>
      </c>
      <c r="Z4" s="24">
        <f>IFERROR(IF(A4="","",IF(F4="Canceled","Canceled",IF(P4="DND","On Hold",IF(O4&lt;&gt;"","Completed",IF(N4&lt;&gt;"","In Progress","Not Started"))))),"")</f>
        <v/>
      </c>
      <c r="AA4" s="24">
        <f>IFERROR(IF(A4="","",IF(Z4&lt;&gt;"Completed","No",IF(Q4="Yes",IF(S4="Passed","Yes","No"),"Yes"))),"")</f>
        <v/>
      </c>
      <c r="AB4" s="24">
        <f>IFERROR(IF(AA4&lt;&gt;"Yes","",IF(K4="","Yes",IF(T4&lt;&gt;"",IF(T4&lt;=K4-'Rooms and Staff'!$B$11/1440,"Yes","No"),"No"))),"")</f>
        <v/>
      </c>
      <c r="AC4" s="23" t="n"/>
      <c r="AD4" s="23" t="n"/>
      <c r="AE4" s="24">
        <f>IFERROR(IF(A4="","",IF(C4="Room not found","Room not found",IF(COUNTIFS($A$2:$A$101,A4,$B$2:$B$101,B4)&gt;1,"Duplicate room assignment",IF(H4="","Attendant not assigned",IF(AND(N4&lt;&gt;"",O4&lt;&gt;"",O4&lt;N4),"Actual finish is before start",IF(AND(L4&lt;&gt;"",M4&lt;&gt;"",M4&lt;L4),"Planned finish is before start",IF(AND(P4="DND",O4&lt;&gt;""),"DND room marked completed",IF(AND(Q4="Yes",Z4="Completed",S4=""),"Inspection result missing",IF(S4="Failed","Inspection failed",IF(AND(K4&lt;&gt;"",J4&lt;&gt;"",K4&lt;J4),"Arrival is before check-out","OK")))))))))),"Review row")</f>
        <v/>
      </c>
      <c r="AH4">
        <f>IFERROR(IF(AND($A4='Dashboard'!$B$3,$AE4&lt;&gt;"OK",$AE4&lt;&gt;""),COUNTIFS($A$2:A4,'Dashboard'!$B$3,$AE$2:AE4,"&lt;&gt;OK",$AE$2:AE4,"&lt;&gt;"),""),"")</f>
        <v/>
      </c>
    </row>
    <row r="5">
      <c r="A5" s="28">
        <f>IFERROR(IF(B5="","",'Dashboard'!$B$3),"")</f>
        <v/>
      </c>
      <c r="B5" s="23" t="inlineStr">
        <is>
          <t>104</t>
        </is>
      </c>
      <c r="C5" s="29">
        <f>IFERROR(IF(B5="","",IFERROR(INDEX('Rooms and Staff'!$B$16:$B$115,MATCH(B5,'Rooms and Staff'!$A$16:$A$115,0)),"Room not found")),"")</f>
        <v/>
      </c>
      <c r="D5" s="29">
        <f>IFERROR(IF(B5="","",IFERROR(INDEX('Rooms and Staff'!$C$16:$C$115,MATCH(B5,'Rooms and Staff'!$A$16:$A$115,0)),"")),"")</f>
        <v/>
      </c>
      <c r="E5" s="23" t="inlineStr">
        <is>
          <t>Due Out</t>
        </is>
      </c>
      <c r="F5" s="23" t="inlineStr">
        <is>
          <t>Checkout</t>
        </is>
      </c>
      <c r="G5" s="23" t="inlineStr">
        <is>
          <t>High</t>
        </is>
      </c>
      <c r="H5" s="23" t="inlineStr">
        <is>
          <t>Kevin Nguyen</t>
        </is>
      </c>
      <c r="I5" s="23" t="inlineStr">
        <is>
          <t>Day</t>
        </is>
      </c>
      <c r="J5" s="25" t="n"/>
      <c r="K5" s="25" t="n"/>
      <c r="L5" s="25" t="n"/>
      <c r="M5" s="25" t="n"/>
      <c r="N5" s="25" t="n"/>
      <c r="O5" s="25" t="n"/>
      <c r="P5" s="23" t="n"/>
      <c r="Q5" s="23" t="n"/>
      <c r="R5" s="23" t="n"/>
      <c r="S5" s="23" t="n"/>
      <c r="T5" s="25" t="n"/>
      <c r="U5" s="30">
        <f>IFERROR(IF(A5="","",IF(F5="Canceled",0,IF(F5="","",IF(F5="Checkout",'Rooms and Staff'!$B$4,IF(F5="Stayover",'Rooms and Staff'!$B$5,IF(F5="Deep Clean",'Rooms and Staff'!$B$6,IF(F5="Touch-Up",'Rooms and Staff'!$B$7,IF(F5="Public Area",'Rooms and Staff'!$B$8,0)))))))),"")</f>
        <v/>
      </c>
      <c r="V5" s="30">
        <f>IFERROR(IF(OR(N5="",O5=""),"",(O5-N5)*1440),"")</f>
        <v/>
      </c>
      <c r="W5" s="30">
        <f>IFERROR(IF(OR(V5="",U5=""),"",V5-U5),"")</f>
        <v/>
      </c>
      <c r="X5" s="31">
        <f>IFERROR(IF(OR(H5="",U5=""),"",(U5/60)*INDEX('Rooms and Staff'!$P$16:$P$115,MATCH(H5,'Rooms and Staff'!$J$16:$J$115,0))),"")</f>
        <v/>
      </c>
      <c r="Y5" s="31">
        <f>IFERROR(IF(OR(H5="",V5=""),"",(V5/60)*INDEX('Rooms and Staff'!$P$16:$P$115,MATCH(H5,'Rooms and Staff'!$J$16:$J$115,0))),"")</f>
        <v/>
      </c>
      <c r="Z5" s="29">
        <f>IFERROR(IF(A5="","",IF(F5="Canceled","Canceled",IF(P5="DND","On Hold",IF(O5&lt;&gt;"","Completed",IF(N5&lt;&gt;"","In Progress","Not Started"))))),"")</f>
        <v/>
      </c>
      <c r="AA5" s="29">
        <f>IFERROR(IF(A5="","",IF(Z5&lt;&gt;"Completed","No",IF(Q5="Yes",IF(S5="Passed","Yes","No"),"Yes"))),"")</f>
        <v/>
      </c>
      <c r="AB5" s="29">
        <f>IFERROR(IF(AA5&lt;&gt;"Yes","",IF(K5="","Yes",IF(T5&lt;&gt;"",IF(T5&lt;=K5-'Rooms and Staff'!$B$11/1440,"Yes","No"),"No"))),"")</f>
        <v/>
      </c>
      <c r="AC5" s="23" t="n"/>
      <c r="AD5" s="23" t="n"/>
      <c r="AE5" s="29">
        <f>IFERROR(IF(A5="","",IF(C5="Room not found","Room not found",IF(COUNTIFS($A$2:$A$101,A5,$B$2:$B$101,B5)&gt;1,"Duplicate room assignment",IF(H5="","Attendant not assigned",IF(AND(N5&lt;&gt;"",O5&lt;&gt;"",O5&lt;N5),"Actual finish is before start",IF(AND(L5&lt;&gt;"",M5&lt;&gt;"",M5&lt;L5),"Planned finish is before start",IF(AND(P5="DND",O5&lt;&gt;""),"DND room marked completed",IF(AND(Q5="Yes",Z5="Completed",S5=""),"Inspection result missing",IF(S5="Failed","Inspection failed",IF(AND(K5&lt;&gt;"",J5&lt;&gt;"",K5&lt;J5),"Arrival is before check-out","OK")))))))))),"Review row")</f>
        <v/>
      </c>
      <c r="AH5">
        <f>IFERROR(IF(AND($A5='Dashboard'!$B$3,$AE5&lt;&gt;"OK",$AE5&lt;&gt;""),COUNTIFS($A$2:A5,'Dashboard'!$B$3,$AE$2:AE5,"&lt;&gt;OK",$AE$2:AE5,"&lt;&gt;"),""),"")</f>
        <v/>
      </c>
    </row>
    <row r="6">
      <c r="A6" s="22">
        <f>IFERROR(IF(B6="","",'Dashboard'!$B$3),"")</f>
        <v/>
      </c>
      <c r="B6" s="23" t="inlineStr">
        <is>
          <t>201</t>
        </is>
      </c>
      <c r="C6" s="24">
        <f>IFERROR(IF(B6="","",IFERROR(INDEX('Rooms and Staff'!$B$16:$B$115,MATCH(B6,'Rooms and Staff'!$A$16:$A$115,0)),"Room not found")),"")</f>
        <v/>
      </c>
      <c r="D6" s="24">
        <f>IFERROR(IF(B6="","",IFERROR(INDEX('Rooms and Staff'!$C$16:$C$115,MATCH(B6,'Rooms and Staff'!$A$16:$A$115,0)),"")),"")</f>
        <v/>
      </c>
      <c r="E6" s="23" t="inlineStr">
        <is>
          <t>Occupied</t>
        </is>
      </c>
      <c r="F6" s="23" t="inlineStr">
        <is>
          <t>Stayover</t>
        </is>
      </c>
      <c r="G6" s="23" t="inlineStr">
        <is>
          <t>Standard</t>
        </is>
      </c>
      <c r="H6" s="23" t="inlineStr">
        <is>
          <t>Rosa Martinez</t>
        </is>
      </c>
      <c r="I6" s="23" t="inlineStr">
        <is>
          <t>Day</t>
        </is>
      </c>
      <c r="J6" s="25" t="n"/>
      <c r="K6" s="25" t="n"/>
      <c r="L6" s="25" t="n"/>
      <c r="M6" s="25" t="n"/>
      <c r="N6" s="25" t="n"/>
      <c r="O6" s="25" t="n"/>
      <c r="P6" s="23" t="n"/>
      <c r="Q6" s="23" t="n"/>
      <c r="R6" s="23" t="n"/>
      <c r="S6" s="23" t="n"/>
      <c r="T6" s="25" t="n"/>
      <c r="U6" s="26">
        <f>IFERROR(IF(A6="","",IF(F6="Canceled",0,IF(F6="","",IF(F6="Checkout",'Rooms and Staff'!$B$4,IF(F6="Stayover",'Rooms and Staff'!$B$5,IF(F6="Deep Clean",'Rooms and Staff'!$B$6,IF(F6="Touch-Up",'Rooms and Staff'!$B$7,IF(F6="Public Area",'Rooms and Staff'!$B$8,0)))))))),"")</f>
        <v/>
      </c>
      <c r="V6" s="26">
        <f>IFERROR(IF(OR(N6="",O6=""),"",(O6-N6)*1440),"")</f>
        <v/>
      </c>
      <c r="W6" s="26">
        <f>IFERROR(IF(OR(V6="",U6=""),"",V6-U6),"")</f>
        <v/>
      </c>
      <c r="X6" s="27">
        <f>IFERROR(IF(OR(H6="",U6=""),"",(U6/60)*INDEX('Rooms and Staff'!$P$16:$P$115,MATCH(H6,'Rooms and Staff'!$J$16:$J$115,0))),"")</f>
        <v/>
      </c>
      <c r="Y6" s="27">
        <f>IFERROR(IF(OR(H6="",V6=""),"",(V6/60)*INDEX('Rooms and Staff'!$P$16:$P$115,MATCH(H6,'Rooms and Staff'!$J$16:$J$115,0))),"")</f>
        <v/>
      </c>
      <c r="Z6" s="24">
        <f>IFERROR(IF(A6="","",IF(F6="Canceled","Canceled",IF(P6="DND","On Hold",IF(O6&lt;&gt;"","Completed",IF(N6&lt;&gt;"","In Progress","Not Started"))))),"")</f>
        <v/>
      </c>
      <c r="AA6" s="24">
        <f>IFERROR(IF(A6="","",IF(Z6&lt;&gt;"Completed","No",IF(Q6="Yes",IF(S6="Passed","Yes","No"),"Yes"))),"")</f>
        <v/>
      </c>
      <c r="AB6" s="24">
        <f>IFERROR(IF(AA6&lt;&gt;"Yes","",IF(K6="","Yes",IF(T6&lt;&gt;"",IF(T6&lt;=K6-'Rooms and Staff'!$B$11/1440,"Yes","No"),"No"))),"")</f>
        <v/>
      </c>
      <c r="AC6" s="23" t="n"/>
      <c r="AD6" s="23" t="n"/>
      <c r="AE6" s="24">
        <f>IFERROR(IF(A6="","",IF(C6="Room not found","Room not found",IF(COUNTIFS($A$2:$A$101,A6,$B$2:$B$101,B6)&gt;1,"Duplicate room assignment",IF(H6="","Attendant not assigned",IF(AND(N6&lt;&gt;"",O6&lt;&gt;"",O6&lt;N6),"Actual finish is before start",IF(AND(L6&lt;&gt;"",M6&lt;&gt;"",M6&lt;L6),"Planned finish is before start",IF(AND(P6="DND",O6&lt;&gt;""),"DND room marked completed",IF(AND(Q6="Yes",Z6="Completed",S6=""),"Inspection result missing",IF(S6="Failed","Inspection failed",IF(AND(K6&lt;&gt;"",J6&lt;&gt;"",K6&lt;J6),"Arrival is before check-out","OK")))))))))),"Review row")</f>
        <v/>
      </c>
      <c r="AH6">
        <f>IFERROR(IF(AND($A6='Dashboard'!$B$3,$AE6&lt;&gt;"OK",$AE6&lt;&gt;""),COUNTIFS($A$2:A6,'Dashboard'!$B$3,$AE$2:AE6,"&lt;&gt;OK",$AE$2:AE6,"&lt;&gt;"),""),"")</f>
        <v/>
      </c>
    </row>
    <row r="7">
      <c r="A7" s="28">
        <f>IFERROR(IF(B7="","",'Dashboard'!$B$3),"")</f>
        <v/>
      </c>
      <c r="B7" s="23" t="inlineStr">
        <is>
          <t>202</t>
        </is>
      </c>
      <c r="C7" s="29">
        <f>IFERROR(IF(B7="","",IFERROR(INDEX('Rooms and Staff'!$B$16:$B$115,MATCH(B7,'Rooms and Staff'!$A$16:$A$115,0)),"Room not found")),"")</f>
        <v/>
      </c>
      <c r="D7" s="29">
        <f>IFERROR(IF(B7="","",IFERROR(INDEX('Rooms and Staff'!$C$16:$C$115,MATCH(B7,'Rooms and Staff'!$A$16:$A$115,0)),"")),"")</f>
        <v/>
      </c>
      <c r="E7" s="23" t="inlineStr">
        <is>
          <t>Vacant Dirty</t>
        </is>
      </c>
      <c r="F7" s="23" t="inlineStr">
        <is>
          <t>Deep Clean</t>
        </is>
      </c>
      <c r="G7" s="23" t="inlineStr">
        <is>
          <t>High</t>
        </is>
      </c>
      <c r="H7" s="23" t="inlineStr">
        <is>
          <t>Denise Williams</t>
        </is>
      </c>
      <c r="I7" s="23" t="inlineStr">
        <is>
          <t>Day</t>
        </is>
      </c>
      <c r="J7" s="25" t="n"/>
      <c r="K7" s="25" t="n"/>
      <c r="L7" s="25" t="n"/>
      <c r="M7" s="25" t="n"/>
      <c r="N7" s="25" t="n"/>
      <c r="O7" s="25" t="n"/>
      <c r="P7" s="23" t="n"/>
      <c r="Q7" s="23" t="n"/>
      <c r="R7" s="23" t="n"/>
      <c r="S7" s="23" t="n"/>
      <c r="T7" s="25" t="n"/>
      <c r="U7" s="30">
        <f>IFERROR(IF(A7="","",IF(F7="Canceled",0,IF(F7="","",IF(F7="Checkout",'Rooms and Staff'!$B$4,IF(F7="Stayover",'Rooms and Staff'!$B$5,IF(F7="Deep Clean",'Rooms and Staff'!$B$6,IF(F7="Touch-Up",'Rooms and Staff'!$B$7,IF(F7="Public Area",'Rooms and Staff'!$B$8,0)))))))),"")</f>
        <v/>
      </c>
      <c r="V7" s="30">
        <f>IFERROR(IF(OR(N7="",O7=""),"",(O7-N7)*1440),"")</f>
        <v/>
      </c>
      <c r="W7" s="30">
        <f>IFERROR(IF(OR(V7="",U7=""),"",V7-U7),"")</f>
        <v/>
      </c>
      <c r="X7" s="31">
        <f>IFERROR(IF(OR(H7="",U7=""),"",(U7/60)*INDEX('Rooms and Staff'!$P$16:$P$115,MATCH(H7,'Rooms and Staff'!$J$16:$J$115,0))),"")</f>
        <v/>
      </c>
      <c r="Y7" s="31">
        <f>IFERROR(IF(OR(H7="",V7=""),"",(V7/60)*INDEX('Rooms and Staff'!$P$16:$P$115,MATCH(H7,'Rooms and Staff'!$J$16:$J$115,0))),"")</f>
        <v/>
      </c>
      <c r="Z7" s="29">
        <f>IFERROR(IF(A7="","",IF(F7="Canceled","Canceled",IF(P7="DND","On Hold",IF(O7&lt;&gt;"","Completed",IF(N7&lt;&gt;"","In Progress","Not Started"))))),"")</f>
        <v/>
      </c>
      <c r="AA7" s="29">
        <f>IFERROR(IF(A7="","",IF(Z7&lt;&gt;"Completed","No",IF(Q7="Yes",IF(S7="Passed","Yes","No"),"Yes"))),"")</f>
        <v/>
      </c>
      <c r="AB7" s="29">
        <f>IFERROR(IF(AA7&lt;&gt;"Yes","",IF(K7="","Yes",IF(T7&lt;&gt;"",IF(T7&lt;=K7-'Rooms and Staff'!$B$11/1440,"Yes","No"),"No"))),"")</f>
        <v/>
      </c>
      <c r="AC7" s="23" t="n"/>
      <c r="AD7" s="23" t="n"/>
      <c r="AE7" s="29">
        <f>IFERROR(IF(A7="","",IF(C7="Room not found","Room not found",IF(COUNTIFS($A$2:$A$101,A7,$B$2:$B$101,B7)&gt;1,"Duplicate room assignment",IF(H7="","Attendant not assigned",IF(AND(N7&lt;&gt;"",O7&lt;&gt;"",O7&lt;N7),"Actual finish is before start",IF(AND(L7&lt;&gt;"",M7&lt;&gt;"",M7&lt;L7),"Planned finish is before start",IF(AND(P7="DND",O7&lt;&gt;""),"DND room marked completed",IF(AND(Q7="Yes",Z7="Completed",S7=""),"Inspection result missing",IF(S7="Failed","Inspection failed",IF(AND(K7&lt;&gt;"",J7&lt;&gt;"",K7&lt;J7),"Arrival is before check-out","OK")))))))))),"Review row")</f>
        <v/>
      </c>
      <c r="AH7">
        <f>IFERROR(IF(AND($A7='Dashboard'!$B$3,$AE7&lt;&gt;"OK",$AE7&lt;&gt;""),COUNTIFS($A$2:A7,'Dashboard'!$B$3,$AE$2:AE7,"&lt;&gt;OK",$AE$2:AE7,"&lt;&gt;"),""),"")</f>
        <v/>
      </c>
    </row>
    <row r="8">
      <c r="A8" s="22">
        <f>IFERROR(IF(B8="","",'Dashboard'!$B$3),"")</f>
        <v/>
      </c>
      <c r="B8" s="23" t="inlineStr">
        <is>
          <t>203</t>
        </is>
      </c>
      <c r="C8" s="24">
        <f>IFERROR(IF(B8="","",IFERROR(INDEX('Rooms and Staff'!$B$16:$B$115,MATCH(B8,'Rooms and Staff'!$A$16:$A$115,0)),"Room not found")),"")</f>
        <v/>
      </c>
      <c r="D8" s="24">
        <f>IFERROR(IF(B8="","",IFERROR(INDEX('Rooms and Staff'!$C$16:$C$115,MATCH(B8,'Rooms and Staff'!$A$16:$A$115,0)),"")),"")</f>
        <v/>
      </c>
      <c r="E8" s="23" t="inlineStr">
        <is>
          <t>Vacant Dirty</t>
        </is>
      </c>
      <c r="F8" s="23" t="inlineStr">
        <is>
          <t>Checkout</t>
        </is>
      </c>
      <c r="G8" s="23" t="inlineStr">
        <is>
          <t>Standard</t>
        </is>
      </c>
      <c r="H8" s="23" t="inlineStr">
        <is>
          <t>Kevin Nguyen</t>
        </is>
      </c>
      <c r="I8" s="23" t="inlineStr">
        <is>
          <t>Day</t>
        </is>
      </c>
      <c r="J8" s="25" t="n"/>
      <c r="K8" s="25" t="n"/>
      <c r="L8" s="25" t="n"/>
      <c r="M8" s="25" t="n"/>
      <c r="N8" s="25" t="n"/>
      <c r="O8" s="25" t="n"/>
      <c r="P8" s="23" t="n"/>
      <c r="Q8" s="23" t="n"/>
      <c r="R8" s="23" t="n"/>
      <c r="S8" s="23" t="n"/>
      <c r="T8" s="25" t="n"/>
      <c r="U8" s="26">
        <f>IFERROR(IF(A8="","",IF(F8="Canceled",0,IF(F8="","",IF(F8="Checkout",'Rooms and Staff'!$B$4,IF(F8="Stayover",'Rooms and Staff'!$B$5,IF(F8="Deep Clean",'Rooms and Staff'!$B$6,IF(F8="Touch-Up",'Rooms and Staff'!$B$7,IF(F8="Public Area",'Rooms and Staff'!$B$8,0)))))))),"")</f>
        <v/>
      </c>
      <c r="V8" s="26">
        <f>IFERROR(IF(OR(N8="",O8=""),"",(O8-N8)*1440),"")</f>
        <v/>
      </c>
      <c r="W8" s="26">
        <f>IFERROR(IF(OR(V8="",U8=""),"",V8-U8),"")</f>
        <v/>
      </c>
      <c r="X8" s="27">
        <f>IFERROR(IF(OR(H8="",U8=""),"",(U8/60)*INDEX('Rooms and Staff'!$P$16:$P$115,MATCH(H8,'Rooms and Staff'!$J$16:$J$115,0))),"")</f>
        <v/>
      </c>
      <c r="Y8" s="27">
        <f>IFERROR(IF(OR(H8="",V8=""),"",(V8/60)*INDEX('Rooms and Staff'!$P$16:$P$115,MATCH(H8,'Rooms and Staff'!$J$16:$J$115,0))),"")</f>
        <v/>
      </c>
      <c r="Z8" s="24">
        <f>IFERROR(IF(A8="","",IF(F8="Canceled","Canceled",IF(P8="DND","On Hold",IF(O8&lt;&gt;"","Completed",IF(N8&lt;&gt;"","In Progress","Not Started"))))),"")</f>
        <v/>
      </c>
      <c r="AA8" s="24">
        <f>IFERROR(IF(A8="","",IF(Z8&lt;&gt;"Completed","No",IF(Q8="Yes",IF(S8="Passed","Yes","No"),"Yes"))),"")</f>
        <v/>
      </c>
      <c r="AB8" s="24">
        <f>IFERROR(IF(AA8&lt;&gt;"Yes","",IF(K8="","Yes",IF(T8&lt;&gt;"",IF(T8&lt;=K8-'Rooms and Staff'!$B$11/1440,"Yes","No"),"No"))),"")</f>
        <v/>
      </c>
      <c r="AC8" s="23" t="n"/>
      <c r="AD8" s="23" t="n"/>
      <c r="AE8" s="24">
        <f>IFERROR(IF(A8="","",IF(C8="Room not found","Room not found",IF(COUNTIFS($A$2:$A$101,A8,$B$2:$B$101,B8)&gt;1,"Duplicate room assignment",IF(H8="","Attendant not assigned",IF(AND(N8&lt;&gt;"",O8&lt;&gt;"",O8&lt;N8),"Actual finish is before start",IF(AND(L8&lt;&gt;"",M8&lt;&gt;"",M8&lt;L8),"Planned finish is before start",IF(AND(P8="DND",O8&lt;&gt;""),"DND room marked completed",IF(AND(Q8="Yes",Z8="Completed",S8=""),"Inspection result missing",IF(S8="Failed","Inspection failed",IF(AND(K8&lt;&gt;"",J8&lt;&gt;"",K8&lt;J8),"Arrival is before check-out","OK")))))))))),"Review row")</f>
        <v/>
      </c>
      <c r="AH8">
        <f>IFERROR(IF(AND($A8='Dashboard'!$B$3,$AE8&lt;&gt;"OK",$AE8&lt;&gt;""),COUNTIFS($A$2:A8,'Dashboard'!$B$3,$AE$2:AE8,"&lt;&gt;OK",$AE$2:AE8,"&lt;&gt;"),""),"")</f>
        <v/>
      </c>
    </row>
    <row r="9">
      <c r="A9" s="28">
        <f>IFERROR(IF(B9="","",'Dashboard'!$B$3),"")</f>
        <v/>
      </c>
      <c r="B9" s="23" t="inlineStr">
        <is>
          <t>204</t>
        </is>
      </c>
      <c r="C9" s="29">
        <f>IFERROR(IF(B9="","",IFERROR(INDEX('Rooms and Staff'!$B$16:$B$115,MATCH(B9,'Rooms and Staff'!$A$16:$A$115,0)),"Room not found")),"")</f>
        <v/>
      </c>
      <c r="D9" s="29">
        <f>IFERROR(IF(B9="","",IFERROR(INDEX('Rooms and Staff'!$C$16:$C$115,MATCH(B9,'Rooms and Staff'!$A$16:$A$115,0)),"")),"")</f>
        <v/>
      </c>
      <c r="E9" s="23" t="inlineStr">
        <is>
          <t>Vacant Clean</t>
        </is>
      </c>
      <c r="F9" s="23" t="inlineStr">
        <is>
          <t>Touch-Up</t>
        </is>
      </c>
      <c r="G9" s="23" t="inlineStr">
        <is>
          <t>Low</t>
        </is>
      </c>
      <c r="H9" s="23" t="inlineStr">
        <is>
          <t>Maria Lopez</t>
        </is>
      </c>
      <c r="I9" s="23" t="inlineStr">
        <is>
          <t>Day</t>
        </is>
      </c>
      <c r="J9" s="25" t="n"/>
      <c r="K9" s="25" t="n"/>
      <c r="L9" s="25" t="n"/>
      <c r="M9" s="25" t="n"/>
      <c r="N9" s="25" t="n"/>
      <c r="O9" s="25" t="n"/>
      <c r="P9" s="23" t="n"/>
      <c r="Q9" s="23" t="n"/>
      <c r="R9" s="23" t="n"/>
      <c r="S9" s="23" t="n"/>
      <c r="T9" s="25" t="n"/>
      <c r="U9" s="30">
        <f>IFERROR(IF(A9="","",IF(F9="Canceled",0,IF(F9="","",IF(F9="Checkout",'Rooms and Staff'!$B$4,IF(F9="Stayover",'Rooms and Staff'!$B$5,IF(F9="Deep Clean",'Rooms and Staff'!$B$6,IF(F9="Touch-Up",'Rooms and Staff'!$B$7,IF(F9="Public Area",'Rooms and Staff'!$B$8,0)))))))),"")</f>
        <v/>
      </c>
      <c r="V9" s="30">
        <f>IFERROR(IF(OR(N9="",O9=""),"",(O9-N9)*1440),"")</f>
        <v/>
      </c>
      <c r="W9" s="30">
        <f>IFERROR(IF(OR(V9="",U9=""),"",V9-U9),"")</f>
        <v/>
      </c>
      <c r="X9" s="31">
        <f>IFERROR(IF(OR(H9="",U9=""),"",(U9/60)*INDEX('Rooms and Staff'!$P$16:$P$115,MATCH(H9,'Rooms and Staff'!$J$16:$J$115,0))),"")</f>
        <v/>
      </c>
      <c r="Y9" s="31">
        <f>IFERROR(IF(OR(H9="",V9=""),"",(V9/60)*INDEX('Rooms and Staff'!$P$16:$P$115,MATCH(H9,'Rooms and Staff'!$J$16:$J$115,0))),"")</f>
        <v/>
      </c>
      <c r="Z9" s="29">
        <f>IFERROR(IF(A9="","",IF(F9="Canceled","Canceled",IF(P9="DND","On Hold",IF(O9&lt;&gt;"","Completed",IF(N9&lt;&gt;"","In Progress","Not Started"))))),"")</f>
        <v/>
      </c>
      <c r="AA9" s="29">
        <f>IFERROR(IF(A9="","",IF(Z9&lt;&gt;"Completed","No",IF(Q9="Yes",IF(S9="Passed","Yes","No"),"Yes"))),"")</f>
        <v/>
      </c>
      <c r="AB9" s="29">
        <f>IFERROR(IF(AA9&lt;&gt;"Yes","",IF(K9="","Yes",IF(T9&lt;&gt;"",IF(T9&lt;=K9-'Rooms and Staff'!$B$11/1440,"Yes","No"),"No"))),"")</f>
        <v/>
      </c>
      <c r="AC9" s="23" t="n"/>
      <c r="AD9" s="23" t="n"/>
      <c r="AE9" s="29">
        <f>IFERROR(IF(A9="","",IF(C9="Room not found","Room not found",IF(COUNTIFS($A$2:$A$101,A9,$B$2:$B$101,B9)&gt;1,"Duplicate room assignment",IF(H9="","Attendant not assigned",IF(AND(N9&lt;&gt;"",O9&lt;&gt;"",O9&lt;N9),"Actual finish is before start",IF(AND(L9&lt;&gt;"",M9&lt;&gt;"",M9&lt;L9),"Planned finish is before start",IF(AND(P9="DND",O9&lt;&gt;""),"DND room marked completed",IF(AND(Q9="Yes",Z9="Completed",S9=""),"Inspection result missing",IF(S9="Failed","Inspection failed",IF(AND(K9&lt;&gt;"",J9&lt;&gt;"",K9&lt;J9),"Arrival is before check-out","OK")))))))))),"Review row")</f>
        <v/>
      </c>
      <c r="AH9">
        <f>IFERROR(IF(AND($A9='Dashboard'!$B$3,$AE9&lt;&gt;"OK",$AE9&lt;&gt;""),COUNTIFS($A$2:A9,'Dashboard'!$B$3,$AE$2:AE9,"&lt;&gt;OK",$AE$2:AE9,"&lt;&gt;"),""),"")</f>
        <v/>
      </c>
    </row>
    <row r="10">
      <c r="A10" s="22">
        <f>IFERROR(IF(B10="","",'Dashboard'!$B$3),"")</f>
        <v/>
      </c>
      <c r="B10" s="23" t="inlineStr">
        <is>
          <t>301</t>
        </is>
      </c>
      <c r="C10" s="24">
        <f>IFERROR(IF(B10="","",IFERROR(INDEX('Rooms and Staff'!$B$16:$B$115,MATCH(B10,'Rooms and Staff'!$A$16:$A$115,0)),"Room not found")),"")</f>
        <v/>
      </c>
      <c r="D10" s="24">
        <f>IFERROR(IF(B10="","",IFERROR(INDEX('Rooms and Staff'!$C$16:$C$115,MATCH(B10,'Rooms and Staff'!$A$16:$A$115,0)),"")),"")</f>
        <v/>
      </c>
      <c r="E10" s="23" t="inlineStr">
        <is>
          <t>Vacant Dirty</t>
        </is>
      </c>
      <c r="F10" s="23" t="inlineStr">
        <is>
          <t>Checkout</t>
        </is>
      </c>
      <c r="G10" s="23" t="inlineStr">
        <is>
          <t>High</t>
        </is>
      </c>
      <c r="H10" s="23" t="inlineStr"/>
      <c r="I10" s="23" t="inlineStr">
        <is>
          <t>Day</t>
        </is>
      </c>
      <c r="J10" s="25" t="n"/>
      <c r="K10" s="25" t="n"/>
      <c r="L10" s="25" t="n"/>
      <c r="M10" s="25" t="n"/>
      <c r="N10" s="25" t="n"/>
      <c r="O10" s="25" t="n"/>
      <c r="P10" s="23" t="n"/>
      <c r="Q10" s="23" t="n"/>
      <c r="R10" s="23" t="n"/>
      <c r="S10" s="23" t="n"/>
      <c r="T10" s="25" t="n"/>
      <c r="U10" s="26">
        <f>IFERROR(IF(A10="","",IF(F10="Canceled",0,IF(F10="","",IF(F10="Checkout",'Rooms and Staff'!$B$4,IF(F10="Stayover",'Rooms and Staff'!$B$5,IF(F10="Deep Clean",'Rooms and Staff'!$B$6,IF(F10="Touch-Up",'Rooms and Staff'!$B$7,IF(F10="Public Area",'Rooms and Staff'!$B$8,0)))))))),"")</f>
        <v/>
      </c>
      <c r="V10" s="26">
        <f>IFERROR(IF(OR(N10="",O10=""),"",(O10-N10)*1440),"")</f>
        <v/>
      </c>
      <c r="W10" s="26">
        <f>IFERROR(IF(OR(V10="",U10=""),"",V10-U10),"")</f>
        <v/>
      </c>
      <c r="X10" s="27">
        <f>IFERROR(IF(OR(H10="",U10=""),"",(U10/60)*INDEX('Rooms and Staff'!$P$16:$P$115,MATCH(H10,'Rooms and Staff'!$J$16:$J$115,0))),"")</f>
        <v/>
      </c>
      <c r="Y10" s="27">
        <f>IFERROR(IF(OR(H10="",V10=""),"",(V10/60)*INDEX('Rooms and Staff'!$P$16:$P$115,MATCH(H10,'Rooms and Staff'!$J$16:$J$115,0))),"")</f>
        <v/>
      </c>
      <c r="Z10" s="24">
        <f>IFERROR(IF(A10="","",IF(F10="Canceled","Canceled",IF(P10="DND","On Hold",IF(O10&lt;&gt;"","Completed",IF(N10&lt;&gt;"","In Progress","Not Started"))))),"")</f>
        <v/>
      </c>
      <c r="AA10" s="24">
        <f>IFERROR(IF(A10="","",IF(Z10&lt;&gt;"Completed","No",IF(Q10="Yes",IF(S10="Passed","Yes","No"),"Yes"))),"")</f>
        <v/>
      </c>
      <c r="AB10" s="24">
        <f>IFERROR(IF(AA10&lt;&gt;"Yes","",IF(K10="","Yes",IF(T10&lt;&gt;"",IF(T10&lt;=K10-'Rooms and Staff'!$B$11/1440,"Yes","No"),"No"))),"")</f>
        <v/>
      </c>
      <c r="AC10" s="23" t="n"/>
      <c r="AD10" s="23" t="n"/>
      <c r="AE10" s="24">
        <f>IFERROR(IF(A10="","",IF(C10="Room not found","Room not found",IF(COUNTIFS($A$2:$A$101,A10,$B$2:$B$101,B10)&gt;1,"Duplicate room assignment",IF(H10="","Attendant not assigned",IF(AND(N10&lt;&gt;"",O10&lt;&gt;"",O10&lt;N10),"Actual finish is before start",IF(AND(L10&lt;&gt;"",M10&lt;&gt;"",M10&lt;L10),"Planned finish is before start",IF(AND(P10="DND",O10&lt;&gt;""),"DND room marked completed",IF(AND(Q10="Yes",Z10="Completed",S10=""),"Inspection result missing",IF(S10="Failed","Inspection failed",IF(AND(K10&lt;&gt;"",J10&lt;&gt;"",K10&lt;J10),"Arrival is before check-out","OK")))))))))),"Review row")</f>
        <v/>
      </c>
      <c r="AH10">
        <f>IFERROR(IF(AND($A10='Dashboard'!$B$3,$AE10&lt;&gt;"OK",$AE10&lt;&gt;""),COUNTIFS($A$2:A10,'Dashboard'!$B$3,$AE$2:AE10,"&lt;&gt;OK",$AE$2:AE10,"&lt;&gt;"),""),"")</f>
        <v/>
      </c>
    </row>
    <row r="11">
      <c r="A11" s="28">
        <f>IFERROR(IF(B11="","",'Dashboard'!$B$3),"")</f>
        <v/>
      </c>
      <c r="B11" s="23" t="inlineStr">
        <is>
          <t>302</t>
        </is>
      </c>
      <c r="C11" s="29">
        <f>IFERROR(IF(B11="","",IFERROR(INDEX('Rooms and Staff'!$B$16:$B$115,MATCH(B11,'Rooms and Staff'!$A$16:$A$115,0)),"Room not found")),"")</f>
        <v/>
      </c>
      <c r="D11" s="29">
        <f>IFERROR(IF(B11="","",IFERROR(INDEX('Rooms and Staff'!$C$16:$C$115,MATCH(B11,'Rooms and Staff'!$A$16:$A$115,0)),"")),"")</f>
        <v/>
      </c>
      <c r="E11" s="23" t="inlineStr">
        <is>
          <t>Due Out</t>
        </is>
      </c>
      <c r="F11" s="23" t="inlineStr">
        <is>
          <t>Checkout</t>
        </is>
      </c>
      <c r="G11" s="23" t="inlineStr">
        <is>
          <t>High</t>
        </is>
      </c>
      <c r="H11" s="23" t="inlineStr">
        <is>
          <t>Rosa Martinez</t>
        </is>
      </c>
      <c r="I11" s="23" t="inlineStr">
        <is>
          <t>Day</t>
        </is>
      </c>
      <c r="J11" s="25" t="n"/>
      <c r="K11" s="25" t="n"/>
      <c r="L11" s="25" t="n"/>
      <c r="M11" s="25" t="n"/>
      <c r="N11" s="25" t="n"/>
      <c r="O11" s="25" t="n"/>
      <c r="P11" s="23" t="n"/>
      <c r="Q11" s="23" t="n"/>
      <c r="R11" s="23" t="n"/>
      <c r="S11" s="23" t="n"/>
      <c r="T11" s="25" t="n"/>
      <c r="U11" s="30">
        <f>IFERROR(IF(A11="","",IF(F11="Canceled",0,IF(F11="","",IF(F11="Checkout",'Rooms and Staff'!$B$4,IF(F11="Stayover",'Rooms and Staff'!$B$5,IF(F11="Deep Clean",'Rooms and Staff'!$B$6,IF(F11="Touch-Up",'Rooms and Staff'!$B$7,IF(F11="Public Area",'Rooms and Staff'!$B$8,0)))))))),"")</f>
        <v/>
      </c>
      <c r="V11" s="30">
        <f>IFERROR(IF(OR(N11="",O11=""),"",(O11-N11)*1440),"")</f>
        <v/>
      </c>
      <c r="W11" s="30">
        <f>IFERROR(IF(OR(V11="",U11=""),"",V11-U11),"")</f>
        <v/>
      </c>
      <c r="X11" s="31">
        <f>IFERROR(IF(OR(H11="",U11=""),"",(U11/60)*INDEX('Rooms and Staff'!$P$16:$P$115,MATCH(H11,'Rooms and Staff'!$J$16:$J$115,0))),"")</f>
        <v/>
      </c>
      <c r="Y11" s="31">
        <f>IFERROR(IF(OR(H11="",V11=""),"",(V11/60)*INDEX('Rooms and Staff'!$P$16:$P$115,MATCH(H11,'Rooms and Staff'!$J$16:$J$115,0))),"")</f>
        <v/>
      </c>
      <c r="Z11" s="29">
        <f>IFERROR(IF(A11="","",IF(F11="Canceled","Canceled",IF(P11="DND","On Hold",IF(O11&lt;&gt;"","Completed",IF(N11&lt;&gt;"","In Progress","Not Started"))))),"")</f>
        <v/>
      </c>
      <c r="AA11" s="29">
        <f>IFERROR(IF(A11="","",IF(Z11&lt;&gt;"Completed","No",IF(Q11="Yes",IF(S11="Passed","Yes","No"),"Yes"))),"")</f>
        <v/>
      </c>
      <c r="AB11" s="29">
        <f>IFERROR(IF(AA11&lt;&gt;"Yes","",IF(K11="","Yes",IF(T11&lt;&gt;"",IF(T11&lt;=K11-'Rooms and Staff'!$B$11/1440,"Yes","No"),"No"))),"")</f>
        <v/>
      </c>
      <c r="AC11" s="23" t="n"/>
      <c r="AD11" s="23" t="n"/>
      <c r="AE11" s="29">
        <f>IFERROR(IF(A11="","",IF(C11="Room not found","Room not found",IF(COUNTIFS($A$2:$A$101,A11,$B$2:$B$101,B11)&gt;1,"Duplicate room assignment",IF(H11="","Attendant not assigned",IF(AND(N11&lt;&gt;"",O11&lt;&gt;"",O11&lt;N11),"Actual finish is before start",IF(AND(L11&lt;&gt;"",M11&lt;&gt;"",M11&lt;L11),"Planned finish is before start",IF(AND(P11="DND",O11&lt;&gt;""),"DND room marked completed",IF(AND(Q11="Yes",Z11="Completed",S11=""),"Inspection result missing",IF(S11="Failed","Inspection failed",IF(AND(K11&lt;&gt;"",J11&lt;&gt;"",K11&lt;J11),"Arrival is before check-out","OK")))))))))),"Review row")</f>
        <v/>
      </c>
      <c r="AH11">
        <f>IFERROR(IF(AND($A11='Dashboard'!$B$3,$AE11&lt;&gt;"OK",$AE11&lt;&gt;""),COUNTIFS($A$2:A11,'Dashboard'!$B$3,$AE$2:AE11,"&lt;&gt;OK",$AE$2:AE11,"&lt;&gt;"),""),"")</f>
        <v/>
      </c>
    </row>
    <row r="12">
      <c r="A12" s="22">
        <f>IFERROR(IF(B12="","",'Dashboard'!$B$3),"")</f>
        <v/>
      </c>
      <c r="B12" s="23" t="n"/>
      <c r="C12" s="24">
        <f>IFERROR(IF(B12="","",IFERROR(INDEX('Rooms and Staff'!$B$16:$B$115,MATCH(B12,'Rooms and Staff'!$A$16:$A$115,0)),"Room not found")),"")</f>
        <v/>
      </c>
      <c r="D12" s="24">
        <f>IFERROR(IF(B12="","",IFERROR(INDEX('Rooms and Staff'!$C$16:$C$115,MATCH(B12,'Rooms and Staff'!$A$16:$A$115,0)),"")),"")</f>
        <v/>
      </c>
      <c r="E12" s="23" t="n"/>
      <c r="F12" s="23" t="n"/>
      <c r="G12" s="23" t="n"/>
      <c r="H12" s="23" t="n"/>
      <c r="I12" s="23" t="n"/>
      <c r="J12" s="25" t="n"/>
      <c r="K12" s="25" t="n"/>
      <c r="L12" s="25" t="n"/>
      <c r="M12" s="25" t="n"/>
      <c r="N12" s="25" t="n"/>
      <c r="O12" s="25" t="n"/>
      <c r="P12" s="23" t="n"/>
      <c r="Q12" s="23" t="n"/>
      <c r="R12" s="23" t="n"/>
      <c r="S12" s="23" t="n"/>
      <c r="T12" s="25" t="n"/>
      <c r="U12" s="26">
        <f>IFERROR(IF(A12="","",IF(F12="Canceled",0,IF(F12="","",IF(F12="Checkout",'Rooms and Staff'!$B$4,IF(F12="Stayover",'Rooms and Staff'!$B$5,IF(F12="Deep Clean",'Rooms and Staff'!$B$6,IF(F12="Touch-Up",'Rooms and Staff'!$B$7,IF(F12="Public Area",'Rooms and Staff'!$B$8,0)))))))),"")</f>
        <v/>
      </c>
      <c r="V12" s="26">
        <f>IFERROR(IF(OR(N12="",O12=""),"",(O12-N12)*1440),"")</f>
        <v/>
      </c>
      <c r="W12" s="26">
        <f>IFERROR(IF(OR(V12="",U12=""),"",V12-U12),"")</f>
        <v/>
      </c>
      <c r="X12" s="27">
        <f>IFERROR(IF(OR(H12="",U12=""),"",(U12/60)*INDEX('Rooms and Staff'!$P$16:$P$115,MATCH(H12,'Rooms and Staff'!$J$16:$J$115,0))),"")</f>
        <v/>
      </c>
      <c r="Y12" s="27">
        <f>IFERROR(IF(OR(H12="",V12=""),"",(V12/60)*INDEX('Rooms and Staff'!$P$16:$P$115,MATCH(H12,'Rooms and Staff'!$J$16:$J$115,0))),"")</f>
        <v/>
      </c>
      <c r="Z12" s="24">
        <f>IFERROR(IF(A12="","",IF(F12="Canceled","Canceled",IF(P12="DND","On Hold",IF(O12&lt;&gt;"","Completed",IF(N12&lt;&gt;"","In Progress","Not Started"))))),"")</f>
        <v/>
      </c>
      <c r="AA12" s="24">
        <f>IFERROR(IF(A12="","",IF(Z12&lt;&gt;"Completed","No",IF(Q12="Yes",IF(S12="Passed","Yes","No"),"Yes"))),"")</f>
        <v/>
      </c>
      <c r="AB12" s="24">
        <f>IFERROR(IF(AA12&lt;&gt;"Yes","",IF(K12="","Yes",IF(T12&lt;&gt;"",IF(T12&lt;=K12-'Rooms and Staff'!$B$11/1440,"Yes","No"),"No"))),"")</f>
        <v/>
      </c>
      <c r="AC12" s="23" t="n"/>
      <c r="AD12" s="23" t="n"/>
      <c r="AE12" s="24">
        <f>IFERROR(IF(A12="","",IF(C12="Room not found","Room not found",IF(COUNTIFS($A$2:$A$101,A12,$B$2:$B$101,B12)&gt;1,"Duplicate room assignment",IF(H12="","Attendant not assigned",IF(AND(N12&lt;&gt;"",O12&lt;&gt;"",O12&lt;N12),"Actual finish is before start",IF(AND(L12&lt;&gt;"",M12&lt;&gt;"",M12&lt;L12),"Planned finish is before start",IF(AND(P12="DND",O12&lt;&gt;""),"DND room marked completed",IF(AND(Q12="Yes",Z12="Completed",S12=""),"Inspection result missing",IF(S12="Failed","Inspection failed",IF(AND(K12&lt;&gt;"",J12&lt;&gt;"",K12&lt;J12),"Arrival is before check-out","OK")))))))))),"Review row")</f>
        <v/>
      </c>
      <c r="AH12">
        <f>IFERROR(IF(AND($A12='Dashboard'!$B$3,$AE12&lt;&gt;"OK",$AE12&lt;&gt;""),COUNTIFS($A$2:A12,'Dashboard'!$B$3,$AE$2:AE12,"&lt;&gt;OK",$AE$2:AE12,"&lt;&gt;"),""),"")</f>
        <v/>
      </c>
    </row>
    <row r="13">
      <c r="A13" s="28">
        <f>IFERROR(IF(B13="","",'Dashboard'!$B$3),"")</f>
        <v/>
      </c>
      <c r="B13" s="23" t="n"/>
      <c r="C13" s="29">
        <f>IFERROR(IF(B13="","",IFERROR(INDEX('Rooms and Staff'!$B$16:$B$115,MATCH(B13,'Rooms and Staff'!$A$16:$A$115,0)),"Room not found")),"")</f>
        <v/>
      </c>
      <c r="D13" s="29">
        <f>IFERROR(IF(B13="","",IFERROR(INDEX('Rooms and Staff'!$C$16:$C$115,MATCH(B13,'Rooms and Staff'!$A$16:$A$115,0)),"")),"")</f>
        <v/>
      </c>
      <c r="E13" s="23" t="n"/>
      <c r="F13" s="23" t="n"/>
      <c r="G13" s="23" t="n"/>
      <c r="H13" s="23" t="n"/>
      <c r="I13" s="23" t="n"/>
      <c r="J13" s="25" t="n"/>
      <c r="K13" s="25" t="n"/>
      <c r="L13" s="25" t="n"/>
      <c r="M13" s="25" t="n"/>
      <c r="N13" s="25" t="n"/>
      <c r="O13" s="25" t="n"/>
      <c r="P13" s="23" t="n"/>
      <c r="Q13" s="23" t="n"/>
      <c r="R13" s="23" t="n"/>
      <c r="S13" s="23" t="n"/>
      <c r="T13" s="25" t="n"/>
      <c r="U13" s="30">
        <f>IFERROR(IF(A13="","",IF(F13="Canceled",0,IF(F13="","",IF(F13="Checkout",'Rooms and Staff'!$B$4,IF(F13="Stayover",'Rooms and Staff'!$B$5,IF(F13="Deep Clean",'Rooms and Staff'!$B$6,IF(F13="Touch-Up",'Rooms and Staff'!$B$7,IF(F13="Public Area",'Rooms and Staff'!$B$8,0)))))))),"")</f>
        <v/>
      </c>
      <c r="V13" s="30">
        <f>IFERROR(IF(OR(N13="",O13=""),"",(O13-N13)*1440),"")</f>
        <v/>
      </c>
      <c r="W13" s="30">
        <f>IFERROR(IF(OR(V13="",U13=""),"",V13-U13),"")</f>
        <v/>
      </c>
      <c r="X13" s="31">
        <f>IFERROR(IF(OR(H13="",U13=""),"",(U13/60)*INDEX('Rooms and Staff'!$P$16:$P$115,MATCH(H13,'Rooms and Staff'!$J$16:$J$115,0))),"")</f>
        <v/>
      </c>
      <c r="Y13" s="31">
        <f>IFERROR(IF(OR(H13="",V13=""),"",(V13/60)*INDEX('Rooms and Staff'!$P$16:$P$115,MATCH(H13,'Rooms and Staff'!$J$16:$J$115,0))),"")</f>
        <v/>
      </c>
      <c r="Z13" s="29">
        <f>IFERROR(IF(A13="","",IF(F13="Canceled","Canceled",IF(P13="DND","On Hold",IF(O13&lt;&gt;"","Completed",IF(N13&lt;&gt;"","In Progress","Not Started"))))),"")</f>
        <v/>
      </c>
      <c r="AA13" s="29">
        <f>IFERROR(IF(A13="","",IF(Z13&lt;&gt;"Completed","No",IF(Q13="Yes",IF(S13="Passed","Yes","No"),"Yes"))),"")</f>
        <v/>
      </c>
      <c r="AB13" s="29">
        <f>IFERROR(IF(AA13&lt;&gt;"Yes","",IF(K13="","Yes",IF(T13&lt;&gt;"",IF(T13&lt;=K13-'Rooms and Staff'!$B$11/1440,"Yes","No"),"No"))),"")</f>
        <v/>
      </c>
      <c r="AC13" s="23" t="n"/>
      <c r="AD13" s="23" t="n"/>
      <c r="AE13" s="29">
        <f>IFERROR(IF(A13="","",IF(C13="Room not found","Room not found",IF(COUNTIFS($A$2:$A$101,A13,$B$2:$B$101,B13)&gt;1,"Duplicate room assignment",IF(H13="","Attendant not assigned",IF(AND(N13&lt;&gt;"",O13&lt;&gt;"",O13&lt;N13),"Actual finish is before start",IF(AND(L13&lt;&gt;"",M13&lt;&gt;"",M13&lt;L13),"Planned finish is before start",IF(AND(P13="DND",O13&lt;&gt;""),"DND room marked completed",IF(AND(Q13="Yes",Z13="Completed",S13=""),"Inspection result missing",IF(S13="Failed","Inspection failed",IF(AND(K13&lt;&gt;"",J13&lt;&gt;"",K13&lt;J13),"Arrival is before check-out","OK")))))))))),"Review row")</f>
        <v/>
      </c>
      <c r="AH13">
        <f>IFERROR(IF(AND($A13='Dashboard'!$B$3,$AE13&lt;&gt;"OK",$AE13&lt;&gt;""),COUNTIFS($A$2:A13,'Dashboard'!$B$3,$AE$2:AE13,"&lt;&gt;OK",$AE$2:AE13,"&lt;&gt;"),""),"")</f>
        <v/>
      </c>
    </row>
    <row r="14">
      <c r="A14" s="22">
        <f>IFERROR(IF(B14="","",'Dashboard'!$B$3),"")</f>
        <v/>
      </c>
      <c r="B14" s="23" t="n"/>
      <c r="C14" s="24">
        <f>IFERROR(IF(B14="","",IFERROR(INDEX('Rooms and Staff'!$B$16:$B$115,MATCH(B14,'Rooms and Staff'!$A$16:$A$115,0)),"Room not found")),"")</f>
        <v/>
      </c>
      <c r="D14" s="24">
        <f>IFERROR(IF(B14="","",IFERROR(INDEX('Rooms and Staff'!$C$16:$C$115,MATCH(B14,'Rooms and Staff'!$A$16:$A$115,0)),"")),"")</f>
        <v/>
      </c>
      <c r="E14" s="23" t="n"/>
      <c r="F14" s="23" t="n"/>
      <c r="G14" s="23" t="n"/>
      <c r="H14" s="23" t="n"/>
      <c r="I14" s="23" t="n"/>
      <c r="J14" s="25" t="n"/>
      <c r="K14" s="25" t="n"/>
      <c r="L14" s="25" t="n"/>
      <c r="M14" s="25" t="n"/>
      <c r="N14" s="25" t="n"/>
      <c r="O14" s="25" t="n"/>
      <c r="P14" s="23" t="n"/>
      <c r="Q14" s="23" t="n"/>
      <c r="R14" s="23" t="n"/>
      <c r="S14" s="23" t="n"/>
      <c r="T14" s="25" t="n"/>
      <c r="U14" s="26">
        <f>IFERROR(IF(A14="","",IF(F14="Canceled",0,IF(F14="","",IF(F14="Checkout",'Rooms and Staff'!$B$4,IF(F14="Stayover",'Rooms and Staff'!$B$5,IF(F14="Deep Clean",'Rooms and Staff'!$B$6,IF(F14="Touch-Up",'Rooms and Staff'!$B$7,IF(F14="Public Area",'Rooms and Staff'!$B$8,0)))))))),"")</f>
        <v/>
      </c>
      <c r="V14" s="26">
        <f>IFERROR(IF(OR(N14="",O14=""),"",(O14-N14)*1440),"")</f>
        <v/>
      </c>
      <c r="W14" s="26">
        <f>IFERROR(IF(OR(V14="",U14=""),"",V14-U14),"")</f>
        <v/>
      </c>
      <c r="X14" s="27">
        <f>IFERROR(IF(OR(H14="",U14=""),"",(U14/60)*INDEX('Rooms and Staff'!$P$16:$P$115,MATCH(H14,'Rooms and Staff'!$J$16:$J$115,0))),"")</f>
        <v/>
      </c>
      <c r="Y14" s="27">
        <f>IFERROR(IF(OR(H14="",V14=""),"",(V14/60)*INDEX('Rooms and Staff'!$P$16:$P$115,MATCH(H14,'Rooms and Staff'!$J$16:$J$115,0))),"")</f>
        <v/>
      </c>
      <c r="Z14" s="24">
        <f>IFERROR(IF(A14="","",IF(F14="Canceled","Canceled",IF(P14="DND","On Hold",IF(O14&lt;&gt;"","Completed",IF(N14&lt;&gt;"","In Progress","Not Started"))))),"")</f>
        <v/>
      </c>
      <c r="AA14" s="24">
        <f>IFERROR(IF(A14="","",IF(Z14&lt;&gt;"Completed","No",IF(Q14="Yes",IF(S14="Passed","Yes","No"),"Yes"))),"")</f>
        <v/>
      </c>
      <c r="AB14" s="24">
        <f>IFERROR(IF(AA14&lt;&gt;"Yes","",IF(K14="","Yes",IF(T14&lt;&gt;"",IF(T14&lt;=K14-'Rooms and Staff'!$B$11/1440,"Yes","No"),"No"))),"")</f>
        <v/>
      </c>
      <c r="AC14" s="23" t="n"/>
      <c r="AD14" s="23" t="n"/>
      <c r="AE14" s="24">
        <f>IFERROR(IF(A14="","",IF(C14="Room not found","Room not found",IF(COUNTIFS($A$2:$A$101,A14,$B$2:$B$101,B14)&gt;1,"Duplicate room assignment",IF(H14="","Attendant not assigned",IF(AND(N14&lt;&gt;"",O14&lt;&gt;"",O14&lt;N14),"Actual finish is before start",IF(AND(L14&lt;&gt;"",M14&lt;&gt;"",M14&lt;L14),"Planned finish is before start",IF(AND(P14="DND",O14&lt;&gt;""),"DND room marked completed",IF(AND(Q14="Yes",Z14="Completed",S14=""),"Inspection result missing",IF(S14="Failed","Inspection failed",IF(AND(K14&lt;&gt;"",J14&lt;&gt;"",K14&lt;J14),"Arrival is before check-out","OK")))))))))),"Review row")</f>
        <v/>
      </c>
      <c r="AH14">
        <f>IFERROR(IF(AND($A14='Dashboard'!$B$3,$AE14&lt;&gt;"OK",$AE14&lt;&gt;""),COUNTIFS($A$2:A14,'Dashboard'!$B$3,$AE$2:AE14,"&lt;&gt;OK",$AE$2:AE14,"&lt;&gt;"),""),"")</f>
        <v/>
      </c>
    </row>
    <row r="15">
      <c r="A15" s="28">
        <f>IFERROR(IF(B15="","",'Dashboard'!$B$3),"")</f>
        <v/>
      </c>
      <c r="B15" s="23" t="n"/>
      <c r="C15" s="29">
        <f>IFERROR(IF(B15="","",IFERROR(INDEX('Rooms and Staff'!$B$16:$B$115,MATCH(B15,'Rooms and Staff'!$A$16:$A$115,0)),"Room not found")),"")</f>
        <v/>
      </c>
      <c r="D15" s="29">
        <f>IFERROR(IF(B15="","",IFERROR(INDEX('Rooms and Staff'!$C$16:$C$115,MATCH(B15,'Rooms and Staff'!$A$16:$A$115,0)),"")),"")</f>
        <v/>
      </c>
      <c r="E15" s="23" t="n"/>
      <c r="F15" s="23" t="n"/>
      <c r="G15" s="23" t="n"/>
      <c r="H15" s="23" t="n"/>
      <c r="I15" s="23" t="n"/>
      <c r="J15" s="25" t="n"/>
      <c r="K15" s="25" t="n"/>
      <c r="L15" s="25" t="n"/>
      <c r="M15" s="25" t="n"/>
      <c r="N15" s="25" t="n"/>
      <c r="O15" s="25" t="n"/>
      <c r="P15" s="23" t="n"/>
      <c r="Q15" s="23" t="n"/>
      <c r="R15" s="23" t="n"/>
      <c r="S15" s="23" t="n"/>
      <c r="T15" s="25" t="n"/>
      <c r="U15" s="30">
        <f>IFERROR(IF(A15="","",IF(F15="Canceled",0,IF(F15="","",IF(F15="Checkout",'Rooms and Staff'!$B$4,IF(F15="Stayover",'Rooms and Staff'!$B$5,IF(F15="Deep Clean",'Rooms and Staff'!$B$6,IF(F15="Touch-Up",'Rooms and Staff'!$B$7,IF(F15="Public Area",'Rooms and Staff'!$B$8,0)))))))),"")</f>
        <v/>
      </c>
      <c r="V15" s="30">
        <f>IFERROR(IF(OR(N15="",O15=""),"",(O15-N15)*1440),"")</f>
        <v/>
      </c>
      <c r="W15" s="30">
        <f>IFERROR(IF(OR(V15="",U15=""),"",V15-U15),"")</f>
        <v/>
      </c>
      <c r="X15" s="31">
        <f>IFERROR(IF(OR(H15="",U15=""),"",(U15/60)*INDEX('Rooms and Staff'!$P$16:$P$115,MATCH(H15,'Rooms and Staff'!$J$16:$J$115,0))),"")</f>
        <v/>
      </c>
      <c r="Y15" s="31">
        <f>IFERROR(IF(OR(H15="",V15=""),"",(V15/60)*INDEX('Rooms and Staff'!$P$16:$P$115,MATCH(H15,'Rooms and Staff'!$J$16:$J$115,0))),"")</f>
        <v/>
      </c>
      <c r="Z15" s="29">
        <f>IFERROR(IF(A15="","",IF(F15="Canceled","Canceled",IF(P15="DND","On Hold",IF(O15&lt;&gt;"","Completed",IF(N15&lt;&gt;"","In Progress","Not Started"))))),"")</f>
        <v/>
      </c>
      <c r="AA15" s="29">
        <f>IFERROR(IF(A15="","",IF(Z15&lt;&gt;"Completed","No",IF(Q15="Yes",IF(S15="Passed","Yes","No"),"Yes"))),"")</f>
        <v/>
      </c>
      <c r="AB15" s="29">
        <f>IFERROR(IF(AA15&lt;&gt;"Yes","",IF(K15="","Yes",IF(T15&lt;&gt;"",IF(T15&lt;=K15-'Rooms and Staff'!$B$11/1440,"Yes","No"),"No"))),"")</f>
        <v/>
      </c>
      <c r="AC15" s="23" t="n"/>
      <c r="AD15" s="23" t="n"/>
      <c r="AE15" s="29">
        <f>IFERROR(IF(A15="","",IF(C15="Room not found","Room not found",IF(COUNTIFS($A$2:$A$101,A15,$B$2:$B$101,B15)&gt;1,"Duplicate room assignment",IF(H15="","Attendant not assigned",IF(AND(N15&lt;&gt;"",O15&lt;&gt;"",O15&lt;N15),"Actual finish is before start",IF(AND(L15&lt;&gt;"",M15&lt;&gt;"",M15&lt;L15),"Planned finish is before start",IF(AND(P15="DND",O15&lt;&gt;""),"DND room marked completed",IF(AND(Q15="Yes",Z15="Completed",S15=""),"Inspection result missing",IF(S15="Failed","Inspection failed",IF(AND(K15&lt;&gt;"",J15&lt;&gt;"",K15&lt;J15),"Arrival is before check-out","OK")))))))))),"Review row")</f>
        <v/>
      </c>
      <c r="AH15">
        <f>IFERROR(IF(AND($A15='Dashboard'!$B$3,$AE15&lt;&gt;"OK",$AE15&lt;&gt;""),COUNTIFS($A$2:A15,'Dashboard'!$B$3,$AE$2:AE15,"&lt;&gt;OK",$AE$2:AE15,"&lt;&gt;"),""),"")</f>
        <v/>
      </c>
    </row>
    <row r="16">
      <c r="A16" s="22">
        <f>IFERROR(IF(B16="","",'Dashboard'!$B$3),"")</f>
        <v/>
      </c>
      <c r="B16" s="23" t="n"/>
      <c r="C16" s="24">
        <f>IFERROR(IF(B16="","",IFERROR(INDEX('Rooms and Staff'!$B$16:$B$115,MATCH(B16,'Rooms and Staff'!$A$16:$A$115,0)),"Room not found")),"")</f>
        <v/>
      </c>
      <c r="D16" s="24">
        <f>IFERROR(IF(B16="","",IFERROR(INDEX('Rooms and Staff'!$C$16:$C$115,MATCH(B16,'Rooms and Staff'!$A$16:$A$115,0)),"")),"")</f>
        <v/>
      </c>
      <c r="E16" s="23" t="n"/>
      <c r="F16" s="23" t="n"/>
      <c r="G16" s="23" t="n"/>
      <c r="H16" s="23" t="n"/>
      <c r="I16" s="23" t="n"/>
      <c r="J16" s="25" t="n"/>
      <c r="K16" s="25" t="n"/>
      <c r="L16" s="25" t="n"/>
      <c r="M16" s="25" t="n"/>
      <c r="N16" s="25" t="n"/>
      <c r="O16" s="25" t="n"/>
      <c r="P16" s="23" t="n"/>
      <c r="Q16" s="23" t="n"/>
      <c r="R16" s="23" t="n"/>
      <c r="S16" s="23" t="n"/>
      <c r="T16" s="25" t="n"/>
      <c r="U16" s="26">
        <f>IFERROR(IF(A16="","",IF(F16="Canceled",0,IF(F16="","",IF(F16="Checkout",'Rooms and Staff'!$B$4,IF(F16="Stayover",'Rooms and Staff'!$B$5,IF(F16="Deep Clean",'Rooms and Staff'!$B$6,IF(F16="Touch-Up",'Rooms and Staff'!$B$7,IF(F16="Public Area",'Rooms and Staff'!$B$8,0)))))))),"")</f>
        <v/>
      </c>
      <c r="V16" s="26">
        <f>IFERROR(IF(OR(N16="",O16=""),"",(O16-N16)*1440),"")</f>
        <v/>
      </c>
      <c r="W16" s="26">
        <f>IFERROR(IF(OR(V16="",U16=""),"",V16-U16),"")</f>
        <v/>
      </c>
      <c r="X16" s="27">
        <f>IFERROR(IF(OR(H16="",U16=""),"",(U16/60)*INDEX('Rooms and Staff'!$P$16:$P$115,MATCH(H16,'Rooms and Staff'!$J$16:$J$115,0))),"")</f>
        <v/>
      </c>
      <c r="Y16" s="27">
        <f>IFERROR(IF(OR(H16="",V16=""),"",(V16/60)*INDEX('Rooms and Staff'!$P$16:$P$115,MATCH(H16,'Rooms and Staff'!$J$16:$J$115,0))),"")</f>
        <v/>
      </c>
      <c r="Z16" s="24">
        <f>IFERROR(IF(A16="","",IF(F16="Canceled","Canceled",IF(P16="DND","On Hold",IF(O16&lt;&gt;"","Completed",IF(N16&lt;&gt;"","In Progress","Not Started"))))),"")</f>
        <v/>
      </c>
      <c r="AA16" s="24">
        <f>IFERROR(IF(A16="","",IF(Z16&lt;&gt;"Completed","No",IF(Q16="Yes",IF(S16="Passed","Yes","No"),"Yes"))),"")</f>
        <v/>
      </c>
      <c r="AB16" s="24">
        <f>IFERROR(IF(AA16&lt;&gt;"Yes","",IF(K16="","Yes",IF(T16&lt;&gt;"",IF(T16&lt;=K16-'Rooms and Staff'!$B$11/1440,"Yes","No"),"No"))),"")</f>
        <v/>
      </c>
      <c r="AC16" s="23" t="n"/>
      <c r="AD16" s="23" t="n"/>
      <c r="AE16" s="24">
        <f>IFERROR(IF(A16="","",IF(C16="Room not found","Room not found",IF(COUNTIFS($A$2:$A$101,A16,$B$2:$B$101,B16)&gt;1,"Duplicate room assignment",IF(H16="","Attendant not assigned",IF(AND(N16&lt;&gt;"",O16&lt;&gt;"",O16&lt;N16),"Actual finish is before start",IF(AND(L16&lt;&gt;"",M16&lt;&gt;"",M16&lt;L16),"Planned finish is before start",IF(AND(P16="DND",O16&lt;&gt;""),"DND room marked completed",IF(AND(Q16="Yes",Z16="Completed",S16=""),"Inspection result missing",IF(S16="Failed","Inspection failed",IF(AND(K16&lt;&gt;"",J16&lt;&gt;"",K16&lt;J16),"Arrival is before check-out","OK")))))))))),"Review row")</f>
        <v/>
      </c>
      <c r="AH16">
        <f>IFERROR(IF(AND($A16='Dashboard'!$B$3,$AE16&lt;&gt;"OK",$AE16&lt;&gt;""),COUNTIFS($A$2:A16,'Dashboard'!$B$3,$AE$2:AE16,"&lt;&gt;OK",$AE$2:AE16,"&lt;&gt;"),""),"")</f>
        <v/>
      </c>
    </row>
    <row r="17">
      <c r="A17" s="28">
        <f>IFERROR(IF(B17="","",'Dashboard'!$B$3),"")</f>
        <v/>
      </c>
      <c r="B17" s="23" t="n"/>
      <c r="C17" s="29">
        <f>IFERROR(IF(B17="","",IFERROR(INDEX('Rooms and Staff'!$B$16:$B$115,MATCH(B17,'Rooms and Staff'!$A$16:$A$115,0)),"Room not found")),"")</f>
        <v/>
      </c>
      <c r="D17" s="29">
        <f>IFERROR(IF(B17="","",IFERROR(INDEX('Rooms and Staff'!$C$16:$C$115,MATCH(B17,'Rooms and Staff'!$A$16:$A$115,0)),"")),"")</f>
        <v/>
      </c>
      <c r="E17" s="23" t="n"/>
      <c r="F17" s="23" t="n"/>
      <c r="G17" s="23" t="n"/>
      <c r="H17" s="23" t="n"/>
      <c r="I17" s="23" t="n"/>
      <c r="J17" s="25" t="n"/>
      <c r="K17" s="25" t="n"/>
      <c r="L17" s="25" t="n"/>
      <c r="M17" s="25" t="n"/>
      <c r="N17" s="25" t="n"/>
      <c r="O17" s="25" t="n"/>
      <c r="P17" s="23" t="n"/>
      <c r="Q17" s="23" t="n"/>
      <c r="R17" s="23" t="n"/>
      <c r="S17" s="23" t="n"/>
      <c r="T17" s="25" t="n"/>
      <c r="U17" s="30">
        <f>IFERROR(IF(A17="","",IF(F17="Canceled",0,IF(F17="","",IF(F17="Checkout",'Rooms and Staff'!$B$4,IF(F17="Stayover",'Rooms and Staff'!$B$5,IF(F17="Deep Clean",'Rooms and Staff'!$B$6,IF(F17="Touch-Up",'Rooms and Staff'!$B$7,IF(F17="Public Area",'Rooms and Staff'!$B$8,0)))))))),"")</f>
        <v/>
      </c>
      <c r="V17" s="30">
        <f>IFERROR(IF(OR(N17="",O17=""),"",(O17-N17)*1440),"")</f>
        <v/>
      </c>
      <c r="W17" s="30">
        <f>IFERROR(IF(OR(V17="",U17=""),"",V17-U17),"")</f>
        <v/>
      </c>
      <c r="X17" s="31">
        <f>IFERROR(IF(OR(H17="",U17=""),"",(U17/60)*INDEX('Rooms and Staff'!$P$16:$P$115,MATCH(H17,'Rooms and Staff'!$J$16:$J$115,0))),"")</f>
        <v/>
      </c>
      <c r="Y17" s="31">
        <f>IFERROR(IF(OR(H17="",V17=""),"",(V17/60)*INDEX('Rooms and Staff'!$P$16:$P$115,MATCH(H17,'Rooms and Staff'!$J$16:$J$115,0))),"")</f>
        <v/>
      </c>
      <c r="Z17" s="29">
        <f>IFERROR(IF(A17="","",IF(F17="Canceled","Canceled",IF(P17="DND","On Hold",IF(O17&lt;&gt;"","Completed",IF(N17&lt;&gt;"","In Progress","Not Started"))))),"")</f>
        <v/>
      </c>
      <c r="AA17" s="29">
        <f>IFERROR(IF(A17="","",IF(Z17&lt;&gt;"Completed","No",IF(Q17="Yes",IF(S17="Passed","Yes","No"),"Yes"))),"")</f>
        <v/>
      </c>
      <c r="AB17" s="29">
        <f>IFERROR(IF(AA17&lt;&gt;"Yes","",IF(K17="","Yes",IF(T17&lt;&gt;"",IF(T17&lt;=K17-'Rooms and Staff'!$B$11/1440,"Yes","No"),"No"))),"")</f>
        <v/>
      </c>
      <c r="AC17" s="23" t="n"/>
      <c r="AD17" s="23" t="n"/>
      <c r="AE17" s="29">
        <f>IFERROR(IF(A17="","",IF(C17="Room not found","Room not found",IF(COUNTIFS($A$2:$A$101,A17,$B$2:$B$101,B17)&gt;1,"Duplicate room assignment",IF(H17="","Attendant not assigned",IF(AND(N17&lt;&gt;"",O17&lt;&gt;"",O17&lt;N17),"Actual finish is before start",IF(AND(L17&lt;&gt;"",M17&lt;&gt;"",M17&lt;L17),"Planned finish is before start",IF(AND(P17="DND",O17&lt;&gt;""),"DND room marked completed",IF(AND(Q17="Yes",Z17="Completed",S17=""),"Inspection result missing",IF(S17="Failed","Inspection failed",IF(AND(K17&lt;&gt;"",J17&lt;&gt;"",K17&lt;J17),"Arrival is before check-out","OK")))))))))),"Review row")</f>
        <v/>
      </c>
      <c r="AH17">
        <f>IFERROR(IF(AND($A17='Dashboard'!$B$3,$AE17&lt;&gt;"OK",$AE17&lt;&gt;""),COUNTIFS($A$2:A17,'Dashboard'!$B$3,$AE$2:AE17,"&lt;&gt;OK",$AE$2:AE17,"&lt;&gt;"),""),"")</f>
        <v/>
      </c>
    </row>
    <row r="18">
      <c r="A18" s="22">
        <f>IFERROR(IF(B18="","",'Dashboard'!$B$3),"")</f>
        <v/>
      </c>
      <c r="B18" s="23" t="n"/>
      <c r="C18" s="24">
        <f>IFERROR(IF(B18="","",IFERROR(INDEX('Rooms and Staff'!$B$16:$B$115,MATCH(B18,'Rooms and Staff'!$A$16:$A$115,0)),"Room not found")),"")</f>
        <v/>
      </c>
      <c r="D18" s="24">
        <f>IFERROR(IF(B18="","",IFERROR(INDEX('Rooms and Staff'!$C$16:$C$115,MATCH(B18,'Rooms and Staff'!$A$16:$A$115,0)),"")),"")</f>
        <v/>
      </c>
      <c r="E18" s="23" t="n"/>
      <c r="F18" s="23" t="n"/>
      <c r="G18" s="23" t="n"/>
      <c r="H18" s="23" t="n"/>
      <c r="I18" s="23" t="n"/>
      <c r="J18" s="25" t="n"/>
      <c r="K18" s="25" t="n"/>
      <c r="L18" s="25" t="n"/>
      <c r="M18" s="25" t="n"/>
      <c r="N18" s="25" t="n"/>
      <c r="O18" s="25" t="n"/>
      <c r="P18" s="23" t="n"/>
      <c r="Q18" s="23" t="n"/>
      <c r="R18" s="23" t="n"/>
      <c r="S18" s="23" t="n"/>
      <c r="T18" s="25" t="n"/>
      <c r="U18" s="26">
        <f>IFERROR(IF(A18="","",IF(F18="Canceled",0,IF(F18="","",IF(F18="Checkout",'Rooms and Staff'!$B$4,IF(F18="Stayover",'Rooms and Staff'!$B$5,IF(F18="Deep Clean",'Rooms and Staff'!$B$6,IF(F18="Touch-Up",'Rooms and Staff'!$B$7,IF(F18="Public Area",'Rooms and Staff'!$B$8,0)))))))),"")</f>
        <v/>
      </c>
      <c r="V18" s="26">
        <f>IFERROR(IF(OR(N18="",O18=""),"",(O18-N18)*1440),"")</f>
        <v/>
      </c>
      <c r="W18" s="26">
        <f>IFERROR(IF(OR(V18="",U18=""),"",V18-U18),"")</f>
        <v/>
      </c>
      <c r="X18" s="27">
        <f>IFERROR(IF(OR(H18="",U18=""),"",(U18/60)*INDEX('Rooms and Staff'!$P$16:$P$115,MATCH(H18,'Rooms and Staff'!$J$16:$J$115,0))),"")</f>
        <v/>
      </c>
      <c r="Y18" s="27">
        <f>IFERROR(IF(OR(H18="",V18=""),"",(V18/60)*INDEX('Rooms and Staff'!$P$16:$P$115,MATCH(H18,'Rooms and Staff'!$J$16:$J$115,0))),"")</f>
        <v/>
      </c>
      <c r="Z18" s="24">
        <f>IFERROR(IF(A18="","",IF(F18="Canceled","Canceled",IF(P18="DND","On Hold",IF(O18&lt;&gt;"","Completed",IF(N18&lt;&gt;"","In Progress","Not Started"))))),"")</f>
        <v/>
      </c>
      <c r="AA18" s="24">
        <f>IFERROR(IF(A18="","",IF(Z18&lt;&gt;"Completed","No",IF(Q18="Yes",IF(S18="Passed","Yes","No"),"Yes"))),"")</f>
        <v/>
      </c>
      <c r="AB18" s="24">
        <f>IFERROR(IF(AA18&lt;&gt;"Yes","",IF(K18="","Yes",IF(T18&lt;&gt;"",IF(T18&lt;=K18-'Rooms and Staff'!$B$11/1440,"Yes","No"),"No"))),"")</f>
        <v/>
      </c>
      <c r="AC18" s="23" t="n"/>
      <c r="AD18" s="23" t="n"/>
      <c r="AE18" s="24">
        <f>IFERROR(IF(A18="","",IF(C18="Room not found","Room not found",IF(COUNTIFS($A$2:$A$101,A18,$B$2:$B$101,B18)&gt;1,"Duplicate room assignment",IF(H18="","Attendant not assigned",IF(AND(N18&lt;&gt;"",O18&lt;&gt;"",O18&lt;N18),"Actual finish is before start",IF(AND(L18&lt;&gt;"",M18&lt;&gt;"",M18&lt;L18),"Planned finish is before start",IF(AND(P18="DND",O18&lt;&gt;""),"DND room marked completed",IF(AND(Q18="Yes",Z18="Completed",S18=""),"Inspection result missing",IF(S18="Failed","Inspection failed",IF(AND(K18&lt;&gt;"",J18&lt;&gt;"",K18&lt;J18),"Arrival is before check-out","OK")))))))))),"Review row")</f>
        <v/>
      </c>
      <c r="AH18">
        <f>IFERROR(IF(AND($A18='Dashboard'!$B$3,$AE18&lt;&gt;"OK",$AE18&lt;&gt;""),COUNTIFS($A$2:A18,'Dashboard'!$B$3,$AE$2:AE18,"&lt;&gt;OK",$AE$2:AE18,"&lt;&gt;"),""),"")</f>
        <v/>
      </c>
    </row>
    <row r="19">
      <c r="A19" s="28">
        <f>IFERROR(IF(B19="","",'Dashboard'!$B$3),"")</f>
        <v/>
      </c>
      <c r="B19" s="23" t="n"/>
      <c r="C19" s="29">
        <f>IFERROR(IF(B19="","",IFERROR(INDEX('Rooms and Staff'!$B$16:$B$115,MATCH(B19,'Rooms and Staff'!$A$16:$A$115,0)),"Room not found")),"")</f>
        <v/>
      </c>
      <c r="D19" s="29">
        <f>IFERROR(IF(B19="","",IFERROR(INDEX('Rooms and Staff'!$C$16:$C$115,MATCH(B19,'Rooms and Staff'!$A$16:$A$115,0)),"")),"")</f>
        <v/>
      </c>
      <c r="E19" s="23" t="n"/>
      <c r="F19" s="23" t="n"/>
      <c r="G19" s="23" t="n"/>
      <c r="H19" s="23" t="n"/>
      <c r="I19" s="23" t="n"/>
      <c r="J19" s="25" t="n"/>
      <c r="K19" s="25" t="n"/>
      <c r="L19" s="25" t="n"/>
      <c r="M19" s="25" t="n"/>
      <c r="N19" s="25" t="n"/>
      <c r="O19" s="25" t="n"/>
      <c r="P19" s="23" t="n"/>
      <c r="Q19" s="23" t="n"/>
      <c r="R19" s="23" t="n"/>
      <c r="S19" s="23" t="n"/>
      <c r="T19" s="25" t="n"/>
      <c r="U19" s="30">
        <f>IFERROR(IF(A19="","",IF(F19="Canceled",0,IF(F19="","",IF(F19="Checkout",'Rooms and Staff'!$B$4,IF(F19="Stayover",'Rooms and Staff'!$B$5,IF(F19="Deep Clean",'Rooms and Staff'!$B$6,IF(F19="Touch-Up",'Rooms and Staff'!$B$7,IF(F19="Public Area",'Rooms and Staff'!$B$8,0)))))))),"")</f>
        <v/>
      </c>
      <c r="V19" s="30">
        <f>IFERROR(IF(OR(N19="",O19=""),"",(O19-N19)*1440),"")</f>
        <v/>
      </c>
      <c r="W19" s="30">
        <f>IFERROR(IF(OR(V19="",U19=""),"",V19-U19),"")</f>
        <v/>
      </c>
      <c r="X19" s="31">
        <f>IFERROR(IF(OR(H19="",U19=""),"",(U19/60)*INDEX('Rooms and Staff'!$P$16:$P$115,MATCH(H19,'Rooms and Staff'!$J$16:$J$115,0))),"")</f>
        <v/>
      </c>
      <c r="Y19" s="31">
        <f>IFERROR(IF(OR(H19="",V19=""),"",(V19/60)*INDEX('Rooms and Staff'!$P$16:$P$115,MATCH(H19,'Rooms and Staff'!$J$16:$J$115,0))),"")</f>
        <v/>
      </c>
      <c r="Z19" s="29">
        <f>IFERROR(IF(A19="","",IF(F19="Canceled","Canceled",IF(P19="DND","On Hold",IF(O19&lt;&gt;"","Completed",IF(N19&lt;&gt;"","In Progress","Not Started"))))),"")</f>
        <v/>
      </c>
      <c r="AA19" s="29">
        <f>IFERROR(IF(A19="","",IF(Z19&lt;&gt;"Completed","No",IF(Q19="Yes",IF(S19="Passed","Yes","No"),"Yes"))),"")</f>
        <v/>
      </c>
      <c r="AB19" s="29">
        <f>IFERROR(IF(AA19&lt;&gt;"Yes","",IF(K19="","Yes",IF(T19&lt;&gt;"",IF(T19&lt;=K19-'Rooms and Staff'!$B$11/1440,"Yes","No"),"No"))),"")</f>
        <v/>
      </c>
      <c r="AC19" s="23" t="n"/>
      <c r="AD19" s="23" t="n"/>
      <c r="AE19" s="29">
        <f>IFERROR(IF(A19="","",IF(C19="Room not found","Room not found",IF(COUNTIFS($A$2:$A$101,A19,$B$2:$B$101,B19)&gt;1,"Duplicate room assignment",IF(H19="","Attendant not assigned",IF(AND(N19&lt;&gt;"",O19&lt;&gt;"",O19&lt;N19),"Actual finish is before start",IF(AND(L19&lt;&gt;"",M19&lt;&gt;"",M19&lt;L19),"Planned finish is before start",IF(AND(P19="DND",O19&lt;&gt;""),"DND room marked completed",IF(AND(Q19="Yes",Z19="Completed",S19=""),"Inspection result missing",IF(S19="Failed","Inspection failed",IF(AND(K19&lt;&gt;"",J19&lt;&gt;"",K19&lt;J19),"Arrival is before check-out","OK")))))))))),"Review row")</f>
        <v/>
      </c>
      <c r="AH19">
        <f>IFERROR(IF(AND($A19='Dashboard'!$B$3,$AE19&lt;&gt;"OK",$AE19&lt;&gt;""),COUNTIFS($A$2:A19,'Dashboard'!$B$3,$AE$2:AE19,"&lt;&gt;OK",$AE$2:AE19,"&lt;&gt;"),""),"")</f>
        <v/>
      </c>
    </row>
    <row r="20">
      <c r="A20" s="22">
        <f>IFERROR(IF(B20="","",'Dashboard'!$B$3),"")</f>
        <v/>
      </c>
      <c r="B20" s="23" t="n"/>
      <c r="C20" s="24">
        <f>IFERROR(IF(B20="","",IFERROR(INDEX('Rooms and Staff'!$B$16:$B$115,MATCH(B20,'Rooms and Staff'!$A$16:$A$115,0)),"Room not found")),"")</f>
        <v/>
      </c>
      <c r="D20" s="24">
        <f>IFERROR(IF(B20="","",IFERROR(INDEX('Rooms and Staff'!$C$16:$C$115,MATCH(B20,'Rooms and Staff'!$A$16:$A$115,0)),"")),"")</f>
        <v/>
      </c>
      <c r="E20" s="23" t="n"/>
      <c r="F20" s="23" t="n"/>
      <c r="G20" s="23" t="n"/>
      <c r="H20" s="23" t="n"/>
      <c r="I20" s="23" t="n"/>
      <c r="J20" s="25" t="n"/>
      <c r="K20" s="25" t="n"/>
      <c r="L20" s="25" t="n"/>
      <c r="M20" s="25" t="n"/>
      <c r="N20" s="25" t="n"/>
      <c r="O20" s="25" t="n"/>
      <c r="P20" s="23" t="n"/>
      <c r="Q20" s="23" t="n"/>
      <c r="R20" s="23" t="n"/>
      <c r="S20" s="23" t="n"/>
      <c r="T20" s="25" t="n"/>
      <c r="U20" s="26">
        <f>IFERROR(IF(A20="","",IF(F20="Canceled",0,IF(F20="","",IF(F20="Checkout",'Rooms and Staff'!$B$4,IF(F20="Stayover",'Rooms and Staff'!$B$5,IF(F20="Deep Clean",'Rooms and Staff'!$B$6,IF(F20="Touch-Up",'Rooms and Staff'!$B$7,IF(F20="Public Area",'Rooms and Staff'!$B$8,0)))))))),"")</f>
        <v/>
      </c>
      <c r="V20" s="26">
        <f>IFERROR(IF(OR(N20="",O20=""),"",(O20-N20)*1440),"")</f>
        <v/>
      </c>
      <c r="W20" s="26">
        <f>IFERROR(IF(OR(V20="",U20=""),"",V20-U20),"")</f>
        <v/>
      </c>
      <c r="X20" s="27">
        <f>IFERROR(IF(OR(H20="",U20=""),"",(U20/60)*INDEX('Rooms and Staff'!$P$16:$P$115,MATCH(H20,'Rooms and Staff'!$J$16:$J$115,0))),"")</f>
        <v/>
      </c>
      <c r="Y20" s="27">
        <f>IFERROR(IF(OR(H20="",V20=""),"",(V20/60)*INDEX('Rooms and Staff'!$P$16:$P$115,MATCH(H20,'Rooms and Staff'!$J$16:$J$115,0))),"")</f>
        <v/>
      </c>
      <c r="Z20" s="24">
        <f>IFERROR(IF(A20="","",IF(F20="Canceled","Canceled",IF(P20="DND","On Hold",IF(O20&lt;&gt;"","Completed",IF(N20&lt;&gt;"","In Progress","Not Started"))))),"")</f>
        <v/>
      </c>
      <c r="AA20" s="24">
        <f>IFERROR(IF(A20="","",IF(Z20&lt;&gt;"Completed","No",IF(Q20="Yes",IF(S20="Passed","Yes","No"),"Yes"))),"")</f>
        <v/>
      </c>
      <c r="AB20" s="24">
        <f>IFERROR(IF(AA20&lt;&gt;"Yes","",IF(K20="","Yes",IF(T20&lt;&gt;"",IF(T20&lt;=K20-'Rooms and Staff'!$B$11/1440,"Yes","No"),"No"))),"")</f>
        <v/>
      </c>
      <c r="AC20" s="23" t="n"/>
      <c r="AD20" s="23" t="n"/>
      <c r="AE20" s="24">
        <f>IFERROR(IF(A20="","",IF(C20="Room not found","Room not found",IF(COUNTIFS($A$2:$A$101,A20,$B$2:$B$101,B20)&gt;1,"Duplicate room assignment",IF(H20="","Attendant not assigned",IF(AND(N20&lt;&gt;"",O20&lt;&gt;"",O20&lt;N20),"Actual finish is before start",IF(AND(L20&lt;&gt;"",M20&lt;&gt;"",M20&lt;L20),"Planned finish is before start",IF(AND(P20="DND",O20&lt;&gt;""),"DND room marked completed",IF(AND(Q20="Yes",Z20="Completed",S20=""),"Inspection result missing",IF(S20="Failed","Inspection failed",IF(AND(K20&lt;&gt;"",J20&lt;&gt;"",K20&lt;J20),"Arrival is before check-out","OK")))))))))),"Review row")</f>
        <v/>
      </c>
      <c r="AH20">
        <f>IFERROR(IF(AND($A20='Dashboard'!$B$3,$AE20&lt;&gt;"OK",$AE20&lt;&gt;""),COUNTIFS($A$2:A20,'Dashboard'!$B$3,$AE$2:AE20,"&lt;&gt;OK",$AE$2:AE20,"&lt;&gt;"),""),"")</f>
        <v/>
      </c>
    </row>
    <row r="21">
      <c r="A21" s="28">
        <f>IFERROR(IF(B21="","",'Dashboard'!$B$3),"")</f>
        <v/>
      </c>
      <c r="B21" s="23" t="n"/>
      <c r="C21" s="29">
        <f>IFERROR(IF(B21="","",IFERROR(INDEX('Rooms and Staff'!$B$16:$B$115,MATCH(B21,'Rooms and Staff'!$A$16:$A$115,0)),"Room not found")),"")</f>
        <v/>
      </c>
      <c r="D21" s="29">
        <f>IFERROR(IF(B21="","",IFERROR(INDEX('Rooms and Staff'!$C$16:$C$115,MATCH(B21,'Rooms and Staff'!$A$16:$A$115,0)),"")),"")</f>
        <v/>
      </c>
      <c r="E21" s="23" t="n"/>
      <c r="F21" s="23" t="n"/>
      <c r="G21" s="23" t="n"/>
      <c r="H21" s="23" t="n"/>
      <c r="I21" s="23" t="n"/>
      <c r="J21" s="25" t="n"/>
      <c r="K21" s="25" t="n"/>
      <c r="L21" s="25" t="n"/>
      <c r="M21" s="25" t="n"/>
      <c r="N21" s="25" t="n"/>
      <c r="O21" s="25" t="n"/>
      <c r="P21" s="23" t="n"/>
      <c r="Q21" s="23" t="n"/>
      <c r="R21" s="23" t="n"/>
      <c r="S21" s="23" t="n"/>
      <c r="T21" s="25" t="n"/>
      <c r="U21" s="30">
        <f>IFERROR(IF(A21="","",IF(F21="Canceled",0,IF(F21="","",IF(F21="Checkout",'Rooms and Staff'!$B$4,IF(F21="Stayover",'Rooms and Staff'!$B$5,IF(F21="Deep Clean",'Rooms and Staff'!$B$6,IF(F21="Touch-Up",'Rooms and Staff'!$B$7,IF(F21="Public Area",'Rooms and Staff'!$B$8,0)))))))),"")</f>
        <v/>
      </c>
      <c r="V21" s="30">
        <f>IFERROR(IF(OR(N21="",O21=""),"",(O21-N21)*1440),"")</f>
        <v/>
      </c>
      <c r="W21" s="30">
        <f>IFERROR(IF(OR(V21="",U21=""),"",V21-U21),"")</f>
        <v/>
      </c>
      <c r="X21" s="31">
        <f>IFERROR(IF(OR(H21="",U21=""),"",(U21/60)*INDEX('Rooms and Staff'!$P$16:$P$115,MATCH(H21,'Rooms and Staff'!$J$16:$J$115,0))),"")</f>
        <v/>
      </c>
      <c r="Y21" s="31">
        <f>IFERROR(IF(OR(H21="",V21=""),"",(V21/60)*INDEX('Rooms and Staff'!$P$16:$P$115,MATCH(H21,'Rooms and Staff'!$J$16:$J$115,0))),"")</f>
        <v/>
      </c>
      <c r="Z21" s="29">
        <f>IFERROR(IF(A21="","",IF(F21="Canceled","Canceled",IF(P21="DND","On Hold",IF(O21&lt;&gt;"","Completed",IF(N21&lt;&gt;"","In Progress","Not Started"))))),"")</f>
        <v/>
      </c>
      <c r="AA21" s="29">
        <f>IFERROR(IF(A21="","",IF(Z21&lt;&gt;"Completed","No",IF(Q21="Yes",IF(S21="Passed","Yes","No"),"Yes"))),"")</f>
        <v/>
      </c>
      <c r="AB21" s="29">
        <f>IFERROR(IF(AA21&lt;&gt;"Yes","",IF(K21="","Yes",IF(T21&lt;&gt;"",IF(T21&lt;=K21-'Rooms and Staff'!$B$11/1440,"Yes","No"),"No"))),"")</f>
        <v/>
      </c>
      <c r="AC21" s="23" t="n"/>
      <c r="AD21" s="23" t="n"/>
      <c r="AE21" s="29">
        <f>IFERROR(IF(A21="","",IF(C21="Room not found","Room not found",IF(COUNTIFS($A$2:$A$101,A21,$B$2:$B$101,B21)&gt;1,"Duplicate room assignment",IF(H21="","Attendant not assigned",IF(AND(N21&lt;&gt;"",O21&lt;&gt;"",O21&lt;N21),"Actual finish is before start",IF(AND(L21&lt;&gt;"",M21&lt;&gt;"",M21&lt;L21),"Planned finish is before start",IF(AND(P21="DND",O21&lt;&gt;""),"DND room marked completed",IF(AND(Q21="Yes",Z21="Completed",S21=""),"Inspection result missing",IF(S21="Failed","Inspection failed",IF(AND(K21&lt;&gt;"",J21&lt;&gt;"",K21&lt;J21),"Arrival is before check-out","OK")))))))))),"Review row")</f>
        <v/>
      </c>
      <c r="AH21">
        <f>IFERROR(IF(AND($A21='Dashboard'!$B$3,$AE21&lt;&gt;"OK",$AE21&lt;&gt;""),COUNTIFS($A$2:A21,'Dashboard'!$B$3,$AE$2:AE21,"&lt;&gt;OK",$AE$2:AE21,"&lt;&gt;"),""),"")</f>
        <v/>
      </c>
    </row>
    <row r="22">
      <c r="A22" s="22">
        <f>IFERROR(IF(B22="","",'Dashboard'!$B$3),"")</f>
        <v/>
      </c>
      <c r="B22" s="23" t="n"/>
      <c r="C22" s="24">
        <f>IFERROR(IF(B22="","",IFERROR(INDEX('Rooms and Staff'!$B$16:$B$115,MATCH(B22,'Rooms and Staff'!$A$16:$A$115,0)),"Room not found")),"")</f>
        <v/>
      </c>
      <c r="D22" s="24">
        <f>IFERROR(IF(B22="","",IFERROR(INDEX('Rooms and Staff'!$C$16:$C$115,MATCH(B22,'Rooms and Staff'!$A$16:$A$115,0)),"")),"")</f>
        <v/>
      </c>
      <c r="E22" s="23" t="n"/>
      <c r="F22" s="23" t="n"/>
      <c r="G22" s="23" t="n"/>
      <c r="H22" s="23" t="n"/>
      <c r="I22" s="23" t="n"/>
      <c r="J22" s="25" t="n"/>
      <c r="K22" s="25" t="n"/>
      <c r="L22" s="25" t="n"/>
      <c r="M22" s="25" t="n"/>
      <c r="N22" s="25" t="n"/>
      <c r="O22" s="25" t="n"/>
      <c r="P22" s="23" t="n"/>
      <c r="Q22" s="23" t="n"/>
      <c r="R22" s="23" t="n"/>
      <c r="S22" s="23" t="n"/>
      <c r="T22" s="25" t="n"/>
      <c r="U22" s="26">
        <f>IFERROR(IF(A22="","",IF(F22="Canceled",0,IF(F22="","",IF(F22="Checkout",'Rooms and Staff'!$B$4,IF(F22="Stayover",'Rooms and Staff'!$B$5,IF(F22="Deep Clean",'Rooms and Staff'!$B$6,IF(F22="Touch-Up",'Rooms and Staff'!$B$7,IF(F22="Public Area",'Rooms and Staff'!$B$8,0)))))))),"")</f>
        <v/>
      </c>
      <c r="V22" s="26">
        <f>IFERROR(IF(OR(N22="",O22=""),"",(O22-N22)*1440),"")</f>
        <v/>
      </c>
      <c r="W22" s="26">
        <f>IFERROR(IF(OR(V22="",U22=""),"",V22-U22),"")</f>
        <v/>
      </c>
      <c r="X22" s="27">
        <f>IFERROR(IF(OR(H22="",U22=""),"",(U22/60)*INDEX('Rooms and Staff'!$P$16:$P$115,MATCH(H22,'Rooms and Staff'!$J$16:$J$115,0))),"")</f>
        <v/>
      </c>
      <c r="Y22" s="27">
        <f>IFERROR(IF(OR(H22="",V22=""),"",(V22/60)*INDEX('Rooms and Staff'!$P$16:$P$115,MATCH(H22,'Rooms and Staff'!$J$16:$J$115,0))),"")</f>
        <v/>
      </c>
      <c r="Z22" s="24">
        <f>IFERROR(IF(A22="","",IF(F22="Canceled","Canceled",IF(P22="DND","On Hold",IF(O22&lt;&gt;"","Completed",IF(N22&lt;&gt;"","In Progress","Not Started"))))),"")</f>
        <v/>
      </c>
      <c r="AA22" s="24">
        <f>IFERROR(IF(A22="","",IF(Z22&lt;&gt;"Completed","No",IF(Q22="Yes",IF(S22="Passed","Yes","No"),"Yes"))),"")</f>
        <v/>
      </c>
      <c r="AB22" s="24">
        <f>IFERROR(IF(AA22&lt;&gt;"Yes","",IF(K22="","Yes",IF(T22&lt;&gt;"",IF(T22&lt;=K22-'Rooms and Staff'!$B$11/1440,"Yes","No"),"No"))),"")</f>
        <v/>
      </c>
      <c r="AC22" s="23" t="n"/>
      <c r="AD22" s="23" t="n"/>
      <c r="AE22" s="24">
        <f>IFERROR(IF(A22="","",IF(C22="Room not found","Room not found",IF(COUNTIFS($A$2:$A$101,A22,$B$2:$B$101,B22)&gt;1,"Duplicate room assignment",IF(H22="","Attendant not assigned",IF(AND(N22&lt;&gt;"",O22&lt;&gt;"",O22&lt;N22),"Actual finish is before start",IF(AND(L22&lt;&gt;"",M22&lt;&gt;"",M22&lt;L22),"Planned finish is before start",IF(AND(P22="DND",O22&lt;&gt;""),"DND room marked completed",IF(AND(Q22="Yes",Z22="Completed",S22=""),"Inspection result missing",IF(S22="Failed","Inspection failed",IF(AND(K22&lt;&gt;"",J22&lt;&gt;"",K22&lt;J22),"Arrival is before check-out","OK")))))))))),"Review row")</f>
        <v/>
      </c>
      <c r="AH22">
        <f>IFERROR(IF(AND($A22='Dashboard'!$B$3,$AE22&lt;&gt;"OK",$AE22&lt;&gt;""),COUNTIFS($A$2:A22,'Dashboard'!$B$3,$AE$2:AE22,"&lt;&gt;OK",$AE$2:AE22,"&lt;&gt;"),""),"")</f>
        <v/>
      </c>
    </row>
    <row r="23">
      <c r="A23" s="28">
        <f>IFERROR(IF(B23="","",'Dashboard'!$B$3),"")</f>
        <v/>
      </c>
      <c r="B23" s="23" t="n"/>
      <c r="C23" s="29">
        <f>IFERROR(IF(B23="","",IFERROR(INDEX('Rooms and Staff'!$B$16:$B$115,MATCH(B23,'Rooms and Staff'!$A$16:$A$115,0)),"Room not found")),"")</f>
        <v/>
      </c>
      <c r="D23" s="29">
        <f>IFERROR(IF(B23="","",IFERROR(INDEX('Rooms and Staff'!$C$16:$C$115,MATCH(B23,'Rooms and Staff'!$A$16:$A$115,0)),"")),"")</f>
        <v/>
      </c>
      <c r="E23" s="23" t="n"/>
      <c r="F23" s="23" t="n"/>
      <c r="G23" s="23" t="n"/>
      <c r="H23" s="23" t="n"/>
      <c r="I23" s="23" t="n"/>
      <c r="J23" s="25" t="n"/>
      <c r="K23" s="25" t="n"/>
      <c r="L23" s="25" t="n"/>
      <c r="M23" s="25" t="n"/>
      <c r="N23" s="25" t="n"/>
      <c r="O23" s="25" t="n"/>
      <c r="P23" s="23" t="n"/>
      <c r="Q23" s="23" t="n"/>
      <c r="R23" s="23" t="n"/>
      <c r="S23" s="23" t="n"/>
      <c r="T23" s="25" t="n"/>
      <c r="U23" s="30">
        <f>IFERROR(IF(A23="","",IF(F23="Canceled",0,IF(F23="","",IF(F23="Checkout",'Rooms and Staff'!$B$4,IF(F23="Stayover",'Rooms and Staff'!$B$5,IF(F23="Deep Clean",'Rooms and Staff'!$B$6,IF(F23="Touch-Up",'Rooms and Staff'!$B$7,IF(F23="Public Area",'Rooms and Staff'!$B$8,0)))))))),"")</f>
        <v/>
      </c>
      <c r="V23" s="30">
        <f>IFERROR(IF(OR(N23="",O23=""),"",(O23-N23)*1440),"")</f>
        <v/>
      </c>
      <c r="W23" s="30">
        <f>IFERROR(IF(OR(V23="",U23=""),"",V23-U23),"")</f>
        <v/>
      </c>
      <c r="X23" s="31">
        <f>IFERROR(IF(OR(H23="",U23=""),"",(U23/60)*INDEX('Rooms and Staff'!$P$16:$P$115,MATCH(H23,'Rooms and Staff'!$J$16:$J$115,0))),"")</f>
        <v/>
      </c>
      <c r="Y23" s="31">
        <f>IFERROR(IF(OR(H23="",V23=""),"",(V23/60)*INDEX('Rooms and Staff'!$P$16:$P$115,MATCH(H23,'Rooms and Staff'!$J$16:$J$115,0))),"")</f>
        <v/>
      </c>
      <c r="Z23" s="29">
        <f>IFERROR(IF(A23="","",IF(F23="Canceled","Canceled",IF(P23="DND","On Hold",IF(O23&lt;&gt;"","Completed",IF(N23&lt;&gt;"","In Progress","Not Started"))))),"")</f>
        <v/>
      </c>
      <c r="AA23" s="29">
        <f>IFERROR(IF(A23="","",IF(Z23&lt;&gt;"Completed","No",IF(Q23="Yes",IF(S23="Passed","Yes","No"),"Yes"))),"")</f>
        <v/>
      </c>
      <c r="AB23" s="29">
        <f>IFERROR(IF(AA23&lt;&gt;"Yes","",IF(K23="","Yes",IF(T23&lt;&gt;"",IF(T23&lt;=K23-'Rooms and Staff'!$B$11/1440,"Yes","No"),"No"))),"")</f>
        <v/>
      </c>
      <c r="AC23" s="23" t="n"/>
      <c r="AD23" s="23" t="n"/>
      <c r="AE23" s="29">
        <f>IFERROR(IF(A23="","",IF(C23="Room not found","Room not found",IF(COUNTIFS($A$2:$A$101,A23,$B$2:$B$101,B23)&gt;1,"Duplicate room assignment",IF(H23="","Attendant not assigned",IF(AND(N23&lt;&gt;"",O23&lt;&gt;"",O23&lt;N23),"Actual finish is before start",IF(AND(L23&lt;&gt;"",M23&lt;&gt;"",M23&lt;L23),"Planned finish is before start",IF(AND(P23="DND",O23&lt;&gt;""),"DND room marked completed",IF(AND(Q23="Yes",Z23="Completed",S23=""),"Inspection result missing",IF(S23="Failed","Inspection failed",IF(AND(K23&lt;&gt;"",J23&lt;&gt;"",K23&lt;J23),"Arrival is before check-out","OK")))))))))),"Review row")</f>
        <v/>
      </c>
      <c r="AH23">
        <f>IFERROR(IF(AND($A23='Dashboard'!$B$3,$AE23&lt;&gt;"OK",$AE23&lt;&gt;""),COUNTIFS($A$2:A23,'Dashboard'!$B$3,$AE$2:AE23,"&lt;&gt;OK",$AE$2:AE23,"&lt;&gt;"),""),"")</f>
        <v/>
      </c>
    </row>
    <row r="24">
      <c r="A24" s="22">
        <f>IFERROR(IF(B24="","",'Dashboard'!$B$3),"")</f>
        <v/>
      </c>
      <c r="B24" s="23" t="n"/>
      <c r="C24" s="24">
        <f>IFERROR(IF(B24="","",IFERROR(INDEX('Rooms and Staff'!$B$16:$B$115,MATCH(B24,'Rooms and Staff'!$A$16:$A$115,0)),"Room not found")),"")</f>
        <v/>
      </c>
      <c r="D24" s="24">
        <f>IFERROR(IF(B24="","",IFERROR(INDEX('Rooms and Staff'!$C$16:$C$115,MATCH(B24,'Rooms and Staff'!$A$16:$A$115,0)),"")),"")</f>
        <v/>
      </c>
      <c r="E24" s="23" t="n"/>
      <c r="F24" s="23" t="n"/>
      <c r="G24" s="23" t="n"/>
      <c r="H24" s="23" t="n"/>
      <c r="I24" s="23" t="n"/>
      <c r="J24" s="25" t="n"/>
      <c r="K24" s="25" t="n"/>
      <c r="L24" s="25" t="n"/>
      <c r="M24" s="25" t="n"/>
      <c r="N24" s="25" t="n"/>
      <c r="O24" s="25" t="n"/>
      <c r="P24" s="23" t="n"/>
      <c r="Q24" s="23" t="n"/>
      <c r="R24" s="23" t="n"/>
      <c r="S24" s="23" t="n"/>
      <c r="T24" s="25" t="n"/>
      <c r="U24" s="26">
        <f>IFERROR(IF(A24="","",IF(F24="Canceled",0,IF(F24="","",IF(F24="Checkout",'Rooms and Staff'!$B$4,IF(F24="Stayover",'Rooms and Staff'!$B$5,IF(F24="Deep Clean",'Rooms and Staff'!$B$6,IF(F24="Touch-Up",'Rooms and Staff'!$B$7,IF(F24="Public Area",'Rooms and Staff'!$B$8,0)))))))),"")</f>
        <v/>
      </c>
      <c r="V24" s="26">
        <f>IFERROR(IF(OR(N24="",O24=""),"",(O24-N24)*1440),"")</f>
        <v/>
      </c>
      <c r="W24" s="26">
        <f>IFERROR(IF(OR(V24="",U24=""),"",V24-U24),"")</f>
        <v/>
      </c>
      <c r="X24" s="27">
        <f>IFERROR(IF(OR(H24="",U24=""),"",(U24/60)*INDEX('Rooms and Staff'!$P$16:$P$115,MATCH(H24,'Rooms and Staff'!$J$16:$J$115,0))),"")</f>
        <v/>
      </c>
      <c r="Y24" s="27">
        <f>IFERROR(IF(OR(H24="",V24=""),"",(V24/60)*INDEX('Rooms and Staff'!$P$16:$P$115,MATCH(H24,'Rooms and Staff'!$J$16:$J$115,0))),"")</f>
        <v/>
      </c>
      <c r="Z24" s="24">
        <f>IFERROR(IF(A24="","",IF(F24="Canceled","Canceled",IF(P24="DND","On Hold",IF(O24&lt;&gt;"","Completed",IF(N24&lt;&gt;"","In Progress","Not Started"))))),"")</f>
        <v/>
      </c>
      <c r="AA24" s="24">
        <f>IFERROR(IF(A24="","",IF(Z24&lt;&gt;"Completed","No",IF(Q24="Yes",IF(S24="Passed","Yes","No"),"Yes"))),"")</f>
        <v/>
      </c>
      <c r="AB24" s="24">
        <f>IFERROR(IF(AA24&lt;&gt;"Yes","",IF(K24="","Yes",IF(T24&lt;&gt;"",IF(T24&lt;=K24-'Rooms and Staff'!$B$11/1440,"Yes","No"),"No"))),"")</f>
        <v/>
      </c>
      <c r="AC24" s="23" t="n"/>
      <c r="AD24" s="23" t="n"/>
      <c r="AE24" s="24">
        <f>IFERROR(IF(A24="","",IF(C24="Room not found","Room not found",IF(COUNTIFS($A$2:$A$101,A24,$B$2:$B$101,B24)&gt;1,"Duplicate room assignment",IF(H24="","Attendant not assigned",IF(AND(N24&lt;&gt;"",O24&lt;&gt;"",O24&lt;N24),"Actual finish is before start",IF(AND(L24&lt;&gt;"",M24&lt;&gt;"",M24&lt;L24),"Planned finish is before start",IF(AND(P24="DND",O24&lt;&gt;""),"DND room marked completed",IF(AND(Q24="Yes",Z24="Completed",S24=""),"Inspection result missing",IF(S24="Failed","Inspection failed",IF(AND(K24&lt;&gt;"",J24&lt;&gt;"",K24&lt;J24),"Arrival is before check-out","OK")))))))))),"Review row")</f>
        <v/>
      </c>
      <c r="AH24">
        <f>IFERROR(IF(AND($A24='Dashboard'!$B$3,$AE24&lt;&gt;"OK",$AE24&lt;&gt;""),COUNTIFS($A$2:A24,'Dashboard'!$B$3,$AE$2:AE24,"&lt;&gt;OK",$AE$2:AE24,"&lt;&gt;"),""),"")</f>
        <v/>
      </c>
    </row>
    <row r="25">
      <c r="A25" s="28">
        <f>IFERROR(IF(B25="","",'Dashboard'!$B$3),"")</f>
        <v/>
      </c>
      <c r="B25" s="23" t="n"/>
      <c r="C25" s="29">
        <f>IFERROR(IF(B25="","",IFERROR(INDEX('Rooms and Staff'!$B$16:$B$115,MATCH(B25,'Rooms and Staff'!$A$16:$A$115,0)),"Room not found")),"")</f>
        <v/>
      </c>
      <c r="D25" s="29">
        <f>IFERROR(IF(B25="","",IFERROR(INDEX('Rooms and Staff'!$C$16:$C$115,MATCH(B25,'Rooms and Staff'!$A$16:$A$115,0)),"")),"")</f>
        <v/>
      </c>
      <c r="E25" s="23" t="n"/>
      <c r="F25" s="23" t="n"/>
      <c r="G25" s="23" t="n"/>
      <c r="H25" s="23" t="n"/>
      <c r="I25" s="23" t="n"/>
      <c r="J25" s="25" t="n"/>
      <c r="K25" s="25" t="n"/>
      <c r="L25" s="25" t="n"/>
      <c r="M25" s="25" t="n"/>
      <c r="N25" s="25" t="n"/>
      <c r="O25" s="25" t="n"/>
      <c r="P25" s="23" t="n"/>
      <c r="Q25" s="23" t="n"/>
      <c r="R25" s="23" t="n"/>
      <c r="S25" s="23" t="n"/>
      <c r="T25" s="25" t="n"/>
      <c r="U25" s="30">
        <f>IFERROR(IF(A25="","",IF(F25="Canceled",0,IF(F25="","",IF(F25="Checkout",'Rooms and Staff'!$B$4,IF(F25="Stayover",'Rooms and Staff'!$B$5,IF(F25="Deep Clean",'Rooms and Staff'!$B$6,IF(F25="Touch-Up",'Rooms and Staff'!$B$7,IF(F25="Public Area",'Rooms and Staff'!$B$8,0)))))))),"")</f>
        <v/>
      </c>
      <c r="V25" s="30">
        <f>IFERROR(IF(OR(N25="",O25=""),"",(O25-N25)*1440),"")</f>
        <v/>
      </c>
      <c r="W25" s="30">
        <f>IFERROR(IF(OR(V25="",U25=""),"",V25-U25),"")</f>
        <v/>
      </c>
      <c r="X25" s="31">
        <f>IFERROR(IF(OR(H25="",U25=""),"",(U25/60)*INDEX('Rooms and Staff'!$P$16:$P$115,MATCH(H25,'Rooms and Staff'!$J$16:$J$115,0))),"")</f>
        <v/>
      </c>
      <c r="Y25" s="31">
        <f>IFERROR(IF(OR(H25="",V25=""),"",(V25/60)*INDEX('Rooms and Staff'!$P$16:$P$115,MATCH(H25,'Rooms and Staff'!$J$16:$J$115,0))),"")</f>
        <v/>
      </c>
      <c r="Z25" s="29">
        <f>IFERROR(IF(A25="","",IF(F25="Canceled","Canceled",IF(P25="DND","On Hold",IF(O25&lt;&gt;"","Completed",IF(N25&lt;&gt;"","In Progress","Not Started"))))),"")</f>
        <v/>
      </c>
      <c r="AA25" s="29">
        <f>IFERROR(IF(A25="","",IF(Z25&lt;&gt;"Completed","No",IF(Q25="Yes",IF(S25="Passed","Yes","No"),"Yes"))),"")</f>
        <v/>
      </c>
      <c r="AB25" s="29">
        <f>IFERROR(IF(AA25&lt;&gt;"Yes","",IF(K25="","Yes",IF(T25&lt;&gt;"",IF(T25&lt;=K25-'Rooms and Staff'!$B$11/1440,"Yes","No"),"No"))),"")</f>
        <v/>
      </c>
      <c r="AC25" s="23" t="n"/>
      <c r="AD25" s="23" t="n"/>
      <c r="AE25" s="29">
        <f>IFERROR(IF(A25="","",IF(C25="Room not found","Room not found",IF(COUNTIFS($A$2:$A$101,A25,$B$2:$B$101,B25)&gt;1,"Duplicate room assignment",IF(H25="","Attendant not assigned",IF(AND(N25&lt;&gt;"",O25&lt;&gt;"",O25&lt;N25),"Actual finish is before start",IF(AND(L25&lt;&gt;"",M25&lt;&gt;"",M25&lt;L25),"Planned finish is before start",IF(AND(P25="DND",O25&lt;&gt;""),"DND room marked completed",IF(AND(Q25="Yes",Z25="Completed",S25=""),"Inspection result missing",IF(S25="Failed","Inspection failed",IF(AND(K25&lt;&gt;"",J25&lt;&gt;"",K25&lt;J25),"Arrival is before check-out","OK")))))))))),"Review row")</f>
        <v/>
      </c>
      <c r="AH25">
        <f>IFERROR(IF(AND($A25='Dashboard'!$B$3,$AE25&lt;&gt;"OK",$AE25&lt;&gt;""),COUNTIFS($A$2:A25,'Dashboard'!$B$3,$AE$2:AE25,"&lt;&gt;OK",$AE$2:AE25,"&lt;&gt;"),""),"")</f>
        <v/>
      </c>
    </row>
    <row r="26">
      <c r="A26" s="22">
        <f>IFERROR(IF(B26="","",'Dashboard'!$B$3),"")</f>
        <v/>
      </c>
      <c r="B26" s="23" t="n"/>
      <c r="C26" s="24">
        <f>IFERROR(IF(B26="","",IFERROR(INDEX('Rooms and Staff'!$B$16:$B$115,MATCH(B26,'Rooms and Staff'!$A$16:$A$115,0)),"Room not found")),"")</f>
        <v/>
      </c>
      <c r="D26" s="24">
        <f>IFERROR(IF(B26="","",IFERROR(INDEX('Rooms and Staff'!$C$16:$C$115,MATCH(B26,'Rooms and Staff'!$A$16:$A$115,0)),"")),"")</f>
        <v/>
      </c>
      <c r="E26" s="23" t="n"/>
      <c r="F26" s="23" t="n"/>
      <c r="G26" s="23" t="n"/>
      <c r="H26" s="23" t="n"/>
      <c r="I26" s="23" t="n"/>
      <c r="J26" s="25" t="n"/>
      <c r="K26" s="25" t="n"/>
      <c r="L26" s="25" t="n"/>
      <c r="M26" s="25" t="n"/>
      <c r="N26" s="25" t="n"/>
      <c r="O26" s="25" t="n"/>
      <c r="P26" s="23" t="n"/>
      <c r="Q26" s="23" t="n"/>
      <c r="R26" s="23" t="n"/>
      <c r="S26" s="23" t="n"/>
      <c r="T26" s="25" t="n"/>
      <c r="U26" s="26">
        <f>IFERROR(IF(A26="","",IF(F26="Canceled",0,IF(F26="","",IF(F26="Checkout",'Rooms and Staff'!$B$4,IF(F26="Stayover",'Rooms and Staff'!$B$5,IF(F26="Deep Clean",'Rooms and Staff'!$B$6,IF(F26="Touch-Up",'Rooms and Staff'!$B$7,IF(F26="Public Area",'Rooms and Staff'!$B$8,0)))))))),"")</f>
        <v/>
      </c>
      <c r="V26" s="26">
        <f>IFERROR(IF(OR(N26="",O26=""),"",(O26-N26)*1440),"")</f>
        <v/>
      </c>
      <c r="W26" s="26">
        <f>IFERROR(IF(OR(V26="",U26=""),"",V26-U26),"")</f>
        <v/>
      </c>
      <c r="X26" s="27">
        <f>IFERROR(IF(OR(H26="",U26=""),"",(U26/60)*INDEX('Rooms and Staff'!$P$16:$P$115,MATCH(H26,'Rooms and Staff'!$J$16:$J$115,0))),"")</f>
        <v/>
      </c>
      <c r="Y26" s="27">
        <f>IFERROR(IF(OR(H26="",V26=""),"",(V26/60)*INDEX('Rooms and Staff'!$P$16:$P$115,MATCH(H26,'Rooms and Staff'!$J$16:$J$115,0))),"")</f>
        <v/>
      </c>
      <c r="Z26" s="24">
        <f>IFERROR(IF(A26="","",IF(F26="Canceled","Canceled",IF(P26="DND","On Hold",IF(O26&lt;&gt;"","Completed",IF(N26&lt;&gt;"","In Progress","Not Started"))))),"")</f>
        <v/>
      </c>
      <c r="AA26" s="24">
        <f>IFERROR(IF(A26="","",IF(Z26&lt;&gt;"Completed","No",IF(Q26="Yes",IF(S26="Passed","Yes","No"),"Yes"))),"")</f>
        <v/>
      </c>
      <c r="AB26" s="24">
        <f>IFERROR(IF(AA26&lt;&gt;"Yes","",IF(K26="","Yes",IF(T26&lt;&gt;"",IF(T26&lt;=K26-'Rooms and Staff'!$B$11/1440,"Yes","No"),"No"))),"")</f>
        <v/>
      </c>
      <c r="AC26" s="23" t="n"/>
      <c r="AD26" s="23" t="n"/>
      <c r="AE26" s="24">
        <f>IFERROR(IF(A26="","",IF(C26="Room not found","Room not found",IF(COUNTIFS($A$2:$A$101,A26,$B$2:$B$101,B26)&gt;1,"Duplicate room assignment",IF(H26="","Attendant not assigned",IF(AND(N26&lt;&gt;"",O26&lt;&gt;"",O26&lt;N26),"Actual finish is before start",IF(AND(L26&lt;&gt;"",M26&lt;&gt;"",M26&lt;L26),"Planned finish is before start",IF(AND(P26="DND",O26&lt;&gt;""),"DND room marked completed",IF(AND(Q26="Yes",Z26="Completed",S26=""),"Inspection result missing",IF(S26="Failed","Inspection failed",IF(AND(K26&lt;&gt;"",J26&lt;&gt;"",K26&lt;J26),"Arrival is before check-out","OK")))))))))),"Review row")</f>
        <v/>
      </c>
      <c r="AH26">
        <f>IFERROR(IF(AND($A26='Dashboard'!$B$3,$AE26&lt;&gt;"OK",$AE26&lt;&gt;""),COUNTIFS($A$2:A26,'Dashboard'!$B$3,$AE$2:AE26,"&lt;&gt;OK",$AE$2:AE26,"&lt;&gt;"),""),"")</f>
        <v/>
      </c>
    </row>
    <row r="27">
      <c r="A27" s="28">
        <f>IFERROR(IF(B27="","",'Dashboard'!$B$3),"")</f>
        <v/>
      </c>
      <c r="B27" s="23" t="n"/>
      <c r="C27" s="29">
        <f>IFERROR(IF(B27="","",IFERROR(INDEX('Rooms and Staff'!$B$16:$B$115,MATCH(B27,'Rooms and Staff'!$A$16:$A$115,0)),"Room not found")),"")</f>
        <v/>
      </c>
      <c r="D27" s="29">
        <f>IFERROR(IF(B27="","",IFERROR(INDEX('Rooms and Staff'!$C$16:$C$115,MATCH(B27,'Rooms and Staff'!$A$16:$A$115,0)),"")),"")</f>
        <v/>
      </c>
      <c r="E27" s="23" t="n"/>
      <c r="F27" s="23" t="n"/>
      <c r="G27" s="23" t="n"/>
      <c r="H27" s="23" t="n"/>
      <c r="I27" s="23" t="n"/>
      <c r="J27" s="25" t="n"/>
      <c r="K27" s="25" t="n"/>
      <c r="L27" s="25" t="n"/>
      <c r="M27" s="25" t="n"/>
      <c r="N27" s="25" t="n"/>
      <c r="O27" s="25" t="n"/>
      <c r="P27" s="23" t="n"/>
      <c r="Q27" s="23" t="n"/>
      <c r="R27" s="23" t="n"/>
      <c r="S27" s="23" t="n"/>
      <c r="T27" s="25" t="n"/>
      <c r="U27" s="30">
        <f>IFERROR(IF(A27="","",IF(F27="Canceled",0,IF(F27="","",IF(F27="Checkout",'Rooms and Staff'!$B$4,IF(F27="Stayover",'Rooms and Staff'!$B$5,IF(F27="Deep Clean",'Rooms and Staff'!$B$6,IF(F27="Touch-Up",'Rooms and Staff'!$B$7,IF(F27="Public Area",'Rooms and Staff'!$B$8,0)))))))),"")</f>
        <v/>
      </c>
      <c r="V27" s="30">
        <f>IFERROR(IF(OR(N27="",O27=""),"",(O27-N27)*1440),"")</f>
        <v/>
      </c>
      <c r="W27" s="30">
        <f>IFERROR(IF(OR(V27="",U27=""),"",V27-U27),"")</f>
        <v/>
      </c>
      <c r="X27" s="31">
        <f>IFERROR(IF(OR(H27="",U27=""),"",(U27/60)*INDEX('Rooms and Staff'!$P$16:$P$115,MATCH(H27,'Rooms and Staff'!$J$16:$J$115,0))),"")</f>
        <v/>
      </c>
      <c r="Y27" s="31">
        <f>IFERROR(IF(OR(H27="",V27=""),"",(V27/60)*INDEX('Rooms and Staff'!$P$16:$P$115,MATCH(H27,'Rooms and Staff'!$J$16:$J$115,0))),"")</f>
        <v/>
      </c>
      <c r="Z27" s="29">
        <f>IFERROR(IF(A27="","",IF(F27="Canceled","Canceled",IF(P27="DND","On Hold",IF(O27&lt;&gt;"","Completed",IF(N27&lt;&gt;"","In Progress","Not Started"))))),"")</f>
        <v/>
      </c>
      <c r="AA27" s="29">
        <f>IFERROR(IF(A27="","",IF(Z27&lt;&gt;"Completed","No",IF(Q27="Yes",IF(S27="Passed","Yes","No"),"Yes"))),"")</f>
        <v/>
      </c>
      <c r="AB27" s="29">
        <f>IFERROR(IF(AA27&lt;&gt;"Yes","",IF(K27="","Yes",IF(T27&lt;&gt;"",IF(T27&lt;=K27-'Rooms and Staff'!$B$11/1440,"Yes","No"),"No"))),"")</f>
        <v/>
      </c>
      <c r="AC27" s="23" t="n"/>
      <c r="AD27" s="23" t="n"/>
      <c r="AE27" s="29">
        <f>IFERROR(IF(A27="","",IF(C27="Room not found","Room not found",IF(COUNTIFS($A$2:$A$101,A27,$B$2:$B$101,B27)&gt;1,"Duplicate room assignment",IF(H27="","Attendant not assigned",IF(AND(N27&lt;&gt;"",O27&lt;&gt;"",O27&lt;N27),"Actual finish is before start",IF(AND(L27&lt;&gt;"",M27&lt;&gt;"",M27&lt;L27),"Planned finish is before start",IF(AND(P27="DND",O27&lt;&gt;""),"DND room marked completed",IF(AND(Q27="Yes",Z27="Completed",S27=""),"Inspection result missing",IF(S27="Failed","Inspection failed",IF(AND(K27&lt;&gt;"",J27&lt;&gt;"",K27&lt;J27),"Arrival is before check-out","OK")))))))))),"Review row")</f>
        <v/>
      </c>
      <c r="AH27">
        <f>IFERROR(IF(AND($A27='Dashboard'!$B$3,$AE27&lt;&gt;"OK",$AE27&lt;&gt;""),COUNTIFS($A$2:A27,'Dashboard'!$B$3,$AE$2:AE27,"&lt;&gt;OK",$AE$2:AE27,"&lt;&gt;"),""),"")</f>
        <v/>
      </c>
    </row>
    <row r="28">
      <c r="A28" s="22">
        <f>IFERROR(IF(B28="","",'Dashboard'!$B$3),"")</f>
        <v/>
      </c>
      <c r="B28" s="23" t="n"/>
      <c r="C28" s="24">
        <f>IFERROR(IF(B28="","",IFERROR(INDEX('Rooms and Staff'!$B$16:$B$115,MATCH(B28,'Rooms and Staff'!$A$16:$A$115,0)),"Room not found")),"")</f>
        <v/>
      </c>
      <c r="D28" s="24">
        <f>IFERROR(IF(B28="","",IFERROR(INDEX('Rooms and Staff'!$C$16:$C$115,MATCH(B28,'Rooms and Staff'!$A$16:$A$115,0)),"")),"")</f>
        <v/>
      </c>
      <c r="E28" s="23" t="n"/>
      <c r="F28" s="23" t="n"/>
      <c r="G28" s="23" t="n"/>
      <c r="H28" s="23" t="n"/>
      <c r="I28" s="23" t="n"/>
      <c r="J28" s="25" t="n"/>
      <c r="K28" s="25" t="n"/>
      <c r="L28" s="25" t="n"/>
      <c r="M28" s="25" t="n"/>
      <c r="N28" s="25" t="n"/>
      <c r="O28" s="25" t="n"/>
      <c r="P28" s="23" t="n"/>
      <c r="Q28" s="23" t="n"/>
      <c r="R28" s="23" t="n"/>
      <c r="S28" s="23" t="n"/>
      <c r="T28" s="25" t="n"/>
      <c r="U28" s="26">
        <f>IFERROR(IF(A28="","",IF(F28="Canceled",0,IF(F28="","",IF(F28="Checkout",'Rooms and Staff'!$B$4,IF(F28="Stayover",'Rooms and Staff'!$B$5,IF(F28="Deep Clean",'Rooms and Staff'!$B$6,IF(F28="Touch-Up",'Rooms and Staff'!$B$7,IF(F28="Public Area",'Rooms and Staff'!$B$8,0)))))))),"")</f>
        <v/>
      </c>
      <c r="V28" s="26">
        <f>IFERROR(IF(OR(N28="",O28=""),"",(O28-N28)*1440),"")</f>
        <v/>
      </c>
      <c r="W28" s="26">
        <f>IFERROR(IF(OR(V28="",U28=""),"",V28-U28),"")</f>
        <v/>
      </c>
      <c r="X28" s="27">
        <f>IFERROR(IF(OR(H28="",U28=""),"",(U28/60)*INDEX('Rooms and Staff'!$P$16:$P$115,MATCH(H28,'Rooms and Staff'!$J$16:$J$115,0))),"")</f>
        <v/>
      </c>
      <c r="Y28" s="27">
        <f>IFERROR(IF(OR(H28="",V28=""),"",(V28/60)*INDEX('Rooms and Staff'!$P$16:$P$115,MATCH(H28,'Rooms and Staff'!$J$16:$J$115,0))),"")</f>
        <v/>
      </c>
      <c r="Z28" s="24">
        <f>IFERROR(IF(A28="","",IF(F28="Canceled","Canceled",IF(P28="DND","On Hold",IF(O28&lt;&gt;"","Completed",IF(N28&lt;&gt;"","In Progress","Not Started"))))),"")</f>
        <v/>
      </c>
      <c r="AA28" s="24">
        <f>IFERROR(IF(A28="","",IF(Z28&lt;&gt;"Completed","No",IF(Q28="Yes",IF(S28="Passed","Yes","No"),"Yes"))),"")</f>
        <v/>
      </c>
      <c r="AB28" s="24">
        <f>IFERROR(IF(AA28&lt;&gt;"Yes","",IF(K28="","Yes",IF(T28&lt;&gt;"",IF(T28&lt;=K28-'Rooms and Staff'!$B$11/1440,"Yes","No"),"No"))),"")</f>
        <v/>
      </c>
      <c r="AC28" s="23" t="n"/>
      <c r="AD28" s="23" t="n"/>
      <c r="AE28" s="24">
        <f>IFERROR(IF(A28="","",IF(C28="Room not found","Room not found",IF(COUNTIFS($A$2:$A$101,A28,$B$2:$B$101,B28)&gt;1,"Duplicate room assignment",IF(H28="","Attendant not assigned",IF(AND(N28&lt;&gt;"",O28&lt;&gt;"",O28&lt;N28),"Actual finish is before start",IF(AND(L28&lt;&gt;"",M28&lt;&gt;"",M28&lt;L28),"Planned finish is before start",IF(AND(P28="DND",O28&lt;&gt;""),"DND room marked completed",IF(AND(Q28="Yes",Z28="Completed",S28=""),"Inspection result missing",IF(S28="Failed","Inspection failed",IF(AND(K28&lt;&gt;"",J28&lt;&gt;"",K28&lt;J28),"Arrival is before check-out","OK")))))))))),"Review row")</f>
        <v/>
      </c>
      <c r="AH28">
        <f>IFERROR(IF(AND($A28='Dashboard'!$B$3,$AE28&lt;&gt;"OK",$AE28&lt;&gt;""),COUNTIFS($A$2:A28,'Dashboard'!$B$3,$AE$2:AE28,"&lt;&gt;OK",$AE$2:AE28,"&lt;&gt;"),""),"")</f>
        <v/>
      </c>
    </row>
    <row r="29">
      <c r="A29" s="28">
        <f>IFERROR(IF(B29="","",'Dashboard'!$B$3),"")</f>
        <v/>
      </c>
      <c r="B29" s="23" t="n"/>
      <c r="C29" s="29">
        <f>IFERROR(IF(B29="","",IFERROR(INDEX('Rooms and Staff'!$B$16:$B$115,MATCH(B29,'Rooms and Staff'!$A$16:$A$115,0)),"Room not found")),"")</f>
        <v/>
      </c>
      <c r="D29" s="29">
        <f>IFERROR(IF(B29="","",IFERROR(INDEX('Rooms and Staff'!$C$16:$C$115,MATCH(B29,'Rooms and Staff'!$A$16:$A$115,0)),"")),"")</f>
        <v/>
      </c>
      <c r="E29" s="23" t="n"/>
      <c r="F29" s="23" t="n"/>
      <c r="G29" s="23" t="n"/>
      <c r="H29" s="23" t="n"/>
      <c r="I29" s="23" t="n"/>
      <c r="J29" s="25" t="n"/>
      <c r="K29" s="25" t="n"/>
      <c r="L29" s="25" t="n"/>
      <c r="M29" s="25" t="n"/>
      <c r="N29" s="25" t="n"/>
      <c r="O29" s="25" t="n"/>
      <c r="P29" s="23" t="n"/>
      <c r="Q29" s="23" t="n"/>
      <c r="R29" s="23" t="n"/>
      <c r="S29" s="23" t="n"/>
      <c r="T29" s="25" t="n"/>
      <c r="U29" s="30">
        <f>IFERROR(IF(A29="","",IF(F29="Canceled",0,IF(F29="","",IF(F29="Checkout",'Rooms and Staff'!$B$4,IF(F29="Stayover",'Rooms and Staff'!$B$5,IF(F29="Deep Clean",'Rooms and Staff'!$B$6,IF(F29="Touch-Up",'Rooms and Staff'!$B$7,IF(F29="Public Area",'Rooms and Staff'!$B$8,0)))))))),"")</f>
        <v/>
      </c>
      <c r="V29" s="30">
        <f>IFERROR(IF(OR(N29="",O29=""),"",(O29-N29)*1440),"")</f>
        <v/>
      </c>
      <c r="W29" s="30">
        <f>IFERROR(IF(OR(V29="",U29=""),"",V29-U29),"")</f>
        <v/>
      </c>
      <c r="X29" s="31">
        <f>IFERROR(IF(OR(H29="",U29=""),"",(U29/60)*INDEX('Rooms and Staff'!$P$16:$P$115,MATCH(H29,'Rooms and Staff'!$J$16:$J$115,0))),"")</f>
        <v/>
      </c>
      <c r="Y29" s="31">
        <f>IFERROR(IF(OR(H29="",V29=""),"",(V29/60)*INDEX('Rooms and Staff'!$P$16:$P$115,MATCH(H29,'Rooms and Staff'!$J$16:$J$115,0))),"")</f>
        <v/>
      </c>
      <c r="Z29" s="29">
        <f>IFERROR(IF(A29="","",IF(F29="Canceled","Canceled",IF(P29="DND","On Hold",IF(O29&lt;&gt;"","Completed",IF(N29&lt;&gt;"","In Progress","Not Started"))))),"")</f>
        <v/>
      </c>
      <c r="AA29" s="29">
        <f>IFERROR(IF(A29="","",IF(Z29&lt;&gt;"Completed","No",IF(Q29="Yes",IF(S29="Passed","Yes","No"),"Yes"))),"")</f>
        <v/>
      </c>
      <c r="AB29" s="29">
        <f>IFERROR(IF(AA29&lt;&gt;"Yes","",IF(K29="","Yes",IF(T29&lt;&gt;"",IF(T29&lt;=K29-'Rooms and Staff'!$B$11/1440,"Yes","No"),"No"))),"")</f>
        <v/>
      </c>
      <c r="AC29" s="23" t="n"/>
      <c r="AD29" s="23" t="n"/>
      <c r="AE29" s="29">
        <f>IFERROR(IF(A29="","",IF(C29="Room not found","Room not found",IF(COUNTIFS($A$2:$A$101,A29,$B$2:$B$101,B29)&gt;1,"Duplicate room assignment",IF(H29="","Attendant not assigned",IF(AND(N29&lt;&gt;"",O29&lt;&gt;"",O29&lt;N29),"Actual finish is before start",IF(AND(L29&lt;&gt;"",M29&lt;&gt;"",M29&lt;L29),"Planned finish is before start",IF(AND(P29="DND",O29&lt;&gt;""),"DND room marked completed",IF(AND(Q29="Yes",Z29="Completed",S29=""),"Inspection result missing",IF(S29="Failed","Inspection failed",IF(AND(K29&lt;&gt;"",J29&lt;&gt;"",K29&lt;J29),"Arrival is before check-out","OK")))))))))),"Review row")</f>
        <v/>
      </c>
      <c r="AH29">
        <f>IFERROR(IF(AND($A29='Dashboard'!$B$3,$AE29&lt;&gt;"OK",$AE29&lt;&gt;""),COUNTIFS($A$2:A29,'Dashboard'!$B$3,$AE$2:AE29,"&lt;&gt;OK",$AE$2:AE29,"&lt;&gt;"),""),"")</f>
        <v/>
      </c>
    </row>
    <row r="30">
      <c r="A30" s="22">
        <f>IFERROR(IF(B30="","",'Dashboard'!$B$3),"")</f>
        <v/>
      </c>
      <c r="B30" s="23" t="n"/>
      <c r="C30" s="24">
        <f>IFERROR(IF(B30="","",IFERROR(INDEX('Rooms and Staff'!$B$16:$B$115,MATCH(B30,'Rooms and Staff'!$A$16:$A$115,0)),"Room not found")),"")</f>
        <v/>
      </c>
      <c r="D30" s="24">
        <f>IFERROR(IF(B30="","",IFERROR(INDEX('Rooms and Staff'!$C$16:$C$115,MATCH(B30,'Rooms and Staff'!$A$16:$A$115,0)),"")),"")</f>
        <v/>
      </c>
      <c r="E30" s="23" t="n"/>
      <c r="F30" s="23" t="n"/>
      <c r="G30" s="23" t="n"/>
      <c r="H30" s="23" t="n"/>
      <c r="I30" s="23" t="n"/>
      <c r="J30" s="25" t="n"/>
      <c r="K30" s="25" t="n"/>
      <c r="L30" s="25" t="n"/>
      <c r="M30" s="25" t="n"/>
      <c r="N30" s="25" t="n"/>
      <c r="O30" s="25" t="n"/>
      <c r="P30" s="23" t="n"/>
      <c r="Q30" s="23" t="n"/>
      <c r="R30" s="23" t="n"/>
      <c r="S30" s="23" t="n"/>
      <c r="T30" s="25" t="n"/>
      <c r="U30" s="26">
        <f>IFERROR(IF(A30="","",IF(F30="Canceled",0,IF(F30="","",IF(F30="Checkout",'Rooms and Staff'!$B$4,IF(F30="Stayover",'Rooms and Staff'!$B$5,IF(F30="Deep Clean",'Rooms and Staff'!$B$6,IF(F30="Touch-Up",'Rooms and Staff'!$B$7,IF(F30="Public Area",'Rooms and Staff'!$B$8,0)))))))),"")</f>
        <v/>
      </c>
      <c r="V30" s="26">
        <f>IFERROR(IF(OR(N30="",O30=""),"",(O30-N30)*1440),"")</f>
        <v/>
      </c>
      <c r="W30" s="26">
        <f>IFERROR(IF(OR(V30="",U30=""),"",V30-U30),"")</f>
        <v/>
      </c>
      <c r="X30" s="27">
        <f>IFERROR(IF(OR(H30="",U30=""),"",(U30/60)*INDEX('Rooms and Staff'!$P$16:$P$115,MATCH(H30,'Rooms and Staff'!$J$16:$J$115,0))),"")</f>
        <v/>
      </c>
      <c r="Y30" s="27">
        <f>IFERROR(IF(OR(H30="",V30=""),"",(V30/60)*INDEX('Rooms and Staff'!$P$16:$P$115,MATCH(H30,'Rooms and Staff'!$J$16:$J$115,0))),"")</f>
        <v/>
      </c>
      <c r="Z30" s="24">
        <f>IFERROR(IF(A30="","",IF(F30="Canceled","Canceled",IF(P30="DND","On Hold",IF(O30&lt;&gt;"","Completed",IF(N30&lt;&gt;"","In Progress","Not Started"))))),"")</f>
        <v/>
      </c>
      <c r="AA30" s="24">
        <f>IFERROR(IF(A30="","",IF(Z30&lt;&gt;"Completed","No",IF(Q30="Yes",IF(S30="Passed","Yes","No"),"Yes"))),"")</f>
        <v/>
      </c>
      <c r="AB30" s="24">
        <f>IFERROR(IF(AA30&lt;&gt;"Yes","",IF(K30="","Yes",IF(T30&lt;&gt;"",IF(T30&lt;=K30-'Rooms and Staff'!$B$11/1440,"Yes","No"),"No"))),"")</f>
        <v/>
      </c>
      <c r="AC30" s="23" t="n"/>
      <c r="AD30" s="23" t="n"/>
      <c r="AE30" s="24">
        <f>IFERROR(IF(A30="","",IF(C30="Room not found","Room not found",IF(COUNTIFS($A$2:$A$101,A30,$B$2:$B$101,B30)&gt;1,"Duplicate room assignment",IF(H30="","Attendant not assigned",IF(AND(N30&lt;&gt;"",O30&lt;&gt;"",O30&lt;N30),"Actual finish is before start",IF(AND(L30&lt;&gt;"",M30&lt;&gt;"",M30&lt;L30),"Planned finish is before start",IF(AND(P30="DND",O30&lt;&gt;""),"DND room marked completed",IF(AND(Q30="Yes",Z30="Completed",S30=""),"Inspection result missing",IF(S30="Failed","Inspection failed",IF(AND(K30&lt;&gt;"",J30&lt;&gt;"",K30&lt;J30),"Arrival is before check-out","OK")))))))))),"Review row")</f>
        <v/>
      </c>
      <c r="AH30">
        <f>IFERROR(IF(AND($A30='Dashboard'!$B$3,$AE30&lt;&gt;"OK",$AE30&lt;&gt;""),COUNTIFS($A$2:A30,'Dashboard'!$B$3,$AE$2:AE30,"&lt;&gt;OK",$AE$2:AE30,"&lt;&gt;"),""),"")</f>
        <v/>
      </c>
    </row>
    <row r="31">
      <c r="A31" s="28">
        <f>IFERROR(IF(B31="","",'Dashboard'!$B$3),"")</f>
        <v/>
      </c>
      <c r="B31" s="23" t="n"/>
      <c r="C31" s="29">
        <f>IFERROR(IF(B31="","",IFERROR(INDEX('Rooms and Staff'!$B$16:$B$115,MATCH(B31,'Rooms and Staff'!$A$16:$A$115,0)),"Room not found")),"")</f>
        <v/>
      </c>
      <c r="D31" s="29">
        <f>IFERROR(IF(B31="","",IFERROR(INDEX('Rooms and Staff'!$C$16:$C$115,MATCH(B31,'Rooms and Staff'!$A$16:$A$115,0)),"")),"")</f>
        <v/>
      </c>
      <c r="E31" s="23" t="n"/>
      <c r="F31" s="23" t="n"/>
      <c r="G31" s="23" t="n"/>
      <c r="H31" s="23" t="n"/>
      <c r="I31" s="23" t="n"/>
      <c r="J31" s="25" t="n"/>
      <c r="K31" s="25" t="n"/>
      <c r="L31" s="25" t="n"/>
      <c r="M31" s="25" t="n"/>
      <c r="N31" s="25" t="n"/>
      <c r="O31" s="25" t="n"/>
      <c r="P31" s="23" t="n"/>
      <c r="Q31" s="23" t="n"/>
      <c r="R31" s="23" t="n"/>
      <c r="S31" s="23" t="n"/>
      <c r="T31" s="25" t="n"/>
      <c r="U31" s="30">
        <f>IFERROR(IF(A31="","",IF(F31="Canceled",0,IF(F31="","",IF(F31="Checkout",'Rooms and Staff'!$B$4,IF(F31="Stayover",'Rooms and Staff'!$B$5,IF(F31="Deep Clean",'Rooms and Staff'!$B$6,IF(F31="Touch-Up",'Rooms and Staff'!$B$7,IF(F31="Public Area",'Rooms and Staff'!$B$8,0)))))))),"")</f>
        <v/>
      </c>
      <c r="V31" s="30">
        <f>IFERROR(IF(OR(N31="",O31=""),"",(O31-N31)*1440),"")</f>
        <v/>
      </c>
      <c r="W31" s="30">
        <f>IFERROR(IF(OR(V31="",U31=""),"",V31-U31),"")</f>
        <v/>
      </c>
      <c r="X31" s="31">
        <f>IFERROR(IF(OR(H31="",U31=""),"",(U31/60)*INDEX('Rooms and Staff'!$P$16:$P$115,MATCH(H31,'Rooms and Staff'!$J$16:$J$115,0))),"")</f>
        <v/>
      </c>
      <c r="Y31" s="31">
        <f>IFERROR(IF(OR(H31="",V31=""),"",(V31/60)*INDEX('Rooms and Staff'!$P$16:$P$115,MATCH(H31,'Rooms and Staff'!$J$16:$J$115,0))),"")</f>
        <v/>
      </c>
      <c r="Z31" s="29">
        <f>IFERROR(IF(A31="","",IF(F31="Canceled","Canceled",IF(P31="DND","On Hold",IF(O31&lt;&gt;"","Completed",IF(N31&lt;&gt;"","In Progress","Not Started"))))),"")</f>
        <v/>
      </c>
      <c r="AA31" s="29">
        <f>IFERROR(IF(A31="","",IF(Z31&lt;&gt;"Completed","No",IF(Q31="Yes",IF(S31="Passed","Yes","No"),"Yes"))),"")</f>
        <v/>
      </c>
      <c r="AB31" s="29">
        <f>IFERROR(IF(AA31&lt;&gt;"Yes","",IF(K31="","Yes",IF(T31&lt;&gt;"",IF(T31&lt;=K31-'Rooms and Staff'!$B$11/1440,"Yes","No"),"No"))),"")</f>
        <v/>
      </c>
      <c r="AC31" s="23" t="n"/>
      <c r="AD31" s="23" t="n"/>
      <c r="AE31" s="29">
        <f>IFERROR(IF(A31="","",IF(C31="Room not found","Room not found",IF(COUNTIFS($A$2:$A$101,A31,$B$2:$B$101,B31)&gt;1,"Duplicate room assignment",IF(H31="","Attendant not assigned",IF(AND(N31&lt;&gt;"",O31&lt;&gt;"",O31&lt;N31),"Actual finish is before start",IF(AND(L31&lt;&gt;"",M31&lt;&gt;"",M31&lt;L31),"Planned finish is before start",IF(AND(P31="DND",O31&lt;&gt;""),"DND room marked completed",IF(AND(Q31="Yes",Z31="Completed",S31=""),"Inspection result missing",IF(S31="Failed","Inspection failed",IF(AND(K31&lt;&gt;"",J31&lt;&gt;"",K31&lt;J31),"Arrival is before check-out","OK")))))))))),"Review row")</f>
        <v/>
      </c>
      <c r="AH31">
        <f>IFERROR(IF(AND($A31='Dashboard'!$B$3,$AE31&lt;&gt;"OK",$AE31&lt;&gt;""),COUNTIFS($A$2:A31,'Dashboard'!$B$3,$AE$2:AE31,"&lt;&gt;OK",$AE$2:AE31,"&lt;&gt;"),""),"")</f>
        <v/>
      </c>
    </row>
    <row r="32">
      <c r="A32" s="22">
        <f>IFERROR(IF(B32="","",'Dashboard'!$B$3),"")</f>
        <v/>
      </c>
      <c r="B32" s="23" t="n"/>
      <c r="C32" s="24">
        <f>IFERROR(IF(B32="","",IFERROR(INDEX('Rooms and Staff'!$B$16:$B$115,MATCH(B32,'Rooms and Staff'!$A$16:$A$115,0)),"Room not found")),"")</f>
        <v/>
      </c>
      <c r="D32" s="24">
        <f>IFERROR(IF(B32="","",IFERROR(INDEX('Rooms and Staff'!$C$16:$C$115,MATCH(B32,'Rooms and Staff'!$A$16:$A$115,0)),"")),"")</f>
        <v/>
      </c>
      <c r="E32" s="23" t="n"/>
      <c r="F32" s="23" t="n"/>
      <c r="G32" s="23" t="n"/>
      <c r="H32" s="23" t="n"/>
      <c r="I32" s="23" t="n"/>
      <c r="J32" s="25" t="n"/>
      <c r="K32" s="25" t="n"/>
      <c r="L32" s="25" t="n"/>
      <c r="M32" s="25" t="n"/>
      <c r="N32" s="25" t="n"/>
      <c r="O32" s="25" t="n"/>
      <c r="P32" s="23" t="n"/>
      <c r="Q32" s="23" t="n"/>
      <c r="R32" s="23" t="n"/>
      <c r="S32" s="23" t="n"/>
      <c r="T32" s="25" t="n"/>
      <c r="U32" s="26">
        <f>IFERROR(IF(A32="","",IF(F32="Canceled",0,IF(F32="","",IF(F32="Checkout",'Rooms and Staff'!$B$4,IF(F32="Stayover",'Rooms and Staff'!$B$5,IF(F32="Deep Clean",'Rooms and Staff'!$B$6,IF(F32="Touch-Up",'Rooms and Staff'!$B$7,IF(F32="Public Area",'Rooms and Staff'!$B$8,0)))))))),"")</f>
        <v/>
      </c>
      <c r="V32" s="26">
        <f>IFERROR(IF(OR(N32="",O32=""),"",(O32-N32)*1440),"")</f>
        <v/>
      </c>
      <c r="W32" s="26">
        <f>IFERROR(IF(OR(V32="",U32=""),"",V32-U32),"")</f>
        <v/>
      </c>
      <c r="X32" s="27">
        <f>IFERROR(IF(OR(H32="",U32=""),"",(U32/60)*INDEX('Rooms and Staff'!$P$16:$P$115,MATCH(H32,'Rooms and Staff'!$J$16:$J$115,0))),"")</f>
        <v/>
      </c>
      <c r="Y32" s="27">
        <f>IFERROR(IF(OR(H32="",V32=""),"",(V32/60)*INDEX('Rooms and Staff'!$P$16:$P$115,MATCH(H32,'Rooms and Staff'!$J$16:$J$115,0))),"")</f>
        <v/>
      </c>
      <c r="Z32" s="24">
        <f>IFERROR(IF(A32="","",IF(F32="Canceled","Canceled",IF(P32="DND","On Hold",IF(O32&lt;&gt;"","Completed",IF(N32&lt;&gt;"","In Progress","Not Started"))))),"")</f>
        <v/>
      </c>
      <c r="AA32" s="24">
        <f>IFERROR(IF(A32="","",IF(Z32&lt;&gt;"Completed","No",IF(Q32="Yes",IF(S32="Passed","Yes","No"),"Yes"))),"")</f>
        <v/>
      </c>
      <c r="AB32" s="24">
        <f>IFERROR(IF(AA32&lt;&gt;"Yes","",IF(K32="","Yes",IF(T32&lt;&gt;"",IF(T32&lt;=K32-'Rooms and Staff'!$B$11/1440,"Yes","No"),"No"))),"")</f>
        <v/>
      </c>
      <c r="AC32" s="23" t="n"/>
      <c r="AD32" s="23" t="n"/>
      <c r="AE32" s="24">
        <f>IFERROR(IF(A32="","",IF(C32="Room not found","Room not found",IF(COUNTIFS($A$2:$A$101,A32,$B$2:$B$101,B32)&gt;1,"Duplicate room assignment",IF(H32="","Attendant not assigned",IF(AND(N32&lt;&gt;"",O32&lt;&gt;"",O32&lt;N32),"Actual finish is before start",IF(AND(L32&lt;&gt;"",M32&lt;&gt;"",M32&lt;L32),"Planned finish is before start",IF(AND(P32="DND",O32&lt;&gt;""),"DND room marked completed",IF(AND(Q32="Yes",Z32="Completed",S32=""),"Inspection result missing",IF(S32="Failed","Inspection failed",IF(AND(K32&lt;&gt;"",J32&lt;&gt;"",K32&lt;J32),"Arrival is before check-out","OK")))))))))),"Review row")</f>
        <v/>
      </c>
      <c r="AH32">
        <f>IFERROR(IF(AND($A32='Dashboard'!$B$3,$AE32&lt;&gt;"OK",$AE32&lt;&gt;""),COUNTIFS($A$2:A32,'Dashboard'!$B$3,$AE$2:AE32,"&lt;&gt;OK",$AE$2:AE32,"&lt;&gt;"),""),"")</f>
        <v/>
      </c>
    </row>
    <row r="33">
      <c r="A33" s="28">
        <f>IFERROR(IF(B33="","",'Dashboard'!$B$3),"")</f>
        <v/>
      </c>
      <c r="B33" s="23" t="n"/>
      <c r="C33" s="29">
        <f>IFERROR(IF(B33="","",IFERROR(INDEX('Rooms and Staff'!$B$16:$B$115,MATCH(B33,'Rooms and Staff'!$A$16:$A$115,0)),"Room not found")),"")</f>
        <v/>
      </c>
      <c r="D33" s="29">
        <f>IFERROR(IF(B33="","",IFERROR(INDEX('Rooms and Staff'!$C$16:$C$115,MATCH(B33,'Rooms and Staff'!$A$16:$A$115,0)),"")),"")</f>
        <v/>
      </c>
      <c r="E33" s="23" t="n"/>
      <c r="F33" s="23" t="n"/>
      <c r="G33" s="23" t="n"/>
      <c r="H33" s="23" t="n"/>
      <c r="I33" s="23" t="n"/>
      <c r="J33" s="25" t="n"/>
      <c r="K33" s="25" t="n"/>
      <c r="L33" s="25" t="n"/>
      <c r="M33" s="25" t="n"/>
      <c r="N33" s="25" t="n"/>
      <c r="O33" s="25" t="n"/>
      <c r="P33" s="23" t="n"/>
      <c r="Q33" s="23" t="n"/>
      <c r="R33" s="23" t="n"/>
      <c r="S33" s="23" t="n"/>
      <c r="T33" s="25" t="n"/>
      <c r="U33" s="30">
        <f>IFERROR(IF(A33="","",IF(F33="Canceled",0,IF(F33="","",IF(F33="Checkout",'Rooms and Staff'!$B$4,IF(F33="Stayover",'Rooms and Staff'!$B$5,IF(F33="Deep Clean",'Rooms and Staff'!$B$6,IF(F33="Touch-Up",'Rooms and Staff'!$B$7,IF(F33="Public Area",'Rooms and Staff'!$B$8,0)))))))),"")</f>
        <v/>
      </c>
      <c r="V33" s="30">
        <f>IFERROR(IF(OR(N33="",O33=""),"",(O33-N33)*1440),"")</f>
        <v/>
      </c>
      <c r="W33" s="30">
        <f>IFERROR(IF(OR(V33="",U33=""),"",V33-U33),"")</f>
        <v/>
      </c>
      <c r="X33" s="31">
        <f>IFERROR(IF(OR(H33="",U33=""),"",(U33/60)*INDEX('Rooms and Staff'!$P$16:$P$115,MATCH(H33,'Rooms and Staff'!$J$16:$J$115,0))),"")</f>
        <v/>
      </c>
      <c r="Y33" s="31">
        <f>IFERROR(IF(OR(H33="",V33=""),"",(V33/60)*INDEX('Rooms and Staff'!$P$16:$P$115,MATCH(H33,'Rooms and Staff'!$J$16:$J$115,0))),"")</f>
        <v/>
      </c>
      <c r="Z33" s="29">
        <f>IFERROR(IF(A33="","",IF(F33="Canceled","Canceled",IF(P33="DND","On Hold",IF(O33&lt;&gt;"","Completed",IF(N33&lt;&gt;"","In Progress","Not Started"))))),"")</f>
        <v/>
      </c>
      <c r="AA33" s="29">
        <f>IFERROR(IF(A33="","",IF(Z33&lt;&gt;"Completed","No",IF(Q33="Yes",IF(S33="Passed","Yes","No"),"Yes"))),"")</f>
        <v/>
      </c>
      <c r="AB33" s="29">
        <f>IFERROR(IF(AA33&lt;&gt;"Yes","",IF(K33="","Yes",IF(T33&lt;&gt;"",IF(T33&lt;=K33-'Rooms and Staff'!$B$11/1440,"Yes","No"),"No"))),"")</f>
        <v/>
      </c>
      <c r="AC33" s="23" t="n"/>
      <c r="AD33" s="23" t="n"/>
      <c r="AE33" s="29">
        <f>IFERROR(IF(A33="","",IF(C33="Room not found","Room not found",IF(COUNTIFS($A$2:$A$101,A33,$B$2:$B$101,B33)&gt;1,"Duplicate room assignment",IF(H33="","Attendant not assigned",IF(AND(N33&lt;&gt;"",O33&lt;&gt;"",O33&lt;N33),"Actual finish is before start",IF(AND(L33&lt;&gt;"",M33&lt;&gt;"",M33&lt;L33),"Planned finish is before start",IF(AND(P33="DND",O33&lt;&gt;""),"DND room marked completed",IF(AND(Q33="Yes",Z33="Completed",S33=""),"Inspection result missing",IF(S33="Failed","Inspection failed",IF(AND(K33&lt;&gt;"",J33&lt;&gt;"",K33&lt;J33),"Arrival is before check-out","OK")))))))))),"Review row")</f>
        <v/>
      </c>
      <c r="AH33">
        <f>IFERROR(IF(AND($A33='Dashboard'!$B$3,$AE33&lt;&gt;"OK",$AE33&lt;&gt;""),COUNTIFS($A$2:A33,'Dashboard'!$B$3,$AE$2:AE33,"&lt;&gt;OK",$AE$2:AE33,"&lt;&gt;"),""),"")</f>
        <v/>
      </c>
    </row>
    <row r="34">
      <c r="A34" s="22">
        <f>IFERROR(IF(B34="","",'Dashboard'!$B$3),"")</f>
        <v/>
      </c>
      <c r="B34" s="23" t="n"/>
      <c r="C34" s="24">
        <f>IFERROR(IF(B34="","",IFERROR(INDEX('Rooms and Staff'!$B$16:$B$115,MATCH(B34,'Rooms and Staff'!$A$16:$A$115,0)),"Room not found")),"")</f>
        <v/>
      </c>
      <c r="D34" s="24">
        <f>IFERROR(IF(B34="","",IFERROR(INDEX('Rooms and Staff'!$C$16:$C$115,MATCH(B34,'Rooms and Staff'!$A$16:$A$115,0)),"")),"")</f>
        <v/>
      </c>
      <c r="E34" s="23" t="n"/>
      <c r="F34" s="23" t="n"/>
      <c r="G34" s="23" t="n"/>
      <c r="H34" s="23" t="n"/>
      <c r="I34" s="23" t="n"/>
      <c r="J34" s="25" t="n"/>
      <c r="K34" s="25" t="n"/>
      <c r="L34" s="25" t="n"/>
      <c r="M34" s="25" t="n"/>
      <c r="N34" s="25" t="n"/>
      <c r="O34" s="25" t="n"/>
      <c r="P34" s="23" t="n"/>
      <c r="Q34" s="23" t="n"/>
      <c r="R34" s="23" t="n"/>
      <c r="S34" s="23" t="n"/>
      <c r="T34" s="25" t="n"/>
      <c r="U34" s="26">
        <f>IFERROR(IF(A34="","",IF(F34="Canceled",0,IF(F34="","",IF(F34="Checkout",'Rooms and Staff'!$B$4,IF(F34="Stayover",'Rooms and Staff'!$B$5,IF(F34="Deep Clean",'Rooms and Staff'!$B$6,IF(F34="Touch-Up",'Rooms and Staff'!$B$7,IF(F34="Public Area",'Rooms and Staff'!$B$8,0)))))))),"")</f>
        <v/>
      </c>
      <c r="V34" s="26">
        <f>IFERROR(IF(OR(N34="",O34=""),"",(O34-N34)*1440),"")</f>
        <v/>
      </c>
      <c r="W34" s="26">
        <f>IFERROR(IF(OR(V34="",U34=""),"",V34-U34),"")</f>
        <v/>
      </c>
      <c r="X34" s="27">
        <f>IFERROR(IF(OR(H34="",U34=""),"",(U34/60)*INDEX('Rooms and Staff'!$P$16:$P$115,MATCH(H34,'Rooms and Staff'!$J$16:$J$115,0))),"")</f>
        <v/>
      </c>
      <c r="Y34" s="27">
        <f>IFERROR(IF(OR(H34="",V34=""),"",(V34/60)*INDEX('Rooms and Staff'!$P$16:$P$115,MATCH(H34,'Rooms and Staff'!$J$16:$J$115,0))),"")</f>
        <v/>
      </c>
      <c r="Z34" s="24">
        <f>IFERROR(IF(A34="","",IF(F34="Canceled","Canceled",IF(P34="DND","On Hold",IF(O34&lt;&gt;"","Completed",IF(N34&lt;&gt;"","In Progress","Not Started"))))),"")</f>
        <v/>
      </c>
      <c r="AA34" s="24">
        <f>IFERROR(IF(A34="","",IF(Z34&lt;&gt;"Completed","No",IF(Q34="Yes",IF(S34="Passed","Yes","No"),"Yes"))),"")</f>
        <v/>
      </c>
      <c r="AB34" s="24">
        <f>IFERROR(IF(AA34&lt;&gt;"Yes","",IF(K34="","Yes",IF(T34&lt;&gt;"",IF(T34&lt;=K34-'Rooms and Staff'!$B$11/1440,"Yes","No"),"No"))),"")</f>
        <v/>
      </c>
      <c r="AC34" s="23" t="n"/>
      <c r="AD34" s="23" t="n"/>
      <c r="AE34" s="24">
        <f>IFERROR(IF(A34="","",IF(C34="Room not found","Room not found",IF(COUNTIFS($A$2:$A$101,A34,$B$2:$B$101,B34)&gt;1,"Duplicate room assignment",IF(H34="","Attendant not assigned",IF(AND(N34&lt;&gt;"",O34&lt;&gt;"",O34&lt;N34),"Actual finish is before start",IF(AND(L34&lt;&gt;"",M34&lt;&gt;"",M34&lt;L34),"Planned finish is before start",IF(AND(P34="DND",O34&lt;&gt;""),"DND room marked completed",IF(AND(Q34="Yes",Z34="Completed",S34=""),"Inspection result missing",IF(S34="Failed","Inspection failed",IF(AND(K34&lt;&gt;"",J34&lt;&gt;"",K34&lt;J34),"Arrival is before check-out","OK")))))))))),"Review row")</f>
        <v/>
      </c>
      <c r="AH34">
        <f>IFERROR(IF(AND($A34='Dashboard'!$B$3,$AE34&lt;&gt;"OK",$AE34&lt;&gt;""),COUNTIFS($A$2:A34,'Dashboard'!$B$3,$AE$2:AE34,"&lt;&gt;OK",$AE$2:AE34,"&lt;&gt;"),""),"")</f>
        <v/>
      </c>
    </row>
    <row r="35">
      <c r="A35" s="28">
        <f>IFERROR(IF(B35="","",'Dashboard'!$B$3),"")</f>
        <v/>
      </c>
      <c r="B35" s="23" t="n"/>
      <c r="C35" s="29">
        <f>IFERROR(IF(B35="","",IFERROR(INDEX('Rooms and Staff'!$B$16:$B$115,MATCH(B35,'Rooms and Staff'!$A$16:$A$115,0)),"Room not found")),"")</f>
        <v/>
      </c>
      <c r="D35" s="29">
        <f>IFERROR(IF(B35="","",IFERROR(INDEX('Rooms and Staff'!$C$16:$C$115,MATCH(B35,'Rooms and Staff'!$A$16:$A$115,0)),"")),"")</f>
        <v/>
      </c>
      <c r="E35" s="23" t="n"/>
      <c r="F35" s="23" t="n"/>
      <c r="G35" s="23" t="n"/>
      <c r="H35" s="23" t="n"/>
      <c r="I35" s="23" t="n"/>
      <c r="J35" s="25" t="n"/>
      <c r="K35" s="25" t="n"/>
      <c r="L35" s="25" t="n"/>
      <c r="M35" s="25" t="n"/>
      <c r="N35" s="25" t="n"/>
      <c r="O35" s="25" t="n"/>
      <c r="P35" s="23" t="n"/>
      <c r="Q35" s="23" t="n"/>
      <c r="R35" s="23" t="n"/>
      <c r="S35" s="23" t="n"/>
      <c r="T35" s="25" t="n"/>
      <c r="U35" s="30">
        <f>IFERROR(IF(A35="","",IF(F35="Canceled",0,IF(F35="","",IF(F35="Checkout",'Rooms and Staff'!$B$4,IF(F35="Stayover",'Rooms and Staff'!$B$5,IF(F35="Deep Clean",'Rooms and Staff'!$B$6,IF(F35="Touch-Up",'Rooms and Staff'!$B$7,IF(F35="Public Area",'Rooms and Staff'!$B$8,0)))))))),"")</f>
        <v/>
      </c>
      <c r="V35" s="30">
        <f>IFERROR(IF(OR(N35="",O35=""),"",(O35-N35)*1440),"")</f>
        <v/>
      </c>
      <c r="W35" s="30">
        <f>IFERROR(IF(OR(V35="",U35=""),"",V35-U35),"")</f>
        <v/>
      </c>
      <c r="X35" s="31">
        <f>IFERROR(IF(OR(H35="",U35=""),"",(U35/60)*INDEX('Rooms and Staff'!$P$16:$P$115,MATCH(H35,'Rooms and Staff'!$J$16:$J$115,0))),"")</f>
        <v/>
      </c>
      <c r="Y35" s="31">
        <f>IFERROR(IF(OR(H35="",V35=""),"",(V35/60)*INDEX('Rooms and Staff'!$P$16:$P$115,MATCH(H35,'Rooms and Staff'!$J$16:$J$115,0))),"")</f>
        <v/>
      </c>
      <c r="Z35" s="29">
        <f>IFERROR(IF(A35="","",IF(F35="Canceled","Canceled",IF(P35="DND","On Hold",IF(O35&lt;&gt;"","Completed",IF(N35&lt;&gt;"","In Progress","Not Started"))))),"")</f>
        <v/>
      </c>
      <c r="AA35" s="29">
        <f>IFERROR(IF(A35="","",IF(Z35&lt;&gt;"Completed","No",IF(Q35="Yes",IF(S35="Passed","Yes","No"),"Yes"))),"")</f>
        <v/>
      </c>
      <c r="AB35" s="29">
        <f>IFERROR(IF(AA35&lt;&gt;"Yes","",IF(K35="","Yes",IF(T35&lt;&gt;"",IF(T35&lt;=K35-'Rooms and Staff'!$B$11/1440,"Yes","No"),"No"))),"")</f>
        <v/>
      </c>
      <c r="AC35" s="23" t="n"/>
      <c r="AD35" s="23" t="n"/>
      <c r="AE35" s="29">
        <f>IFERROR(IF(A35="","",IF(C35="Room not found","Room not found",IF(COUNTIFS($A$2:$A$101,A35,$B$2:$B$101,B35)&gt;1,"Duplicate room assignment",IF(H35="","Attendant not assigned",IF(AND(N35&lt;&gt;"",O35&lt;&gt;"",O35&lt;N35),"Actual finish is before start",IF(AND(L35&lt;&gt;"",M35&lt;&gt;"",M35&lt;L35),"Planned finish is before start",IF(AND(P35="DND",O35&lt;&gt;""),"DND room marked completed",IF(AND(Q35="Yes",Z35="Completed",S35=""),"Inspection result missing",IF(S35="Failed","Inspection failed",IF(AND(K35&lt;&gt;"",J35&lt;&gt;"",K35&lt;J35),"Arrival is before check-out","OK")))))))))),"Review row")</f>
        <v/>
      </c>
      <c r="AH35">
        <f>IFERROR(IF(AND($A35='Dashboard'!$B$3,$AE35&lt;&gt;"OK",$AE35&lt;&gt;""),COUNTIFS($A$2:A35,'Dashboard'!$B$3,$AE$2:AE35,"&lt;&gt;OK",$AE$2:AE35,"&lt;&gt;"),""),"")</f>
        <v/>
      </c>
    </row>
    <row r="36">
      <c r="A36" s="22">
        <f>IFERROR(IF(B36="","",'Dashboard'!$B$3),"")</f>
        <v/>
      </c>
      <c r="B36" s="23" t="n"/>
      <c r="C36" s="24">
        <f>IFERROR(IF(B36="","",IFERROR(INDEX('Rooms and Staff'!$B$16:$B$115,MATCH(B36,'Rooms and Staff'!$A$16:$A$115,0)),"Room not found")),"")</f>
        <v/>
      </c>
      <c r="D36" s="24">
        <f>IFERROR(IF(B36="","",IFERROR(INDEX('Rooms and Staff'!$C$16:$C$115,MATCH(B36,'Rooms and Staff'!$A$16:$A$115,0)),"")),"")</f>
        <v/>
      </c>
      <c r="E36" s="23" t="n"/>
      <c r="F36" s="23" t="n"/>
      <c r="G36" s="23" t="n"/>
      <c r="H36" s="23" t="n"/>
      <c r="I36" s="23" t="n"/>
      <c r="J36" s="25" t="n"/>
      <c r="K36" s="25" t="n"/>
      <c r="L36" s="25" t="n"/>
      <c r="M36" s="25" t="n"/>
      <c r="N36" s="25" t="n"/>
      <c r="O36" s="25" t="n"/>
      <c r="P36" s="23" t="n"/>
      <c r="Q36" s="23" t="n"/>
      <c r="R36" s="23" t="n"/>
      <c r="S36" s="23" t="n"/>
      <c r="T36" s="25" t="n"/>
      <c r="U36" s="26">
        <f>IFERROR(IF(A36="","",IF(F36="Canceled",0,IF(F36="","",IF(F36="Checkout",'Rooms and Staff'!$B$4,IF(F36="Stayover",'Rooms and Staff'!$B$5,IF(F36="Deep Clean",'Rooms and Staff'!$B$6,IF(F36="Touch-Up",'Rooms and Staff'!$B$7,IF(F36="Public Area",'Rooms and Staff'!$B$8,0)))))))),"")</f>
        <v/>
      </c>
      <c r="V36" s="26">
        <f>IFERROR(IF(OR(N36="",O36=""),"",(O36-N36)*1440),"")</f>
        <v/>
      </c>
      <c r="W36" s="26">
        <f>IFERROR(IF(OR(V36="",U36=""),"",V36-U36),"")</f>
        <v/>
      </c>
      <c r="X36" s="27">
        <f>IFERROR(IF(OR(H36="",U36=""),"",(U36/60)*INDEX('Rooms and Staff'!$P$16:$P$115,MATCH(H36,'Rooms and Staff'!$J$16:$J$115,0))),"")</f>
        <v/>
      </c>
      <c r="Y36" s="27">
        <f>IFERROR(IF(OR(H36="",V36=""),"",(V36/60)*INDEX('Rooms and Staff'!$P$16:$P$115,MATCH(H36,'Rooms and Staff'!$J$16:$J$115,0))),"")</f>
        <v/>
      </c>
      <c r="Z36" s="24">
        <f>IFERROR(IF(A36="","",IF(F36="Canceled","Canceled",IF(P36="DND","On Hold",IF(O36&lt;&gt;"","Completed",IF(N36&lt;&gt;"","In Progress","Not Started"))))),"")</f>
        <v/>
      </c>
      <c r="AA36" s="24">
        <f>IFERROR(IF(A36="","",IF(Z36&lt;&gt;"Completed","No",IF(Q36="Yes",IF(S36="Passed","Yes","No"),"Yes"))),"")</f>
        <v/>
      </c>
      <c r="AB36" s="24">
        <f>IFERROR(IF(AA36&lt;&gt;"Yes","",IF(K36="","Yes",IF(T36&lt;&gt;"",IF(T36&lt;=K36-'Rooms and Staff'!$B$11/1440,"Yes","No"),"No"))),"")</f>
        <v/>
      </c>
      <c r="AC36" s="23" t="n"/>
      <c r="AD36" s="23" t="n"/>
      <c r="AE36" s="24">
        <f>IFERROR(IF(A36="","",IF(C36="Room not found","Room not found",IF(COUNTIFS($A$2:$A$101,A36,$B$2:$B$101,B36)&gt;1,"Duplicate room assignment",IF(H36="","Attendant not assigned",IF(AND(N36&lt;&gt;"",O36&lt;&gt;"",O36&lt;N36),"Actual finish is before start",IF(AND(L36&lt;&gt;"",M36&lt;&gt;"",M36&lt;L36),"Planned finish is before start",IF(AND(P36="DND",O36&lt;&gt;""),"DND room marked completed",IF(AND(Q36="Yes",Z36="Completed",S36=""),"Inspection result missing",IF(S36="Failed","Inspection failed",IF(AND(K36&lt;&gt;"",J36&lt;&gt;"",K36&lt;J36),"Arrival is before check-out","OK")))))))))),"Review row")</f>
        <v/>
      </c>
      <c r="AH36">
        <f>IFERROR(IF(AND($A36='Dashboard'!$B$3,$AE36&lt;&gt;"OK",$AE36&lt;&gt;""),COUNTIFS($A$2:A36,'Dashboard'!$B$3,$AE$2:AE36,"&lt;&gt;OK",$AE$2:AE36,"&lt;&gt;"),""),"")</f>
        <v/>
      </c>
    </row>
    <row r="37">
      <c r="A37" s="28">
        <f>IFERROR(IF(B37="","",'Dashboard'!$B$3),"")</f>
        <v/>
      </c>
      <c r="B37" s="23" t="n"/>
      <c r="C37" s="29">
        <f>IFERROR(IF(B37="","",IFERROR(INDEX('Rooms and Staff'!$B$16:$B$115,MATCH(B37,'Rooms and Staff'!$A$16:$A$115,0)),"Room not found")),"")</f>
        <v/>
      </c>
      <c r="D37" s="29">
        <f>IFERROR(IF(B37="","",IFERROR(INDEX('Rooms and Staff'!$C$16:$C$115,MATCH(B37,'Rooms and Staff'!$A$16:$A$115,0)),"")),"")</f>
        <v/>
      </c>
      <c r="E37" s="23" t="n"/>
      <c r="F37" s="23" t="n"/>
      <c r="G37" s="23" t="n"/>
      <c r="H37" s="23" t="n"/>
      <c r="I37" s="23" t="n"/>
      <c r="J37" s="25" t="n"/>
      <c r="K37" s="25" t="n"/>
      <c r="L37" s="25" t="n"/>
      <c r="M37" s="25" t="n"/>
      <c r="N37" s="25" t="n"/>
      <c r="O37" s="25" t="n"/>
      <c r="P37" s="23" t="n"/>
      <c r="Q37" s="23" t="n"/>
      <c r="R37" s="23" t="n"/>
      <c r="S37" s="23" t="n"/>
      <c r="T37" s="25" t="n"/>
      <c r="U37" s="30">
        <f>IFERROR(IF(A37="","",IF(F37="Canceled",0,IF(F37="","",IF(F37="Checkout",'Rooms and Staff'!$B$4,IF(F37="Stayover",'Rooms and Staff'!$B$5,IF(F37="Deep Clean",'Rooms and Staff'!$B$6,IF(F37="Touch-Up",'Rooms and Staff'!$B$7,IF(F37="Public Area",'Rooms and Staff'!$B$8,0)))))))),"")</f>
        <v/>
      </c>
      <c r="V37" s="30">
        <f>IFERROR(IF(OR(N37="",O37=""),"",(O37-N37)*1440),"")</f>
        <v/>
      </c>
      <c r="W37" s="30">
        <f>IFERROR(IF(OR(V37="",U37=""),"",V37-U37),"")</f>
        <v/>
      </c>
      <c r="X37" s="31">
        <f>IFERROR(IF(OR(H37="",U37=""),"",(U37/60)*INDEX('Rooms and Staff'!$P$16:$P$115,MATCH(H37,'Rooms and Staff'!$J$16:$J$115,0))),"")</f>
        <v/>
      </c>
      <c r="Y37" s="31">
        <f>IFERROR(IF(OR(H37="",V37=""),"",(V37/60)*INDEX('Rooms and Staff'!$P$16:$P$115,MATCH(H37,'Rooms and Staff'!$J$16:$J$115,0))),"")</f>
        <v/>
      </c>
      <c r="Z37" s="29">
        <f>IFERROR(IF(A37="","",IF(F37="Canceled","Canceled",IF(P37="DND","On Hold",IF(O37&lt;&gt;"","Completed",IF(N37&lt;&gt;"","In Progress","Not Started"))))),"")</f>
        <v/>
      </c>
      <c r="AA37" s="29">
        <f>IFERROR(IF(A37="","",IF(Z37&lt;&gt;"Completed","No",IF(Q37="Yes",IF(S37="Passed","Yes","No"),"Yes"))),"")</f>
        <v/>
      </c>
      <c r="AB37" s="29">
        <f>IFERROR(IF(AA37&lt;&gt;"Yes","",IF(K37="","Yes",IF(T37&lt;&gt;"",IF(T37&lt;=K37-'Rooms and Staff'!$B$11/1440,"Yes","No"),"No"))),"")</f>
        <v/>
      </c>
      <c r="AC37" s="23" t="n"/>
      <c r="AD37" s="23" t="n"/>
      <c r="AE37" s="29">
        <f>IFERROR(IF(A37="","",IF(C37="Room not found","Room not found",IF(COUNTIFS($A$2:$A$101,A37,$B$2:$B$101,B37)&gt;1,"Duplicate room assignment",IF(H37="","Attendant not assigned",IF(AND(N37&lt;&gt;"",O37&lt;&gt;"",O37&lt;N37),"Actual finish is before start",IF(AND(L37&lt;&gt;"",M37&lt;&gt;"",M37&lt;L37),"Planned finish is before start",IF(AND(P37="DND",O37&lt;&gt;""),"DND room marked completed",IF(AND(Q37="Yes",Z37="Completed",S37=""),"Inspection result missing",IF(S37="Failed","Inspection failed",IF(AND(K37&lt;&gt;"",J37&lt;&gt;"",K37&lt;J37),"Arrival is before check-out","OK")))))))))),"Review row")</f>
        <v/>
      </c>
      <c r="AH37">
        <f>IFERROR(IF(AND($A37='Dashboard'!$B$3,$AE37&lt;&gt;"OK",$AE37&lt;&gt;""),COUNTIFS($A$2:A37,'Dashboard'!$B$3,$AE$2:AE37,"&lt;&gt;OK",$AE$2:AE37,"&lt;&gt;"),""),"")</f>
        <v/>
      </c>
    </row>
    <row r="38">
      <c r="A38" s="22">
        <f>IFERROR(IF(B38="","",'Dashboard'!$B$3),"")</f>
        <v/>
      </c>
      <c r="B38" s="23" t="n"/>
      <c r="C38" s="24">
        <f>IFERROR(IF(B38="","",IFERROR(INDEX('Rooms and Staff'!$B$16:$B$115,MATCH(B38,'Rooms and Staff'!$A$16:$A$115,0)),"Room not found")),"")</f>
        <v/>
      </c>
      <c r="D38" s="24">
        <f>IFERROR(IF(B38="","",IFERROR(INDEX('Rooms and Staff'!$C$16:$C$115,MATCH(B38,'Rooms and Staff'!$A$16:$A$115,0)),"")),"")</f>
        <v/>
      </c>
      <c r="E38" s="23" t="n"/>
      <c r="F38" s="23" t="n"/>
      <c r="G38" s="23" t="n"/>
      <c r="H38" s="23" t="n"/>
      <c r="I38" s="23" t="n"/>
      <c r="J38" s="25" t="n"/>
      <c r="K38" s="25" t="n"/>
      <c r="L38" s="25" t="n"/>
      <c r="M38" s="25" t="n"/>
      <c r="N38" s="25" t="n"/>
      <c r="O38" s="25" t="n"/>
      <c r="P38" s="23" t="n"/>
      <c r="Q38" s="23" t="n"/>
      <c r="R38" s="23" t="n"/>
      <c r="S38" s="23" t="n"/>
      <c r="T38" s="25" t="n"/>
      <c r="U38" s="26">
        <f>IFERROR(IF(A38="","",IF(F38="Canceled",0,IF(F38="","",IF(F38="Checkout",'Rooms and Staff'!$B$4,IF(F38="Stayover",'Rooms and Staff'!$B$5,IF(F38="Deep Clean",'Rooms and Staff'!$B$6,IF(F38="Touch-Up",'Rooms and Staff'!$B$7,IF(F38="Public Area",'Rooms and Staff'!$B$8,0)))))))),"")</f>
        <v/>
      </c>
      <c r="V38" s="26">
        <f>IFERROR(IF(OR(N38="",O38=""),"",(O38-N38)*1440),"")</f>
        <v/>
      </c>
      <c r="W38" s="26">
        <f>IFERROR(IF(OR(V38="",U38=""),"",V38-U38),"")</f>
        <v/>
      </c>
      <c r="X38" s="27">
        <f>IFERROR(IF(OR(H38="",U38=""),"",(U38/60)*INDEX('Rooms and Staff'!$P$16:$P$115,MATCH(H38,'Rooms and Staff'!$J$16:$J$115,0))),"")</f>
        <v/>
      </c>
      <c r="Y38" s="27">
        <f>IFERROR(IF(OR(H38="",V38=""),"",(V38/60)*INDEX('Rooms and Staff'!$P$16:$P$115,MATCH(H38,'Rooms and Staff'!$J$16:$J$115,0))),"")</f>
        <v/>
      </c>
      <c r="Z38" s="24">
        <f>IFERROR(IF(A38="","",IF(F38="Canceled","Canceled",IF(P38="DND","On Hold",IF(O38&lt;&gt;"","Completed",IF(N38&lt;&gt;"","In Progress","Not Started"))))),"")</f>
        <v/>
      </c>
      <c r="AA38" s="24">
        <f>IFERROR(IF(A38="","",IF(Z38&lt;&gt;"Completed","No",IF(Q38="Yes",IF(S38="Passed","Yes","No"),"Yes"))),"")</f>
        <v/>
      </c>
      <c r="AB38" s="24">
        <f>IFERROR(IF(AA38&lt;&gt;"Yes","",IF(K38="","Yes",IF(T38&lt;&gt;"",IF(T38&lt;=K38-'Rooms and Staff'!$B$11/1440,"Yes","No"),"No"))),"")</f>
        <v/>
      </c>
      <c r="AC38" s="23" t="n"/>
      <c r="AD38" s="23" t="n"/>
      <c r="AE38" s="24">
        <f>IFERROR(IF(A38="","",IF(C38="Room not found","Room not found",IF(COUNTIFS($A$2:$A$101,A38,$B$2:$B$101,B38)&gt;1,"Duplicate room assignment",IF(H38="","Attendant not assigned",IF(AND(N38&lt;&gt;"",O38&lt;&gt;"",O38&lt;N38),"Actual finish is before start",IF(AND(L38&lt;&gt;"",M38&lt;&gt;"",M38&lt;L38),"Planned finish is before start",IF(AND(P38="DND",O38&lt;&gt;""),"DND room marked completed",IF(AND(Q38="Yes",Z38="Completed",S38=""),"Inspection result missing",IF(S38="Failed","Inspection failed",IF(AND(K38&lt;&gt;"",J38&lt;&gt;"",K38&lt;J38),"Arrival is before check-out","OK")))))))))),"Review row")</f>
        <v/>
      </c>
      <c r="AH38">
        <f>IFERROR(IF(AND($A38='Dashboard'!$B$3,$AE38&lt;&gt;"OK",$AE38&lt;&gt;""),COUNTIFS($A$2:A38,'Dashboard'!$B$3,$AE$2:AE38,"&lt;&gt;OK",$AE$2:AE38,"&lt;&gt;"),""),"")</f>
        <v/>
      </c>
    </row>
    <row r="39">
      <c r="A39" s="28">
        <f>IFERROR(IF(B39="","",'Dashboard'!$B$3),"")</f>
        <v/>
      </c>
      <c r="B39" s="23" t="n"/>
      <c r="C39" s="29">
        <f>IFERROR(IF(B39="","",IFERROR(INDEX('Rooms and Staff'!$B$16:$B$115,MATCH(B39,'Rooms and Staff'!$A$16:$A$115,0)),"Room not found")),"")</f>
        <v/>
      </c>
      <c r="D39" s="29">
        <f>IFERROR(IF(B39="","",IFERROR(INDEX('Rooms and Staff'!$C$16:$C$115,MATCH(B39,'Rooms and Staff'!$A$16:$A$115,0)),"")),"")</f>
        <v/>
      </c>
      <c r="E39" s="23" t="n"/>
      <c r="F39" s="23" t="n"/>
      <c r="G39" s="23" t="n"/>
      <c r="H39" s="23" t="n"/>
      <c r="I39" s="23" t="n"/>
      <c r="J39" s="25" t="n"/>
      <c r="K39" s="25" t="n"/>
      <c r="L39" s="25" t="n"/>
      <c r="M39" s="25" t="n"/>
      <c r="N39" s="25" t="n"/>
      <c r="O39" s="25" t="n"/>
      <c r="P39" s="23" t="n"/>
      <c r="Q39" s="23" t="n"/>
      <c r="R39" s="23" t="n"/>
      <c r="S39" s="23" t="n"/>
      <c r="T39" s="25" t="n"/>
      <c r="U39" s="30">
        <f>IFERROR(IF(A39="","",IF(F39="Canceled",0,IF(F39="","",IF(F39="Checkout",'Rooms and Staff'!$B$4,IF(F39="Stayover",'Rooms and Staff'!$B$5,IF(F39="Deep Clean",'Rooms and Staff'!$B$6,IF(F39="Touch-Up",'Rooms and Staff'!$B$7,IF(F39="Public Area",'Rooms and Staff'!$B$8,0)))))))),"")</f>
        <v/>
      </c>
      <c r="V39" s="30">
        <f>IFERROR(IF(OR(N39="",O39=""),"",(O39-N39)*1440),"")</f>
        <v/>
      </c>
      <c r="W39" s="30">
        <f>IFERROR(IF(OR(V39="",U39=""),"",V39-U39),"")</f>
        <v/>
      </c>
      <c r="X39" s="31">
        <f>IFERROR(IF(OR(H39="",U39=""),"",(U39/60)*INDEX('Rooms and Staff'!$P$16:$P$115,MATCH(H39,'Rooms and Staff'!$J$16:$J$115,0))),"")</f>
        <v/>
      </c>
      <c r="Y39" s="31">
        <f>IFERROR(IF(OR(H39="",V39=""),"",(V39/60)*INDEX('Rooms and Staff'!$P$16:$P$115,MATCH(H39,'Rooms and Staff'!$J$16:$J$115,0))),"")</f>
        <v/>
      </c>
      <c r="Z39" s="29">
        <f>IFERROR(IF(A39="","",IF(F39="Canceled","Canceled",IF(P39="DND","On Hold",IF(O39&lt;&gt;"","Completed",IF(N39&lt;&gt;"","In Progress","Not Started"))))),"")</f>
        <v/>
      </c>
      <c r="AA39" s="29">
        <f>IFERROR(IF(A39="","",IF(Z39&lt;&gt;"Completed","No",IF(Q39="Yes",IF(S39="Passed","Yes","No"),"Yes"))),"")</f>
        <v/>
      </c>
      <c r="AB39" s="29">
        <f>IFERROR(IF(AA39&lt;&gt;"Yes","",IF(K39="","Yes",IF(T39&lt;&gt;"",IF(T39&lt;=K39-'Rooms and Staff'!$B$11/1440,"Yes","No"),"No"))),"")</f>
        <v/>
      </c>
      <c r="AC39" s="23" t="n"/>
      <c r="AD39" s="23" t="n"/>
      <c r="AE39" s="29">
        <f>IFERROR(IF(A39="","",IF(C39="Room not found","Room not found",IF(COUNTIFS($A$2:$A$101,A39,$B$2:$B$101,B39)&gt;1,"Duplicate room assignment",IF(H39="","Attendant not assigned",IF(AND(N39&lt;&gt;"",O39&lt;&gt;"",O39&lt;N39),"Actual finish is before start",IF(AND(L39&lt;&gt;"",M39&lt;&gt;"",M39&lt;L39),"Planned finish is before start",IF(AND(P39="DND",O39&lt;&gt;""),"DND room marked completed",IF(AND(Q39="Yes",Z39="Completed",S39=""),"Inspection result missing",IF(S39="Failed","Inspection failed",IF(AND(K39&lt;&gt;"",J39&lt;&gt;"",K39&lt;J39),"Arrival is before check-out","OK")))))))))),"Review row")</f>
        <v/>
      </c>
      <c r="AH39">
        <f>IFERROR(IF(AND($A39='Dashboard'!$B$3,$AE39&lt;&gt;"OK",$AE39&lt;&gt;""),COUNTIFS($A$2:A39,'Dashboard'!$B$3,$AE$2:AE39,"&lt;&gt;OK",$AE$2:AE39,"&lt;&gt;"),""),"")</f>
        <v/>
      </c>
    </row>
    <row r="40">
      <c r="A40" s="22">
        <f>IFERROR(IF(B40="","",'Dashboard'!$B$3),"")</f>
        <v/>
      </c>
      <c r="B40" s="23" t="n"/>
      <c r="C40" s="24">
        <f>IFERROR(IF(B40="","",IFERROR(INDEX('Rooms and Staff'!$B$16:$B$115,MATCH(B40,'Rooms and Staff'!$A$16:$A$115,0)),"Room not found")),"")</f>
        <v/>
      </c>
      <c r="D40" s="24">
        <f>IFERROR(IF(B40="","",IFERROR(INDEX('Rooms and Staff'!$C$16:$C$115,MATCH(B40,'Rooms and Staff'!$A$16:$A$115,0)),"")),"")</f>
        <v/>
      </c>
      <c r="E40" s="23" t="n"/>
      <c r="F40" s="23" t="n"/>
      <c r="G40" s="23" t="n"/>
      <c r="H40" s="23" t="n"/>
      <c r="I40" s="23" t="n"/>
      <c r="J40" s="25" t="n"/>
      <c r="K40" s="25" t="n"/>
      <c r="L40" s="25" t="n"/>
      <c r="M40" s="25" t="n"/>
      <c r="N40" s="25" t="n"/>
      <c r="O40" s="25" t="n"/>
      <c r="P40" s="23" t="n"/>
      <c r="Q40" s="23" t="n"/>
      <c r="R40" s="23" t="n"/>
      <c r="S40" s="23" t="n"/>
      <c r="T40" s="25" t="n"/>
      <c r="U40" s="26">
        <f>IFERROR(IF(A40="","",IF(F40="Canceled",0,IF(F40="","",IF(F40="Checkout",'Rooms and Staff'!$B$4,IF(F40="Stayover",'Rooms and Staff'!$B$5,IF(F40="Deep Clean",'Rooms and Staff'!$B$6,IF(F40="Touch-Up",'Rooms and Staff'!$B$7,IF(F40="Public Area",'Rooms and Staff'!$B$8,0)))))))),"")</f>
        <v/>
      </c>
      <c r="V40" s="26">
        <f>IFERROR(IF(OR(N40="",O40=""),"",(O40-N40)*1440),"")</f>
        <v/>
      </c>
      <c r="W40" s="26">
        <f>IFERROR(IF(OR(V40="",U40=""),"",V40-U40),"")</f>
        <v/>
      </c>
      <c r="X40" s="27">
        <f>IFERROR(IF(OR(H40="",U40=""),"",(U40/60)*INDEX('Rooms and Staff'!$P$16:$P$115,MATCH(H40,'Rooms and Staff'!$J$16:$J$115,0))),"")</f>
        <v/>
      </c>
      <c r="Y40" s="27">
        <f>IFERROR(IF(OR(H40="",V40=""),"",(V40/60)*INDEX('Rooms and Staff'!$P$16:$P$115,MATCH(H40,'Rooms and Staff'!$J$16:$J$115,0))),"")</f>
        <v/>
      </c>
      <c r="Z40" s="24">
        <f>IFERROR(IF(A40="","",IF(F40="Canceled","Canceled",IF(P40="DND","On Hold",IF(O40&lt;&gt;"","Completed",IF(N40&lt;&gt;"","In Progress","Not Started"))))),"")</f>
        <v/>
      </c>
      <c r="AA40" s="24">
        <f>IFERROR(IF(A40="","",IF(Z40&lt;&gt;"Completed","No",IF(Q40="Yes",IF(S40="Passed","Yes","No"),"Yes"))),"")</f>
        <v/>
      </c>
      <c r="AB40" s="24">
        <f>IFERROR(IF(AA40&lt;&gt;"Yes","",IF(K40="","Yes",IF(T40&lt;&gt;"",IF(T40&lt;=K40-'Rooms and Staff'!$B$11/1440,"Yes","No"),"No"))),"")</f>
        <v/>
      </c>
      <c r="AC40" s="23" t="n"/>
      <c r="AD40" s="23" t="n"/>
      <c r="AE40" s="24">
        <f>IFERROR(IF(A40="","",IF(C40="Room not found","Room not found",IF(COUNTIFS($A$2:$A$101,A40,$B$2:$B$101,B40)&gt;1,"Duplicate room assignment",IF(H40="","Attendant not assigned",IF(AND(N40&lt;&gt;"",O40&lt;&gt;"",O40&lt;N40),"Actual finish is before start",IF(AND(L40&lt;&gt;"",M40&lt;&gt;"",M40&lt;L40),"Planned finish is before start",IF(AND(P40="DND",O40&lt;&gt;""),"DND room marked completed",IF(AND(Q40="Yes",Z40="Completed",S40=""),"Inspection result missing",IF(S40="Failed","Inspection failed",IF(AND(K40&lt;&gt;"",J40&lt;&gt;"",K40&lt;J40),"Arrival is before check-out","OK")))))))))),"Review row")</f>
        <v/>
      </c>
      <c r="AH40">
        <f>IFERROR(IF(AND($A40='Dashboard'!$B$3,$AE40&lt;&gt;"OK",$AE40&lt;&gt;""),COUNTIFS($A$2:A40,'Dashboard'!$B$3,$AE$2:AE40,"&lt;&gt;OK",$AE$2:AE40,"&lt;&gt;"),""),"")</f>
        <v/>
      </c>
    </row>
    <row r="41">
      <c r="A41" s="28">
        <f>IFERROR(IF(B41="","",'Dashboard'!$B$3),"")</f>
        <v/>
      </c>
      <c r="B41" s="23" t="n"/>
      <c r="C41" s="29">
        <f>IFERROR(IF(B41="","",IFERROR(INDEX('Rooms and Staff'!$B$16:$B$115,MATCH(B41,'Rooms and Staff'!$A$16:$A$115,0)),"Room not found")),"")</f>
        <v/>
      </c>
      <c r="D41" s="29">
        <f>IFERROR(IF(B41="","",IFERROR(INDEX('Rooms and Staff'!$C$16:$C$115,MATCH(B41,'Rooms and Staff'!$A$16:$A$115,0)),"")),"")</f>
        <v/>
      </c>
      <c r="E41" s="23" t="n"/>
      <c r="F41" s="23" t="n"/>
      <c r="G41" s="23" t="n"/>
      <c r="H41" s="23" t="n"/>
      <c r="I41" s="23" t="n"/>
      <c r="J41" s="25" t="n"/>
      <c r="K41" s="25" t="n"/>
      <c r="L41" s="25" t="n"/>
      <c r="M41" s="25" t="n"/>
      <c r="N41" s="25" t="n"/>
      <c r="O41" s="25" t="n"/>
      <c r="P41" s="23" t="n"/>
      <c r="Q41" s="23" t="n"/>
      <c r="R41" s="23" t="n"/>
      <c r="S41" s="23" t="n"/>
      <c r="T41" s="25" t="n"/>
      <c r="U41" s="30">
        <f>IFERROR(IF(A41="","",IF(F41="Canceled",0,IF(F41="","",IF(F41="Checkout",'Rooms and Staff'!$B$4,IF(F41="Stayover",'Rooms and Staff'!$B$5,IF(F41="Deep Clean",'Rooms and Staff'!$B$6,IF(F41="Touch-Up",'Rooms and Staff'!$B$7,IF(F41="Public Area",'Rooms and Staff'!$B$8,0)))))))),"")</f>
        <v/>
      </c>
      <c r="V41" s="30">
        <f>IFERROR(IF(OR(N41="",O41=""),"",(O41-N41)*1440),"")</f>
        <v/>
      </c>
      <c r="W41" s="30">
        <f>IFERROR(IF(OR(V41="",U41=""),"",V41-U41),"")</f>
        <v/>
      </c>
      <c r="X41" s="31">
        <f>IFERROR(IF(OR(H41="",U41=""),"",(U41/60)*INDEX('Rooms and Staff'!$P$16:$P$115,MATCH(H41,'Rooms and Staff'!$J$16:$J$115,0))),"")</f>
        <v/>
      </c>
      <c r="Y41" s="31">
        <f>IFERROR(IF(OR(H41="",V41=""),"",(V41/60)*INDEX('Rooms and Staff'!$P$16:$P$115,MATCH(H41,'Rooms and Staff'!$J$16:$J$115,0))),"")</f>
        <v/>
      </c>
      <c r="Z41" s="29">
        <f>IFERROR(IF(A41="","",IF(F41="Canceled","Canceled",IF(P41="DND","On Hold",IF(O41&lt;&gt;"","Completed",IF(N41&lt;&gt;"","In Progress","Not Started"))))),"")</f>
        <v/>
      </c>
      <c r="AA41" s="29">
        <f>IFERROR(IF(A41="","",IF(Z41&lt;&gt;"Completed","No",IF(Q41="Yes",IF(S41="Passed","Yes","No"),"Yes"))),"")</f>
        <v/>
      </c>
      <c r="AB41" s="29">
        <f>IFERROR(IF(AA41&lt;&gt;"Yes","",IF(K41="","Yes",IF(T41&lt;&gt;"",IF(T41&lt;=K41-'Rooms and Staff'!$B$11/1440,"Yes","No"),"No"))),"")</f>
        <v/>
      </c>
      <c r="AC41" s="23" t="n"/>
      <c r="AD41" s="23" t="n"/>
      <c r="AE41" s="29">
        <f>IFERROR(IF(A41="","",IF(C41="Room not found","Room not found",IF(COUNTIFS($A$2:$A$101,A41,$B$2:$B$101,B41)&gt;1,"Duplicate room assignment",IF(H41="","Attendant not assigned",IF(AND(N41&lt;&gt;"",O41&lt;&gt;"",O41&lt;N41),"Actual finish is before start",IF(AND(L41&lt;&gt;"",M41&lt;&gt;"",M41&lt;L41),"Planned finish is before start",IF(AND(P41="DND",O41&lt;&gt;""),"DND room marked completed",IF(AND(Q41="Yes",Z41="Completed",S41=""),"Inspection result missing",IF(S41="Failed","Inspection failed",IF(AND(K41&lt;&gt;"",J41&lt;&gt;"",K41&lt;J41),"Arrival is before check-out","OK")))))))))),"Review row")</f>
        <v/>
      </c>
      <c r="AH41">
        <f>IFERROR(IF(AND($A41='Dashboard'!$B$3,$AE41&lt;&gt;"OK",$AE41&lt;&gt;""),COUNTIFS($A$2:A41,'Dashboard'!$B$3,$AE$2:AE41,"&lt;&gt;OK",$AE$2:AE41,"&lt;&gt;"),""),"")</f>
        <v/>
      </c>
    </row>
    <row r="42">
      <c r="A42" s="22">
        <f>IFERROR(IF(B42="","",'Dashboard'!$B$3),"")</f>
        <v/>
      </c>
      <c r="B42" s="23" t="n"/>
      <c r="C42" s="24">
        <f>IFERROR(IF(B42="","",IFERROR(INDEX('Rooms and Staff'!$B$16:$B$115,MATCH(B42,'Rooms and Staff'!$A$16:$A$115,0)),"Room not found")),"")</f>
        <v/>
      </c>
      <c r="D42" s="24">
        <f>IFERROR(IF(B42="","",IFERROR(INDEX('Rooms and Staff'!$C$16:$C$115,MATCH(B42,'Rooms and Staff'!$A$16:$A$115,0)),"")),"")</f>
        <v/>
      </c>
      <c r="E42" s="23" t="n"/>
      <c r="F42" s="23" t="n"/>
      <c r="G42" s="23" t="n"/>
      <c r="H42" s="23" t="n"/>
      <c r="I42" s="23" t="n"/>
      <c r="J42" s="25" t="n"/>
      <c r="K42" s="25" t="n"/>
      <c r="L42" s="25" t="n"/>
      <c r="M42" s="25" t="n"/>
      <c r="N42" s="25" t="n"/>
      <c r="O42" s="25" t="n"/>
      <c r="P42" s="23" t="n"/>
      <c r="Q42" s="23" t="n"/>
      <c r="R42" s="23" t="n"/>
      <c r="S42" s="23" t="n"/>
      <c r="T42" s="25" t="n"/>
      <c r="U42" s="26">
        <f>IFERROR(IF(A42="","",IF(F42="Canceled",0,IF(F42="","",IF(F42="Checkout",'Rooms and Staff'!$B$4,IF(F42="Stayover",'Rooms and Staff'!$B$5,IF(F42="Deep Clean",'Rooms and Staff'!$B$6,IF(F42="Touch-Up",'Rooms and Staff'!$B$7,IF(F42="Public Area",'Rooms and Staff'!$B$8,0)))))))),"")</f>
        <v/>
      </c>
      <c r="V42" s="26">
        <f>IFERROR(IF(OR(N42="",O42=""),"",(O42-N42)*1440),"")</f>
        <v/>
      </c>
      <c r="W42" s="26">
        <f>IFERROR(IF(OR(V42="",U42=""),"",V42-U42),"")</f>
        <v/>
      </c>
      <c r="X42" s="27">
        <f>IFERROR(IF(OR(H42="",U42=""),"",(U42/60)*INDEX('Rooms and Staff'!$P$16:$P$115,MATCH(H42,'Rooms and Staff'!$J$16:$J$115,0))),"")</f>
        <v/>
      </c>
      <c r="Y42" s="27">
        <f>IFERROR(IF(OR(H42="",V42=""),"",(V42/60)*INDEX('Rooms and Staff'!$P$16:$P$115,MATCH(H42,'Rooms and Staff'!$J$16:$J$115,0))),"")</f>
        <v/>
      </c>
      <c r="Z42" s="24">
        <f>IFERROR(IF(A42="","",IF(F42="Canceled","Canceled",IF(P42="DND","On Hold",IF(O42&lt;&gt;"","Completed",IF(N42&lt;&gt;"","In Progress","Not Started"))))),"")</f>
        <v/>
      </c>
      <c r="AA42" s="24">
        <f>IFERROR(IF(A42="","",IF(Z42&lt;&gt;"Completed","No",IF(Q42="Yes",IF(S42="Passed","Yes","No"),"Yes"))),"")</f>
        <v/>
      </c>
      <c r="AB42" s="24">
        <f>IFERROR(IF(AA42&lt;&gt;"Yes","",IF(K42="","Yes",IF(T42&lt;&gt;"",IF(T42&lt;=K42-'Rooms and Staff'!$B$11/1440,"Yes","No"),"No"))),"")</f>
        <v/>
      </c>
      <c r="AC42" s="23" t="n"/>
      <c r="AD42" s="23" t="n"/>
      <c r="AE42" s="24">
        <f>IFERROR(IF(A42="","",IF(C42="Room not found","Room not found",IF(COUNTIFS($A$2:$A$101,A42,$B$2:$B$101,B42)&gt;1,"Duplicate room assignment",IF(H42="","Attendant not assigned",IF(AND(N42&lt;&gt;"",O42&lt;&gt;"",O42&lt;N42),"Actual finish is before start",IF(AND(L42&lt;&gt;"",M42&lt;&gt;"",M42&lt;L42),"Planned finish is before start",IF(AND(P42="DND",O42&lt;&gt;""),"DND room marked completed",IF(AND(Q42="Yes",Z42="Completed",S42=""),"Inspection result missing",IF(S42="Failed","Inspection failed",IF(AND(K42&lt;&gt;"",J42&lt;&gt;"",K42&lt;J42),"Arrival is before check-out","OK")))))))))),"Review row")</f>
        <v/>
      </c>
      <c r="AH42">
        <f>IFERROR(IF(AND($A42='Dashboard'!$B$3,$AE42&lt;&gt;"OK",$AE42&lt;&gt;""),COUNTIFS($A$2:A42,'Dashboard'!$B$3,$AE$2:AE42,"&lt;&gt;OK",$AE$2:AE42,"&lt;&gt;"),""),"")</f>
        <v/>
      </c>
    </row>
    <row r="43">
      <c r="A43" s="28">
        <f>IFERROR(IF(B43="","",'Dashboard'!$B$3),"")</f>
        <v/>
      </c>
      <c r="B43" s="23" t="n"/>
      <c r="C43" s="29">
        <f>IFERROR(IF(B43="","",IFERROR(INDEX('Rooms and Staff'!$B$16:$B$115,MATCH(B43,'Rooms and Staff'!$A$16:$A$115,0)),"Room not found")),"")</f>
        <v/>
      </c>
      <c r="D43" s="29">
        <f>IFERROR(IF(B43="","",IFERROR(INDEX('Rooms and Staff'!$C$16:$C$115,MATCH(B43,'Rooms and Staff'!$A$16:$A$115,0)),"")),"")</f>
        <v/>
      </c>
      <c r="E43" s="23" t="n"/>
      <c r="F43" s="23" t="n"/>
      <c r="G43" s="23" t="n"/>
      <c r="H43" s="23" t="n"/>
      <c r="I43" s="23" t="n"/>
      <c r="J43" s="25" t="n"/>
      <c r="K43" s="25" t="n"/>
      <c r="L43" s="25" t="n"/>
      <c r="M43" s="25" t="n"/>
      <c r="N43" s="25" t="n"/>
      <c r="O43" s="25" t="n"/>
      <c r="P43" s="23" t="n"/>
      <c r="Q43" s="23" t="n"/>
      <c r="R43" s="23" t="n"/>
      <c r="S43" s="23" t="n"/>
      <c r="T43" s="25" t="n"/>
      <c r="U43" s="30">
        <f>IFERROR(IF(A43="","",IF(F43="Canceled",0,IF(F43="","",IF(F43="Checkout",'Rooms and Staff'!$B$4,IF(F43="Stayover",'Rooms and Staff'!$B$5,IF(F43="Deep Clean",'Rooms and Staff'!$B$6,IF(F43="Touch-Up",'Rooms and Staff'!$B$7,IF(F43="Public Area",'Rooms and Staff'!$B$8,0)))))))),"")</f>
        <v/>
      </c>
      <c r="V43" s="30">
        <f>IFERROR(IF(OR(N43="",O43=""),"",(O43-N43)*1440),"")</f>
        <v/>
      </c>
      <c r="W43" s="30">
        <f>IFERROR(IF(OR(V43="",U43=""),"",V43-U43),"")</f>
        <v/>
      </c>
      <c r="X43" s="31">
        <f>IFERROR(IF(OR(H43="",U43=""),"",(U43/60)*INDEX('Rooms and Staff'!$P$16:$P$115,MATCH(H43,'Rooms and Staff'!$J$16:$J$115,0))),"")</f>
        <v/>
      </c>
      <c r="Y43" s="31">
        <f>IFERROR(IF(OR(H43="",V43=""),"",(V43/60)*INDEX('Rooms and Staff'!$P$16:$P$115,MATCH(H43,'Rooms and Staff'!$J$16:$J$115,0))),"")</f>
        <v/>
      </c>
      <c r="Z43" s="29">
        <f>IFERROR(IF(A43="","",IF(F43="Canceled","Canceled",IF(P43="DND","On Hold",IF(O43&lt;&gt;"","Completed",IF(N43&lt;&gt;"","In Progress","Not Started"))))),"")</f>
        <v/>
      </c>
      <c r="AA43" s="29">
        <f>IFERROR(IF(A43="","",IF(Z43&lt;&gt;"Completed","No",IF(Q43="Yes",IF(S43="Passed","Yes","No"),"Yes"))),"")</f>
        <v/>
      </c>
      <c r="AB43" s="29">
        <f>IFERROR(IF(AA43&lt;&gt;"Yes","",IF(K43="","Yes",IF(T43&lt;&gt;"",IF(T43&lt;=K43-'Rooms and Staff'!$B$11/1440,"Yes","No"),"No"))),"")</f>
        <v/>
      </c>
      <c r="AC43" s="23" t="n"/>
      <c r="AD43" s="23" t="n"/>
      <c r="AE43" s="29">
        <f>IFERROR(IF(A43="","",IF(C43="Room not found","Room not found",IF(COUNTIFS($A$2:$A$101,A43,$B$2:$B$101,B43)&gt;1,"Duplicate room assignment",IF(H43="","Attendant not assigned",IF(AND(N43&lt;&gt;"",O43&lt;&gt;"",O43&lt;N43),"Actual finish is before start",IF(AND(L43&lt;&gt;"",M43&lt;&gt;"",M43&lt;L43),"Planned finish is before start",IF(AND(P43="DND",O43&lt;&gt;""),"DND room marked completed",IF(AND(Q43="Yes",Z43="Completed",S43=""),"Inspection result missing",IF(S43="Failed","Inspection failed",IF(AND(K43&lt;&gt;"",J43&lt;&gt;"",K43&lt;J43),"Arrival is before check-out","OK")))))))))),"Review row")</f>
        <v/>
      </c>
      <c r="AH43">
        <f>IFERROR(IF(AND($A43='Dashboard'!$B$3,$AE43&lt;&gt;"OK",$AE43&lt;&gt;""),COUNTIFS($A$2:A43,'Dashboard'!$B$3,$AE$2:AE43,"&lt;&gt;OK",$AE$2:AE43,"&lt;&gt;"),""),"")</f>
        <v/>
      </c>
    </row>
    <row r="44">
      <c r="A44" s="22">
        <f>IFERROR(IF(B44="","",'Dashboard'!$B$3),"")</f>
        <v/>
      </c>
      <c r="B44" s="23" t="n"/>
      <c r="C44" s="24">
        <f>IFERROR(IF(B44="","",IFERROR(INDEX('Rooms and Staff'!$B$16:$B$115,MATCH(B44,'Rooms and Staff'!$A$16:$A$115,0)),"Room not found")),"")</f>
        <v/>
      </c>
      <c r="D44" s="24">
        <f>IFERROR(IF(B44="","",IFERROR(INDEX('Rooms and Staff'!$C$16:$C$115,MATCH(B44,'Rooms and Staff'!$A$16:$A$115,0)),"")),"")</f>
        <v/>
      </c>
      <c r="E44" s="23" t="n"/>
      <c r="F44" s="23" t="n"/>
      <c r="G44" s="23" t="n"/>
      <c r="H44" s="23" t="n"/>
      <c r="I44" s="23" t="n"/>
      <c r="J44" s="25" t="n"/>
      <c r="K44" s="25" t="n"/>
      <c r="L44" s="25" t="n"/>
      <c r="M44" s="25" t="n"/>
      <c r="N44" s="25" t="n"/>
      <c r="O44" s="25" t="n"/>
      <c r="P44" s="23" t="n"/>
      <c r="Q44" s="23" t="n"/>
      <c r="R44" s="23" t="n"/>
      <c r="S44" s="23" t="n"/>
      <c r="T44" s="25" t="n"/>
      <c r="U44" s="26">
        <f>IFERROR(IF(A44="","",IF(F44="Canceled",0,IF(F44="","",IF(F44="Checkout",'Rooms and Staff'!$B$4,IF(F44="Stayover",'Rooms and Staff'!$B$5,IF(F44="Deep Clean",'Rooms and Staff'!$B$6,IF(F44="Touch-Up",'Rooms and Staff'!$B$7,IF(F44="Public Area",'Rooms and Staff'!$B$8,0)))))))),"")</f>
        <v/>
      </c>
      <c r="V44" s="26">
        <f>IFERROR(IF(OR(N44="",O44=""),"",(O44-N44)*1440),"")</f>
        <v/>
      </c>
      <c r="W44" s="26">
        <f>IFERROR(IF(OR(V44="",U44=""),"",V44-U44),"")</f>
        <v/>
      </c>
      <c r="X44" s="27">
        <f>IFERROR(IF(OR(H44="",U44=""),"",(U44/60)*INDEX('Rooms and Staff'!$P$16:$P$115,MATCH(H44,'Rooms and Staff'!$J$16:$J$115,0))),"")</f>
        <v/>
      </c>
      <c r="Y44" s="27">
        <f>IFERROR(IF(OR(H44="",V44=""),"",(V44/60)*INDEX('Rooms and Staff'!$P$16:$P$115,MATCH(H44,'Rooms and Staff'!$J$16:$J$115,0))),"")</f>
        <v/>
      </c>
      <c r="Z44" s="24">
        <f>IFERROR(IF(A44="","",IF(F44="Canceled","Canceled",IF(P44="DND","On Hold",IF(O44&lt;&gt;"","Completed",IF(N44&lt;&gt;"","In Progress","Not Started"))))),"")</f>
        <v/>
      </c>
      <c r="AA44" s="24">
        <f>IFERROR(IF(A44="","",IF(Z44&lt;&gt;"Completed","No",IF(Q44="Yes",IF(S44="Passed","Yes","No"),"Yes"))),"")</f>
        <v/>
      </c>
      <c r="AB44" s="24">
        <f>IFERROR(IF(AA44&lt;&gt;"Yes","",IF(K44="","Yes",IF(T44&lt;&gt;"",IF(T44&lt;=K44-'Rooms and Staff'!$B$11/1440,"Yes","No"),"No"))),"")</f>
        <v/>
      </c>
      <c r="AC44" s="23" t="n"/>
      <c r="AD44" s="23" t="n"/>
      <c r="AE44" s="24">
        <f>IFERROR(IF(A44="","",IF(C44="Room not found","Room not found",IF(COUNTIFS($A$2:$A$101,A44,$B$2:$B$101,B44)&gt;1,"Duplicate room assignment",IF(H44="","Attendant not assigned",IF(AND(N44&lt;&gt;"",O44&lt;&gt;"",O44&lt;N44),"Actual finish is before start",IF(AND(L44&lt;&gt;"",M44&lt;&gt;"",M44&lt;L44),"Planned finish is before start",IF(AND(P44="DND",O44&lt;&gt;""),"DND room marked completed",IF(AND(Q44="Yes",Z44="Completed",S44=""),"Inspection result missing",IF(S44="Failed","Inspection failed",IF(AND(K44&lt;&gt;"",J44&lt;&gt;"",K44&lt;J44),"Arrival is before check-out","OK")))))))))),"Review row")</f>
        <v/>
      </c>
      <c r="AH44">
        <f>IFERROR(IF(AND($A44='Dashboard'!$B$3,$AE44&lt;&gt;"OK",$AE44&lt;&gt;""),COUNTIFS($A$2:A44,'Dashboard'!$B$3,$AE$2:AE44,"&lt;&gt;OK",$AE$2:AE44,"&lt;&gt;"),""),"")</f>
        <v/>
      </c>
    </row>
    <row r="45">
      <c r="A45" s="28">
        <f>IFERROR(IF(B45="","",'Dashboard'!$B$3),"")</f>
        <v/>
      </c>
      <c r="B45" s="23" t="n"/>
      <c r="C45" s="29">
        <f>IFERROR(IF(B45="","",IFERROR(INDEX('Rooms and Staff'!$B$16:$B$115,MATCH(B45,'Rooms and Staff'!$A$16:$A$115,0)),"Room not found")),"")</f>
        <v/>
      </c>
      <c r="D45" s="29">
        <f>IFERROR(IF(B45="","",IFERROR(INDEX('Rooms and Staff'!$C$16:$C$115,MATCH(B45,'Rooms and Staff'!$A$16:$A$115,0)),"")),"")</f>
        <v/>
      </c>
      <c r="E45" s="23" t="n"/>
      <c r="F45" s="23" t="n"/>
      <c r="G45" s="23" t="n"/>
      <c r="H45" s="23" t="n"/>
      <c r="I45" s="23" t="n"/>
      <c r="J45" s="25" t="n"/>
      <c r="K45" s="25" t="n"/>
      <c r="L45" s="25" t="n"/>
      <c r="M45" s="25" t="n"/>
      <c r="N45" s="25" t="n"/>
      <c r="O45" s="25" t="n"/>
      <c r="P45" s="23" t="n"/>
      <c r="Q45" s="23" t="n"/>
      <c r="R45" s="23" t="n"/>
      <c r="S45" s="23" t="n"/>
      <c r="T45" s="25" t="n"/>
      <c r="U45" s="30">
        <f>IFERROR(IF(A45="","",IF(F45="Canceled",0,IF(F45="","",IF(F45="Checkout",'Rooms and Staff'!$B$4,IF(F45="Stayover",'Rooms and Staff'!$B$5,IF(F45="Deep Clean",'Rooms and Staff'!$B$6,IF(F45="Touch-Up",'Rooms and Staff'!$B$7,IF(F45="Public Area",'Rooms and Staff'!$B$8,0)))))))),"")</f>
        <v/>
      </c>
      <c r="V45" s="30">
        <f>IFERROR(IF(OR(N45="",O45=""),"",(O45-N45)*1440),"")</f>
        <v/>
      </c>
      <c r="W45" s="30">
        <f>IFERROR(IF(OR(V45="",U45=""),"",V45-U45),"")</f>
        <v/>
      </c>
      <c r="X45" s="31">
        <f>IFERROR(IF(OR(H45="",U45=""),"",(U45/60)*INDEX('Rooms and Staff'!$P$16:$P$115,MATCH(H45,'Rooms and Staff'!$J$16:$J$115,0))),"")</f>
        <v/>
      </c>
      <c r="Y45" s="31">
        <f>IFERROR(IF(OR(H45="",V45=""),"",(V45/60)*INDEX('Rooms and Staff'!$P$16:$P$115,MATCH(H45,'Rooms and Staff'!$J$16:$J$115,0))),"")</f>
        <v/>
      </c>
      <c r="Z45" s="29">
        <f>IFERROR(IF(A45="","",IF(F45="Canceled","Canceled",IF(P45="DND","On Hold",IF(O45&lt;&gt;"","Completed",IF(N45&lt;&gt;"","In Progress","Not Started"))))),"")</f>
        <v/>
      </c>
      <c r="AA45" s="29">
        <f>IFERROR(IF(A45="","",IF(Z45&lt;&gt;"Completed","No",IF(Q45="Yes",IF(S45="Passed","Yes","No"),"Yes"))),"")</f>
        <v/>
      </c>
      <c r="AB45" s="29">
        <f>IFERROR(IF(AA45&lt;&gt;"Yes","",IF(K45="","Yes",IF(T45&lt;&gt;"",IF(T45&lt;=K45-'Rooms and Staff'!$B$11/1440,"Yes","No"),"No"))),"")</f>
        <v/>
      </c>
      <c r="AC45" s="23" t="n"/>
      <c r="AD45" s="23" t="n"/>
      <c r="AE45" s="29">
        <f>IFERROR(IF(A45="","",IF(C45="Room not found","Room not found",IF(COUNTIFS($A$2:$A$101,A45,$B$2:$B$101,B45)&gt;1,"Duplicate room assignment",IF(H45="","Attendant not assigned",IF(AND(N45&lt;&gt;"",O45&lt;&gt;"",O45&lt;N45),"Actual finish is before start",IF(AND(L45&lt;&gt;"",M45&lt;&gt;"",M45&lt;L45),"Planned finish is before start",IF(AND(P45="DND",O45&lt;&gt;""),"DND room marked completed",IF(AND(Q45="Yes",Z45="Completed",S45=""),"Inspection result missing",IF(S45="Failed","Inspection failed",IF(AND(K45&lt;&gt;"",J45&lt;&gt;"",K45&lt;J45),"Arrival is before check-out","OK")))))))))),"Review row")</f>
        <v/>
      </c>
      <c r="AH45">
        <f>IFERROR(IF(AND($A45='Dashboard'!$B$3,$AE45&lt;&gt;"OK",$AE45&lt;&gt;""),COUNTIFS($A$2:A45,'Dashboard'!$B$3,$AE$2:AE45,"&lt;&gt;OK",$AE$2:AE45,"&lt;&gt;"),""),"")</f>
        <v/>
      </c>
    </row>
    <row r="46">
      <c r="A46" s="22">
        <f>IFERROR(IF(B46="","",'Dashboard'!$B$3),"")</f>
        <v/>
      </c>
      <c r="B46" s="23" t="n"/>
      <c r="C46" s="24">
        <f>IFERROR(IF(B46="","",IFERROR(INDEX('Rooms and Staff'!$B$16:$B$115,MATCH(B46,'Rooms and Staff'!$A$16:$A$115,0)),"Room not found")),"")</f>
        <v/>
      </c>
      <c r="D46" s="24">
        <f>IFERROR(IF(B46="","",IFERROR(INDEX('Rooms and Staff'!$C$16:$C$115,MATCH(B46,'Rooms and Staff'!$A$16:$A$115,0)),"")),"")</f>
        <v/>
      </c>
      <c r="E46" s="23" t="n"/>
      <c r="F46" s="23" t="n"/>
      <c r="G46" s="23" t="n"/>
      <c r="H46" s="23" t="n"/>
      <c r="I46" s="23" t="n"/>
      <c r="J46" s="25" t="n"/>
      <c r="K46" s="25" t="n"/>
      <c r="L46" s="25" t="n"/>
      <c r="M46" s="25" t="n"/>
      <c r="N46" s="25" t="n"/>
      <c r="O46" s="25" t="n"/>
      <c r="P46" s="23" t="n"/>
      <c r="Q46" s="23" t="n"/>
      <c r="R46" s="23" t="n"/>
      <c r="S46" s="23" t="n"/>
      <c r="T46" s="25" t="n"/>
      <c r="U46" s="26">
        <f>IFERROR(IF(A46="","",IF(F46="Canceled",0,IF(F46="","",IF(F46="Checkout",'Rooms and Staff'!$B$4,IF(F46="Stayover",'Rooms and Staff'!$B$5,IF(F46="Deep Clean",'Rooms and Staff'!$B$6,IF(F46="Touch-Up",'Rooms and Staff'!$B$7,IF(F46="Public Area",'Rooms and Staff'!$B$8,0)))))))),"")</f>
        <v/>
      </c>
      <c r="V46" s="26">
        <f>IFERROR(IF(OR(N46="",O46=""),"",(O46-N46)*1440),"")</f>
        <v/>
      </c>
      <c r="W46" s="26">
        <f>IFERROR(IF(OR(V46="",U46=""),"",V46-U46),"")</f>
        <v/>
      </c>
      <c r="X46" s="27">
        <f>IFERROR(IF(OR(H46="",U46=""),"",(U46/60)*INDEX('Rooms and Staff'!$P$16:$P$115,MATCH(H46,'Rooms and Staff'!$J$16:$J$115,0))),"")</f>
        <v/>
      </c>
      <c r="Y46" s="27">
        <f>IFERROR(IF(OR(H46="",V46=""),"",(V46/60)*INDEX('Rooms and Staff'!$P$16:$P$115,MATCH(H46,'Rooms and Staff'!$J$16:$J$115,0))),"")</f>
        <v/>
      </c>
      <c r="Z46" s="24">
        <f>IFERROR(IF(A46="","",IF(F46="Canceled","Canceled",IF(P46="DND","On Hold",IF(O46&lt;&gt;"","Completed",IF(N46&lt;&gt;"","In Progress","Not Started"))))),"")</f>
        <v/>
      </c>
      <c r="AA46" s="24">
        <f>IFERROR(IF(A46="","",IF(Z46&lt;&gt;"Completed","No",IF(Q46="Yes",IF(S46="Passed","Yes","No"),"Yes"))),"")</f>
        <v/>
      </c>
      <c r="AB46" s="24">
        <f>IFERROR(IF(AA46&lt;&gt;"Yes","",IF(K46="","Yes",IF(T46&lt;&gt;"",IF(T46&lt;=K46-'Rooms and Staff'!$B$11/1440,"Yes","No"),"No"))),"")</f>
        <v/>
      </c>
      <c r="AC46" s="23" t="n"/>
      <c r="AD46" s="23" t="n"/>
      <c r="AE46" s="24">
        <f>IFERROR(IF(A46="","",IF(C46="Room not found","Room not found",IF(COUNTIFS($A$2:$A$101,A46,$B$2:$B$101,B46)&gt;1,"Duplicate room assignment",IF(H46="","Attendant not assigned",IF(AND(N46&lt;&gt;"",O46&lt;&gt;"",O46&lt;N46),"Actual finish is before start",IF(AND(L46&lt;&gt;"",M46&lt;&gt;"",M46&lt;L46),"Planned finish is before start",IF(AND(P46="DND",O46&lt;&gt;""),"DND room marked completed",IF(AND(Q46="Yes",Z46="Completed",S46=""),"Inspection result missing",IF(S46="Failed","Inspection failed",IF(AND(K46&lt;&gt;"",J46&lt;&gt;"",K46&lt;J46),"Arrival is before check-out","OK")))))))))),"Review row")</f>
        <v/>
      </c>
      <c r="AH46">
        <f>IFERROR(IF(AND($A46='Dashboard'!$B$3,$AE46&lt;&gt;"OK",$AE46&lt;&gt;""),COUNTIFS($A$2:A46,'Dashboard'!$B$3,$AE$2:AE46,"&lt;&gt;OK",$AE$2:AE46,"&lt;&gt;"),""),"")</f>
        <v/>
      </c>
    </row>
    <row r="47">
      <c r="A47" s="28">
        <f>IFERROR(IF(B47="","",'Dashboard'!$B$3),"")</f>
        <v/>
      </c>
      <c r="B47" s="23" t="n"/>
      <c r="C47" s="29">
        <f>IFERROR(IF(B47="","",IFERROR(INDEX('Rooms and Staff'!$B$16:$B$115,MATCH(B47,'Rooms and Staff'!$A$16:$A$115,0)),"Room not found")),"")</f>
        <v/>
      </c>
      <c r="D47" s="29">
        <f>IFERROR(IF(B47="","",IFERROR(INDEX('Rooms and Staff'!$C$16:$C$115,MATCH(B47,'Rooms and Staff'!$A$16:$A$115,0)),"")),"")</f>
        <v/>
      </c>
      <c r="E47" s="23" t="n"/>
      <c r="F47" s="23" t="n"/>
      <c r="G47" s="23" t="n"/>
      <c r="H47" s="23" t="n"/>
      <c r="I47" s="23" t="n"/>
      <c r="J47" s="25" t="n"/>
      <c r="K47" s="25" t="n"/>
      <c r="L47" s="25" t="n"/>
      <c r="M47" s="25" t="n"/>
      <c r="N47" s="25" t="n"/>
      <c r="O47" s="25" t="n"/>
      <c r="P47" s="23" t="n"/>
      <c r="Q47" s="23" t="n"/>
      <c r="R47" s="23" t="n"/>
      <c r="S47" s="23" t="n"/>
      <c r="T47" s="25" t="n"/>
      <c r="U47" s="30">
        <f>IFERROR(IF(A47="","",IF(F47="Canceled",0,IF(F47="","",IF(F47="Checkout",'Rooms and Staff'!$B$4,IF(F47="Stayover",'Rooms and Staff'!$B$5,IF(F47="Deep Clean",'Rooms and Staff'!$B$6,IF(F47="Touch-Up",'Rooms and Staff'!$B$7,IF(F47="Public Area",'Rooms and Staff'!$B$8,0)))))))),"")</f>
        <v/>
      </c>
      <c r="V47" s="30">
        <f>IFERROR(IF(OR(N47="",O47=""),"",(O47-N47)*1440),"")</f>
        <v/>
      </c>
      <c r="W47" s="30">
        <f>IFERROR(IF(OR(V47="",U47=""),"",V47-U47),"")</f>
        <v/>
      </c>
      <c r="X47" s="31">
        <f>IFERROR(IF(OR(H47="",U47=""),"",(U47/60)*INDEX('Rooms and Staff'!$P$16:$P$115,MATCH(H47,'Rooms and Staff'!$J$16:$J$115,0))),"")</f>
        <v/>
      </c>
      <c r="Y47" s="31">
        <f>IFERROR(IF(OR(H47="",V47=""),"",(V47/60)*INDEX('Rooms and Staff'!$P$16:$P$115,MATCH(H47,'Rooms and Staff'!$J$16:$J$115,0))),"")</f>
        <v/>
      </c>
      <c r="Z47" s="29">
        <f>IFERROR(IF(A47="","",IF(F47="Canceled","Canceled",IF(P47="DND","On Hold",IF(O47&lt;&gt;"","Completed",IF(N47&lt;&gt;"","In Progress","Not Started"))))),"")</f>
        <v/>
      </c>
      <c r="AA47" s="29">
        <f>IFERROR(IF(A47="","",IF(Z47&lt;&gt;"Completed","No",IF(Q47="Yes",IF(S47="Passed","Yes","No"),"Yes"))),"")</f>
        <v/>
      </c>
      <c r="AB47" s="29">
        <f>IFERROR(IF(AA47&lt;&gt;"Yes","",IF(K47="","Yes",IF(T47&lt;&gt;"",IF(T47&lt;=K47-'Rooms and Staff'!$B$11/1440,"Yes","No"),"No"))),"")</f>
        <v/>
      </c>
      <c r="AC47" s="23" t="n"/>
      <c r="AD47" s="23" t="n"/>
      <c r="AE47" s="29">
        <f>IFERROR(IF(A47="","",IF(C47="Room not found","Room not found",IF(COUNTIFS($A$2:$A$101,A47,$B$2:$B$101,B47)&gt;1,"Duplicate room assignment",IF(H47="","Attendant not assigned",IF(AND(N47&lt;&gt;"",O47&lt;&gt;"",O47&lt;N47),"Actual finish is before start",IF(AND(L47&lt;&gt;"",M47&lt;&gt;"",M47&lt;L47),"Planned finish is before start",IF(AND(P47="DND",O47&lt;&gt;""),"DND room marked completed",IF(AND(Q47="Yes",Z47="Completed",S47=""),"Inspection result missing",IF(S47="Failed","Inspection failed",IF(AND(K47&lt;&gt;"",J47&lt;&gt;"",K47&lt;J47),"Arrival is before check-out","OK")))))))))),"Review row")</f>
        <v/>
      </c>
      <c r="AH47">
        <f>IFERROR(IF(AND($A47='Dashboard'!$B$3,$AE47&lt;&gt;"OK",$AE47&lt;&gt;""),COUNTIFS($A$2:A47,'Dashboard'!$B$3,$AE$2:AE47,"&lt;&gt;OK",$AE$2:AE47,"&lt;&gt;"),""),"")</f>
        <v/>
      </c>
    </row>
    <row r="48">
      <c r="A48" s="22">
        <f>IFERROR(IF(B48="","",'Dashboard'!$B$3),"")</f>
        <v/>
      </c>
      <c r="B48" s="23" t="n"/>
      <c r="C48" s="24">
        <f>IFERROR(IF(B48="","",IFERROR(INDEX('Rooms and Staff'!$B$16:$B$115,MATCH(B48,'Rooms and Staff'!$A$16:$A$115,0)),"Room not found")),"")</f>
        <v/>
      </c>
      <c r="D48" s="24">
        <f>IFERROR(IF(B48="","",IFERROR(INDEX('Rooms and Staff'!$C$16:$C$115,MATCH(B48,'Rooms and Staff'!$A$16:$A$115,0)),"")),"")</f>
        <v/>
      </c>
      <c r="E48" s="23" t="n"/>
      <c r="F48" s="23" t="n"/>
      <c r="G48" s="23" t="n"/>
      <c r="H48" s="23" t="n"/>
      <c r="I48" s="23" t="n"/>
      <c r="J48" s="25" t="n"/>
      <c r="K48" s="25" t="n"/>
      <c r="L48" s="25" t="n"/>
      <c r="M48" s="25" t="n"/>
      <c r="N48" s="25" t="n"/>
      <c r="O48" s="25" t="n"/>
      <c r="P48" s="23" t="n"/>
      <c r="Q48" s="23" t="n"/>
      <c r="R48" s="23" t="n"/>
      <c r="S48" s="23" t="n"/>
      <c r="T48" s="25" t="n"/>
      <c r="U48" s="26">
        <f>IFERROR(IF(A48="","",IF(F48="Canceled",0,IF(F48="","",IF(F48="Checkout",'Rooms and Staff'!$B$4,IF(F48="Stayover",'Rooms and Staff'!$B$5,IF(F48="Deep Clean",'Rooms and Staff'!$B$6,IF(F48="Touch-Up",'Rooms and Staff'!$B$7,IF(F48="Public Area",'Rooms and Staff'!$B$8,0)))))))),"")</f>
        <v/>
      </c>
      <c r="V48" s="26">
        <f>IFERROR(IF(OR(N48="",O48=""),"",(O48-N48)*1440),"")</f>
        <v/>
      </c>
      <c r="W48" s="26">
        <f>IFERROR(IF(OR(V48="",U48=""),"",V48-U48),"")</f>
        <v/>
      </c>
      <c r="X48" s="27">
        <f>IFERROR(IF(OR(H48="",U48=""),"",(U48/60)*INDEX('Rooms and Staff'!$P$16:$P$115,MATCH(H48,'Rooms and Staff'!$J$16:$J$115,0))),"")</f>
        <v/>
      </c>
      <c r="Y48" s="27">
        <f>IFERROR(IF(OR(H48="",V48=""),"",(V48/60)*INDEX('Rooms and Staff'!$P$16:$P$115,MATCH(H48,'Rooms and Staff'!$J$16:$J$115,0))),"")</f>
        <v/>
      </c>
      <c r="Z48" s="24">
        <f>IFERROR(IF(A48="","",IF(F48="Canceled","Canceled",IF(P48="DND","On Hold",IF(O48&lt;&gt;"","Completed",IF(N48&lt;&gt;"","In Progress","Not Started"))))),"")</f>
        <v/>
      </c>
      <c r="AA48" s="24">
        <f>IFERROR(IF(A48="","",IF(Z48&lt;&gt;"Completed","No",IF(Q48="Yes",IF(S48="Passed","Yes","No"),"Yes"))),"")</f>
        <v/>
      </c>
      <c r="AB48" s="24">
        <f>IFERROR(IF(AA48&lt;&gt;"Yes","",IF(K48="","Yes",IF(T48&lt;&gt;"",IF(T48&lt;=K48-'Rooms and Staff'!$B$11/1440,"Yes","No"),"No"))),"")</f>
        <v/>
      </c>
      <c r="AC48" s="23" t="n"/>
      <c r="AD48" s="23" t="n"/>
      <c r="AE48" s="24">
        <f>IFERROR(IF(A48="","",IF(C48="Room not found","Room not found",IF(COUNTIFS($A$2:$A$101,A48,$B$2:$B$101,B48)&gt;1,"Duplicate room assignment",IF(H48="","Attendant not assigned",IF(AND(N48&lt;&gt;"",O48&lt;&gt;"",O48&lt;N48),"Actual finish is before start",IF(AND(L48&lt;&gt;"",M48&lt;&gt;"",M48&lt;L48),"Planned finish is before start",IF(AND(P48="DND",O48&lt;&gt;""),"DND room marked completed",IF(AND(Q48="Yes",Z48="Completed",S48=""),"Inspection result missing",IF(S48="Failed","Inspection failed",IF(AND(K48&lt;&gt;"",J48&lt;&gt;"",K48&lt;J48),"Arrival is before check-out","OK")))))))))),"Review row")</f>
        <v/>
      </c>
      <c r="AH48">
        <f>IFERROR(IF(AND($A48='Dashboard'!$B$3,$AE48&lt;&gt;"OK",$AE48&lt;&gt;""),COUNTIFS($A$2:A48,'Dashboard'!$B$3,$AE$2:AE48,"&lt;&gt;OK",$AE$2:AE48,"&lt;&gt;"),""),"")</f>
        <v/>
      </c>
    </row>
    <row r="49">
      <c r="A49" s="28">
        <f>IFERROR(IF(B49="","",'Dashboard'!$B$3),"")</f>
        <v/>
      </c>
      <c r="B49" s="23" t="n"/>
      <c r="C49" s="29">
        <f>IFERROR(IF(B49="","",IFERROR(INDEX('Rooms and Staff'!$B$16:$B$115,MATCH(B49,'Rooms and Staff'!$A$16:$A$115,0)),"Room not found")),"")</f>
        <v/>
      </c>
      <c r="D49" s="29">
        <f>IFERROR(IF(B49="","",IFERROR(INDEX('Rooms and Staff'!$C$16:$C$115,MATCH(B49,'Rooms and Staff'!$A$16:$A$115,0)),"")),"")</f>
        <v/>
      </c>
      <c r="E49" s="23" t="n"/>
      <c r="F49" s="23" t="n"/>
      <c r="G49" s="23" t="n"/>
      <c r="H49" s="23" t="n"/>
      <c r="I49" s="23" t="n"/>
      <c r="J49" s="25" t="n"/>
      <c r="K49" s="25" t="n"/>
      <c r="L49" s="25" t="n"/>
      <c r="M49" s="25" t="n"/>
      <c r="N49" s="25" t="n"/>
      <c r="O49" s="25" t="n"/>
      <c r="P49" s="23" t="n"/>
      <c r="Q49" s="23" t="n"/>
      <c r="R49" s="23" t="n"/>
      <c r="S49" s="23" t="n"/>
      <c r="T49" s="25" t="n"/>
      <c r="U49" s="30">
        <f>IFERROR(IF(A49="","",IF(F49="Canceled",0,IF(F49="","",IF(F49="Checkout",'Rooms and Staff'!$B$4,IF(F49="Stayover",'Rooms and Staff'!$B$5,IF(F49="Deep Clean",'Rooms and Staff'!$B$6,IF(F49="Touch-Up",'Rooms and Staff'!$B$7,IF(F49="Public Area",'Rooms and Staff'!$B$8,0)))))))),"")</f>
        <v/>
      </c>
      <c r="V49" s="30">
        <f>IFERROR(IF(OR(N49="",O49=""),"",(O49-N49)*1440),"")</f>
        <v/>
      </c>
      <c r="W49" s="30">
        <f>IFERROR(IF(OR(V49="",U49=""),"",V49-U49),"")</f>
        <v/>
      </c>
      <c r="X49" s="31">
        <f>IFERROR(IF(OR(H49="",U49=""),"",(U49/60)*INDEX('Rooms and Staff'!$P$16:$P$115,MATCH(H49,'Rooms and Staff'!$J$16:$J$115,0))),"")</f>
        <v/>
      </c>
      <c r="Y49" s="31">
        <f>IFERROR(IF(OR(H49="",V49=""),"",(V49/60)*INDEX('Rooms and Staff'!$P$16:$P$115,MATCH(H49,'Rooms and Staff'!$J$16:$J$115,0))),"")</f>
        <v/>
      </c>
      <c r="Z49" s="29">
        <f>IFERROR(IF(A49="","",IF(F49="Canceled","Canceled",IF(P49="DND","On Hold",IF(O49&lt;&gt;"","Completed",IF(N49&lt;&gt;"","In Progress","Not Started"))))),"")</f>
        <v/>
      </c>
      <c r="AA49" s="29">
        <f>IFERROR(IF(A49="","",IF(Z49&lt;&gt;"Completed","No",IF(Q49="Yes",IF(S49="Passed","Yes","No"),"Yes"))),"")</f>
        <v/>
      </c>
      <c r="AB49" s="29">
        <f>IFERROR(IF(AA49&lt;&gt;"Yes","",IF(K49="","Yes",IF(T49&lt;&gt;"",IF(T49&lt;=K49-'Rooms and Staff'!$B$11/1440,"Yes","No"),"No"))),"")</f>
        <v/>
      </c>
      <c r="AC49" s="23" t="n"/>
      <c r="AD49" s="23" t="n"/>
      <c r="AE49" s="29">
        <f>IFERROR(IF(A49="","",IF(C49="Room not found","Room not found",IF(COUNTIFS($A$2:$A$101,A49,$B$2:$B$101,B49)&gt;1,"Duplicate room assignment",IF(H49="","Attendant not assigned",IF(AND(N49&lt;&gt;"",O49&lt;&gt;"",O49&lt;N49),"Actual finish is before start",IF(AND(L49&lt;&gt;"",M49&lt;&gt;"",M49&lt;L49),"Planned finish is before start",IF(AND(P49="DND",O49&lt;&gt;""),"DND room marked completed",IF(AND(Q49="Yes",Z49="Completed",S49=""),"Inspection result missing",IF(S49="Failed","Inspection failed",IF(AND(K49&lt;&gt;"",J49&lt;&gt;"",K49&lt;J49),"Arrival is before check-out","OK")))))))))),"Review row")</f>
        <v/>
      </c>
      <c r="AH49">
        <f>IFERROR(IF(AND($A49='Dashboard'!$B$3,$AE49&lt;&gt;"OK",$AE49&lt;&gt;""),COUNTIFS($A$2:A49,'Dashboard'!$B$3,$AE$2:AE49,"&lt;&gt;OK",$AE$2:AE49,"&lt;&gt;"),""),"")</f>
        <v/>
      </c>
    </row>
    <row r="50">
      <c r="A50" s="22">
        <f>IFERROR(IF(B50="","",'Dashboard'!$B$3),"")</f>
        <v/>
      </c>
      <c r="B50" s="23" t="n"/>
      <c r="C50" s="24">
        <f>IFERROR(IF(B50="","",IFERROR(INDEX('Rooms and Staff'!$B$16:$B$115,MATCH(B50,'Rooms and Staff'!$A$16:$A$115,0)),"Room not found")),"")</f>
        <v/>
      </c>
      <c r="D50" s="24">
        <f>IFERROR(IF(B50="","",IFERROR(INDEX('Rooms and Staff'!$C$16:$C$115,MATCH(B50,'Rooms and Staff'!$A$16:$A$115,0)),"")),"")</f>
        <v/>
      </c>
      <c r="E50" s="23" t="n"/>
      <c r="F50" s="23" t="n"/>
      <c r="G50" s="23" t="n"/>
      <c r="H50" s="23" t="n"/>
      <c r="I50" s="23" t="n"/>
      <c r="J50" s="25" t="n"/>
      <c r="K50" s="25" t="n"/>
      <c r="L50" s="25" t="n"/>
      <c r="M50" s="25" t="n"/>
      <c r="N50" s="25" t="n"/>
      <c r="O50" s="25" t="n"/>
      <c r="P50" s="23" t="n"/>
      <c r="Q50" s="23" t="n"/>
      <c r="R50" s="23" t="n"/>
      <c r="S50" s="23" t="n"/>
      <c r="T50" s="25" t="n"/>
      <c r="U50" s="26">
        <f>IFERROR(IF(A50="","",IF(F50="Canceled",0,IF(F50="","",IF(F50="Checkout",'Rooms and Staff'!$B$4,IF(F50="Stayover",'Rooms and Staff'!$B$5,IF(F50="Deep Clean",'Rooms and Staff'!$B$6,IF(F50="Touch-Up",'Rooms and Staff'!$B$7,IF(F50="Public Area",'Rooms and Staff'!$B$8,0)))))))),"")</f>
        <v/>
      </c>
      <c r="V50" s="26">
        <f>IFERROR(IF(OR(N50="",O50=""),"",(O50-N50)*1440),"")</f>
        <v/>
      </c>
      <c r="W50" s="26">
        <f>IFERROR(IF(OR(V50="",U50=""),"",V50-U50),"")</f>
        <v/>
      </c>
      <c r="X50" s="27">
        <f>IFERROR(IF(OR(H50="",U50=""),"",(U50/60)*INDEX('Rooms and Staff'!$P$16:$P$115,MATCH(H50,'Rooms and Staff'!$J$16:$J$115,0))),"")</f>
        <v/>
      </c>
      <c r="Y50" s="27">
        <f>IFERROR(IF(OR(H50="",V50=""),"",(V50/60)*INDEX('Rooms and Staff'!$P$16:$P$115,MATCH(H50,'Rooms and Staff'!$J$16:$J$115,0))),"")</f>
        <v/>
      </c>
      <c r="Z50" s="24">
        <f>IFERROR(IF(A50="","",IF(F50="Canceled","Canceled",IF(P50="DND","On Hold",IF(O50&lt;&gt;"","Completed",IF(N50&lt;&gt;"","In Progress","Not Started"))))),"")</f>
        <v/>
      </c>
      <c r="AA50" s="24">
        <f>IFERROR(IF(A50="","",IF(Z50&lt;&gt;"Completed","No",IF(Q50="Yes",IF(S50="Passed","Yes","No"),"Yes"))),"")</f>
        <v/>
      </c>
      <c r="AB50" s="24">
        <f>IFERROR(IF(AA50&lt;&gt;"Yes","",IF(K50="","Yes",IF(T50&lt;&gt;"",IF(T50&lt;=K50-'Rooms and Staff'!$B$11/1440,"Yes","No"),"No"))),"")</f>
        <v/>
      </c>
      <c r="AC50" s="23" t="n"/>
      <c r="AD50" s="23" t="n"/>
      <c r="AE50" s="24">
        <f>IFERROR(IF(A50="","",IF(C50="Room not found","Room not found",IF(COUNTIFS($A$2:$A$101,A50,$B$2:$B$101,B50)&gt;1,"Duplicate room assignment",IF(H50="","Attendant not assigned",IF(AND(N50&lt;&gt;"",O50&lt;&gt;"",O50&lt;N50),"Actual finish is before start",IF(AND(L50&lt;&gt;"",M50&lt;&gt;"",M50&lt;L50),"Planned finish is before start",IF(AND(P50="DND",O50&lt;&gt;""),"DND room marked completed",IF(AND(Q50="Yes",Z50="Completed",S50=""),"Inspection result missing",IF(S50="Failed","Inspection failed",IF(AND(K50&lt;&gt;"",J50&lt;&gt;"",K50&lt;J50),"Arrival is before check-out","OK")))))))))),"Review row")</f>
        <v/>
      </c>
      <c r="AH50">
        <f>IFERROR(IF(AND($A50='Dashboard'!$B$3,$AE50&lt;&gt;"OK",$AE50&lt;&gt;""),COUNTIFS($A$2:A50,'Dashboard'!$B$3,$AE$2:AE50,"&lt;&gt;OK",$AE$2:AE50,"&lt;&gt;"),""),"")</f>
        <v/>
      </c>
    </row>
    <row r="51">
      <c r="A51" s="28">
        <f>IFERROR(IF(B51="","",'Dashboard'!$B$3),"")</f>
        <v/>
      </c>
      <c r="B51" s="23" t="n"/>
      <c r="C51" s="29">
        <f>IFERROR(IF(B51="","",IFERROR(INDEX('Rooms and Staff'!$B$16:$B$115,MATCH(B51,'Rooms and Staff'!$A$16:$A$115,0)),"Room not found")),"")</f>
        <v/>
      </c>
      <c r="D51" s="29">
        <f>IFERROR(IF(B51="","",IFERROR(INDEX('Rooms and Staff'!$C$16:$C$115,MATCH(B51,'Rooms and Staff'!$A$16:$A$115,0)),"")),"")</f>
        <v/>
      </c>
      <c r="E51" s="23" t="n"/>
      <c r="F51" s="23" t="n"/>
      <c r="G51" s="23" t="n"/>
      <c r="H51" s="23" t="n"/>
      <c r="I51" s="23" t="n"/>
      <c r="J51" s="25" t="n"/>
      <c r="K51" s="25" t="n"/>
      <c r="L51" s="25" t="n"/>
      <c r="M51" s="25" t="n"/>
      <c r="N51" s="25" t="n"/>
      <c r="O51" s="25" t="n"/>
      <c r="P51" s="23" t="n"/>
      <c r="Q51" s="23" t="n"/>
      <c r="R51" s="23" t="n"/>
      <c r="S51" s="23" t="n"/>
      <c r="T51" s="25" t="n"/>
      <c r="U51" s="30">
        <f>IFERROR(IF(A51="","",IF(F51="Canceled",0,IF(F51="","",IF(F51="Checkout",'Rooms and Staff'!$B$4,IF(F51="Stayover",'Rooms and Staff'!$B$5,IF(F51="Deep Clean",'Rooms and Staff'!$B$6,IF(F51="Touch-Up",'Rooms and Staff'!$B$7,IF(F51="Public Area",'Rooms and Staff'!$B$8,0)))))))),"")</f>
        <v/>
      </c>
      <c r="V51" s="30">
        <f>IFERROR(IF(OR(N51="",O51=""),"",(O51-N51)*1440),"")</f>
        <v/>
      </c>
      <c r="W51" s="30">
        <f>IFERROR(IF(OR(V51="",U51=""),"",V51-U51),"")</f>
        <v/>
      </c>
      <c r="X51" s="31">
        <f>IFERROR(IF(OR(H51="",U51=""),"",(U51/60)*INDEX('Rooms and Staff'!$P$16:$P$115,MATCH(H51,'Rooms and Staff'!$J$16:$J$115,0))),"")</f>
        <v/>
      </c>
      <c r="Y51" s="31">
        <f>IFERROR(IF(OR(H51="",V51=""),"",(V51/60)*INDEX('Rooms and Staff'!$P$16:$P$115,MATCH(H51,'Rooms and Staff'!$J$16:$J$115,0))),"")</f>
        <v/>
      </c>
      <c r="Z51" s="29">
        <f>IFERROR(IF(A51="","",IF(F51="Canceled","Canceled",IF(P51="DND","On Hold",IF(O51&lt;&gt;"","Completed",IF(N51&lt;&gt;"","In Progress","Not Started"))))),"")</f>
        <v/>
      </c>
      <c r="AA51" s="29">
        <f>IFERROR(IF(A51="","",IF(Z51&lt;&gt;"Completed","No",IF(Q51="Yes",IF(S51="Passed","Yes","No"),"Yes"))),"")</f>
        <v/>
      </c>
      <c r="AB51" s="29">
        <f>IFERROR(IF(AA51&lt;&gt;"Yes","",IF(K51="","Yes",IF(T51&lt;&gt;"",IF(T51&lt;=K51-'Rooms and Staff'!$B$11/1440,"Yes","No"),"No"))),"")</f>
        <v/>
      </c>
      <c r="AC51" s="23" t="n"/>
      <c r="AD51" s="23" t="n"/>
      <c r="AE51" s="29">
        <f>IFERROR(IF(A51="","",IF(C51="Room not found","Room not found",IF(COUNTIFS($A$2:$A$101,A51,$B$2:$B$101,B51)&gt;1,"Duplicate room assignment",IF(H51="","Attendant not assigned",IF(AND(N51&lt;&gt;"",O51&lt;&gt;"",O51&lt;N51),"Actual finish is before start",IF(AND(L51&lt;&gt;"",M51&lt;&gt;"",M51&lt;L51),"Planned finish is before start",IF(AND(P51="DND",O51&lt;&gt;""),"DND room marked completed",IF(AND(Q51="Yes",Z51="Completed",S51=""),"Inspection result missing",IF(S51="Failed","Inspection failed",IF(AND(K51&lt;&gt;"",J51&lt;&gt;"",K51&lt;J51),"Arrival is before check-out","OK")))))))))),"Review row")</f>
        <v/>
      </c>
      <c r="AH51">
        <f>IFERROR(IF(AND($A51='Dashboard'!$B$3,$AE51&lt;&gt;"OK",$AE51&lt;&gt;""),COUNTIFS($A$2:A51,'Dashboard'!$B$3,$AE$2:AE51,"&lt;&gt;OK",$AE$2:AE51,"&lt;&gt;"),""),"")</f>
        <v/>
      </c>
    </row>
    <row r="52">
      <c r="A52" s="22">
        <f>IFERROR(IF(B52="","",'Dashboard'!$B$3),"")</f>
        <v/>
      </c>
      <c r="B52" s="23" t="n"/>
      <c r="C52" s="24">
        <f>IFERROR(IF(B52="","",IFERROR(INDEX('Rooms and Staff'!$B$16:$B$115,MATCH(B52,'Rooms and Staff'!$A$16:$A$115,0)),"Room not found")),"")</f>
        <v/>
      </c>
      <c r="D52" s="24">
        <f>IFERROR(IF(B52="","",IFERROR(INDEX('Rooms and Staff'!$C$16:$C$115,MATCH(B52,'Rooms and Staff'!$A$16:$A$115,0)),"")),"")</f>
        <v/>
      </c>
      <c r="E52" s="23" t="n"/>
      <c r="F52" s="23" t="n"/>
      <c r="G52" s="23" t="n"/>
      <c r="H52" s="23" t="n"/>
      <c r="I52" s="23" t="n"/>
      <c r="J52" s="25" t="n"/>
      <c r="K52" s="25" t="n"/>
      <c r="L52" s="25" t="n"/>
      <c r="M52" s="25" t="n"/>
      <c r="N52" s="25" t="n"/>
      <c r="O52" s="25" t="n"/>
      <c r="P52" s="23" t="n"/>
      <c r="Q52" s="23" t="n"/>
      <c r="R52" s="23" t="n"/>
      <c r="S52" s="23" t="n"/>
      <c r="T52" s="25" t="n"/>
      <c r="U52" s="26">
        <f>IFERROR(IF(A52="","",IF(F52="Canceled",0,IF(F52="","",IF(F52="Checkout",'Rooms and Staff'!$B$4,IF(F52="Stayover",'Rooms and Staff'!$B$5,IF(F52="Deep Clean",'Rooms and Staff'!$B$6,IF(F52="Touch-Up",'Rooms and Staff'!$B$7,IF(F52="Public Area",'Rooms and Staff'!$B$8,0)))))))),"")</f>
        <v/>
      </c>
      <c r="V52" s="26">
        <f>IFERROR(IF(OR(N52="",O52=""),"",(O52-N52)*1440),"")</f>
        <v/>
      </c>
      <c r="W52" s="26">
        <f>IFERROR(IF(OR(V52="",U52=""),"",V52-U52),"")</f>
        <v/>
      </c>
      <c r="X52" s="27">
        <f>IFERROR(IF(OR(H52="",U52=""),"",(U52/60)*INDEX('Rooms and Staff'!$P$16:$P$115,MATCH(H52,'Rooms and Staff'!$J$16:$J$115,0))),"")</f>
        <v/>
      </c>
      <c r="Y52" s="27">
        <f>IFERROR(IF(OR(H52="",V52=""),"",(V52/60)*INDEX('Rooms and Staff'!$P$16:$P$115,MATCH(H52,'Rooms and Staff'!$J$16:$J$115,0))),"")</f>
        <v/>
      </c>
      <c r="Z52" s="24">
        <f>IFERROR(IF(A52="","",IF(F52="Canceled","Canceled",IF(P52="DND","On Hold",IF(O52&lt;&gt;"","Completed",IF(N52&lt;&gt;"","In Progress","Not Started"))))),"")</f>
        <v/>
      </c>
      <c r="AA52" s="24">
        <f>IFERROR(IF(A52="","",IF(Z52&lt;&gt;"Completed","No",IF(Q52="Yes",IF(S52="Passed","Yes","No"),"Yes"))),"")</f>
        <v/>
      </c>
      <c r="AB52" s="24">
        <f>IFERROR(IF(AA52&lt;&gt;"Yes","",IF(K52="","Yes",IF(T52&lt;&gt;"",IF(T52&lt;=K52-'Rooms and Staff'!$B$11/1440,"Yes","No"),"No"))),"")</f>
        <v/>
      </c>
      <c r="AC52" s="23" t="n"/>
      <c r="AD52" s="23" t="n"/>
      <c r="AE52" s="24">
        <f>IFERROR(IF(A52="","",IF(C52="Room not found","Room not found",IF(COUNTIFS($A$2:$A$101,A52,$B$2:$B$101,B52)&gt;1,"Duplicate room assignment",IF(H52="","Attendant not assigned",IF(AND(N52&lt;&gt;"",O52&lt;&gt;"",O52&lt;N52),"Actual finish is before start",IF(AND(L52&lt;&gt;"",M52&lt;&gt;"",M52&lt;L52),"Planned finish is before start",IF(AND(P52="DND",O52&lt;&gt;""),"DND room marked completed",IF(AND(Q52="Yes",Z52="Completed",S52=""),"Inspection result missing",IF(S52="Failed","Inspection failed",IF(AND(K52&lt;&gt;"",J52&lt;&gt;"",K52&lt;J52),"Arrival is before check-out","OK")))))))))),"Review row")</f>
        <v/>
      </c>
      <c r="AH52">
        <f>IFERROR(IF(AND($A52='Dashboard'!$B$3,$AE52&lt;&gt;"OK",$AE52&lt;&gt;""),COUNTIFS($A$2:A52,'Dashboard'!$B$3,$AE$2:AE52,"&lt;&gt;OK",$AE$2:AE52,"&lt;&gt;"),""),"")</f>
        <v/>
      </c>
    </row>
    <row r="53">
      <c r="A53" s="28">
        <f>IFERROR(IF(B53="","",'Dashboard'!$B$3),"")</f>
        <v/>
      </c>
      <c r="B53" s="23" t="n"/>
      <c r="C53" s="29">
        <f>IFERROR(IF(B53="","",IFERROR(INDEX('Rooms and Staff'!$B$16:$B$115,MATCH(B53,'Rooms and Staff'!$A$16:$A$115,0)),"Room not found")),"")</f>
        <v/>
      </c>
      <c r="D53" s="29">
        <f>IFERROR(IF(B53="","",IFERROR(INDEX('Rooms and Staff'!$C$16:$C$115,MATCH(B53,'Rooms and Staff'!$A$16:$A$115,0)),"")),"")</f>
        <v/>
      </c>
      <c r="E53" s="23" t="n"/>
      <c r="F53" s="23" t="n"/>
      <c r="G53" s="23" t="n"/>
      <c r="H53" s="23" t="n"/>
      <c r="I53" s="23" t="n"/>
      <c r="J53" s="25" t="n"/>
      <c r="K53" s="25" t="n"/>
      <c r="L53" s="25" t="n"/>
      <c r="M53" s="25" t="n"/>
      <c r="N53" s="25" t="n"/>
      <c r="O53" s="25" t="n"/>
      <c r="P53" s="23" t="n"/>
      <c r="Q53" s="23" t="n"/>
      <c r="R53" s="23" t="n"/>
      <c r="S53" s="23" t="n"/>
      <c r="T53" s="25" t="n"/>
      <c r="U53" s="30">
        <f>IFERROR(IF(A53="","",IF(F53="Canceled",0,IF(F53="","",IF(F53="Checkout",'Rooms and Staff'!$B$4,IF(F53="Stayover",'Rooms and Staff'!$B$5,IF(F53="Deep Clean",'Rooms and Staff'!$B$6,IF(F53="Touch-Up",'Rooms and Staff'!$B$7,IF(F53="Public Area",'Rooms and Staff'!$B$8,0)))))))),"")</f>
        <v/>
      </c>
      <c r="V53" s="30">
        <f>IFERROR(IF(OR(N53="",O53=""),"",(O53-N53)*1440),"")</f>
        <v/>
      </c>
      <c r="W53" s="30">
        <f>IFERROR(IF(OR(V53="",U53=""),"",V53-U53),"")</f>
        <v/>
      </c>
      <c r="X53" s="31">
        <f>IFERROR(IF(OR(H53="",U53=""),"",(U53/60)*INDEX('Rooms and Staff'!$P$16:$P$115,MATCH(H53,'Rooms and Staff'!$J$16:$J$115,0))),"")</f>
        <v/>
      </c>
      <c r="Y53" s="31">
        <f>IFERROR(IF(OR(H53="",V53=""),"",(V53/60)*INDEX('Rooms and Staff'!$P$16:$P$115,MATCH(H53,'Rooms and Staff'!$J$16:$J$115,0))),"")</f>
        <v/>
      </c>
      <c r="Z53" s="29">
        <f>IFERROR(IF(A53="","",IF(F53="Canceled","Canceled",IF(P53="DND","On Hold",IF(O53&lt;&gt;"","Completed",IF(N53&lt;&gt;"","In Progress","Not Started"))))),"")</f>
        <v/>
      </c>
      <c r="AA53" s="29">
        <f>IFERROR(IF(A53="","",IF(Z53&lt;&gt;"Completed","No",IF(Q53="Yes",IF(S53="Passed","Yes","No"),"Yes"))),"")</f>
        <v/>
      </c>
      <c r="AB53" s="29">
        <f>IFERROR(IF(AA53&lt;&gt;"Yes","",IF(K53="","Yes",IF(T53&lt;&gt;"",IF(T53&lt;=K53-'Rooms and Staff'!$B$11/1440,"Yes","No"),"No"))),"")</f>
        <v/>
      </c>
      <c r="AC53" s="23" t="n"/>
      <c r="AD53" s="23" t="n"/>
      <c r="AE53" s="29">
        <f>IFERROR(IF(A53="","",IF(C53="Room not found","Room not found",IF(COUNTIFS($A$2:$A$101,A53,$B$2:$B$101,B53)&gt;1,"Duplicate room assignment",IF(H53="","Attendant not assigned",IF(AND(N53&lt;&gt;"",O53&lt;&gt;"",O53&lt;N53),"Actual finish is before start",IF(AND(L53&lt;&gt;"",M53&lt;&gt;"",M53&lt;L53),"Planned finish is before start",IF(AND(P53="DND",O53&lt;&gt;""),"DND room marked completed",IF(AND(Q53="Yes",Z53="Completed",S53=""),"Inspection result missing",IF(S53="Failed","Inspection failed",IF(AND(K53&lt;&gt;"",J53&lt;&gt;"",K53&lt;J53),"Arrival is before check-out","OK")))))))))),"Review row")</f>
        <v/>
      </c>
      <c r="AH53">
        <f>IFERROR(IF(AND($A53='Dashboard'!$B$3,$AE53&lt;&gt;"OK",$AE53&lt;&gt;""),COUNTIFS($A$2:A53,'Dashboard'!$B$3,$AE$2:AE53,"&lt;&gt;OK",$AE$2:AE53,"&lt;&gt;"),""),"")</f>
        <v/>
      </c>
    </row>
    <row r="54">
      <c r="A54" s="22">
        <f>IFERROR(IF(B54="","",'Dashboard'!$B$3),"")</f>
        <v/>
      </c>
      <c r="B54" s="23" t="n"/>
      <c r="C54" s="24">
        <f>IFERROR(IF(B54="","",IFERROR(INDEX('Rooms and Staff'!$B$16:$B$115,MATCH(B54,'Rooms and Staff'!$A$16:$A$115,0)),"Room not found")),"")</f>
        <v/>
      </c>
      <c r="D54" s="24">
        <f>IFERROR(IF(B54="","",IFERROR(INDEX('Rooms and Staff'!$C$16:$C$115,MATCH(B54,'Rooms and Staff'!$A$16:$A$115,0)),"")),"")</f>
        <v/>
      </c>
      <c r="E54" s="23" t="n"/>
      <c r="F54" s="23" t="n"/>
      <c r="G54" s="23" t="n"/>
      <c r="H54" s="23" t="n"/>
      <c r="I54" s="23" t="n"/>
      <c r="J54" s="25" t="n"/>
      <c r="K54" s="25" t="n"/>
      <c r="L54" s="25" t="n"/>
      <c r="M54" s="25" t="n"/>
      <c r="N54" s="25" t="n"/>
      <c r="O54" s="25" t="n"/>
      <c r="P54" s="23" t="n"/>
      <c r="Q54" s="23" t="n"/>
      <c r="R54" s="23" t="n"/>
      <c r="S54" s="23" t="n"/>
      <c r="T54" s="25" t="n"/>
      <c r="U54" s="26">
        <f>IFERROR(IF(A54="","",IF(F54="Canceled",0,IF(F54="","",IF(F54="Checkout",'Rooms and Staff'!$B$4,IF(F54="Stayover",'Rooms and Staff'!$B$5,IF(F54="Deep Clean",'Rooms and Staff'!$B$6,IF(F54="Touch-Up",'Rooms and Staff'!$B$7,IF(F54="Public Area",'Rooms and Staff'!$B$8,0)))))))),"")</f>
        <v/>
      </c>
      <c r="V54" s="26">
        <f>IFERROR(IF(OR(N54="",O54=""),"",(O54-N54)*1440),"")</f>
        <v/>
      </c>
      <c r="W54" s="26">
        <f>IFERROR(IF(OR(V54="",U54=""),"",V54-U54),"")</f>
        <v/>
      </c>
      <c r="X54" s="27">
        <f>IFERROR(IF(OR(H54="",U54=""),"",(U54/60)*INDEX('Rooms and Staff'!$P$16:$P$115,MATCH(H54,'Rooms and Staff'!$J$16:$J$115,0))),"")</f>
        <v/>
      </c>
      <c r="Y54" s="27">
        <f>IFERROR(IF(OR(H54="",V54=""),"",(V54/60)*INDEX('Rooms and Staff'!$P$16:$P$115,MATCH(H54,'Rooms and Staff'!$J$16:$J$115,0))),"")</f>
        <v/>
      </c>
      <c r="Z54" s="24">
        <f>IFERROR(IF(A54="","",IF(F54="Canceled","Canceled",IF(P54="DND","On Hold",IF(O54&lt;&gt;"","Completed",IF(N54&lt;&gt;"","In Progress","Not Started"))))),"")</f>
        <v/>
      </c>
      <c r="AA54" s="24">
        <f>IFERROR(IF(A54="","",IF(Z54&lt;&gt;"Completed","No",IF(Q54="Yes",IF(S54="Passed","Yes","No"),"Yes"))),"")</f>
        <v/>
      </c>
      <c r="AB54" s="24">
        <f>IFERROR(IF(AA54&lt;&gt;"Yes","",IF(K54="","Yes",IF(T54&lt;&gt;"",IF(T54&lt;=K54-'Rooms and Staff'!$B$11/1440,"Yes","No"),"No"))),"")</f>
        <v/>
      </c>
      <c r="AC54" s="23" t="n"/>
      <c r="AD54" s="23" t="n"/>
      <c r="AE54" s="24">
        <f>IFERROR(IF(A54="","",IF(C54="Room not found","Room not found",IF(COUNTIFS($A$2:$A$101,A54,$B$2:$B$101,B54)&gt;1,"Duplicate room assignment",IF(H54="","Attendant not assigned",IF(AND(N54&lt;&gt;"",O54&lt;&gt;"",O54&lt;N54),"Actual finish is before start",IF(AND(L54&lt;&gt;"",M54&lt;&gt;"",M54&lt;L54),"Planned finish is before start",IF(AND(P54="DND",O54&lt;&gt;""),"DND room marked completed",IF(AND(Q54="Yes",Z54="Completed",S54=""),"Inspection result missing",IF(S54="Failed","Inspection failed",IF(AND(K54&lt;&gt;"",J54&lt;&gt;"",K54&lt;J54),"Arrival is before check-out","OK")))))))))),"Review row")</f>
        <v/>
      </c>
      <c r="AH54">
        <f>IFERROR(IF(AND($A54='Dashboard'!$B$3,$AE54&lt;&gt;"OK",$AE54&lt;&gt;""),COUNTIFS($A$2:A54,'Dashboard'!$B$3,$AE$2:AE54,"&lt;&gt;OK",$AE$2:AE54,"&lt;&gt;"),""),"")</f>
        <v/>
      </c>
    </row>
    <row r="55">
      <c r="A55" s="28">
        <f>IFERROR(IF(B55="","",'Dashboard'!$B$3),"")</f>
        <v/>
      </c>
      <c r="B55" s="23" t="n"/>
      <c r="C55" s="29">
        <f>IFERROR(IF(B55="","",IFERROR(INDEX('Rooms and Staff'!$B$16:$B$115,MATCH(B55,'Rooms and Staff'!$A$16:$A$115,0)),"Room not found")),"")</f>
        <v/>
      </c>
      <c r="D55" s="29">
        <f>IFERROR(IF(B55="","",IFERROR(INDEX('Rooms and Staff'!$C$16:$C$115,MATCH(B55,'Rooms and Staff'!$A$16:$A$115,0)),"")),"")</f>
        <v/>
      </c>
      <c r="E55" s="23" t="n"/>
      <c r="F55" s="23" t="n"/>
      <c r="G55" s="23" t="n"/>
      <c r="H55" s="23" t="n"/>
      <c r="I55" s="23" t="n"/>
      <c r="J55" s="25" t="n"/>
      <c r="K55" s="25" t="n"/>
      <c r="L55" s="25" t="n"/>
      <c r="M55" s="25" t="n"/>
      <c r="N55" s="25" t="n"/>
      <c r="O55" s="25" t="n"/>
      <c r="P55" s="23" t="n"/>
      <c r="Q55" s="23" t="n"/>
      <c r="R55" s="23" t="n"/>
      <c r="S55" s="23" t="n"/>
      <c r="T55" s="25" t="n"/>
      <c r="U55" s="30">
        <f>IFERROR(IF(A55="","",IF(F55="Canceled",0,IF(F55="","",IF(F55="Checkout",'Rooms and Staff'!$B$4,IF(F55="Stayover",'Rooms and Staff'!$B$5,IF(F55="Deep Clean",'Rooms and Staff'!$B$6,IF(F55="Touch-Up",'Rooms and Staff'!$B$7,IF(F55="Public Area",'Rooms and Staff'!$B$8,0)))))))),"")</f>
        <v/>
      </c>
      <c r="V55" s="30">
        <f>IFERROR(IF(OR(N55="",O55=""),"",(O55-N55)*1440),"")</f>
        <v/>
      </c>
      <c r="W55" s="30">
        <f>IFERROR(IF(OR(V55="",U55=""),"",V55-U55),"")</f>
        <v/>
      </c>
      <c r="X55" s="31">
        <f>IFERROR(IF(OR(H55="",U55=""),"",(U55/60)*INDEX('Rooms and Staff'!$P$16:$P$115,MATCH(H55,'Rooms and Staff'!$J$16:$J$115,0))),"")</f>
        <v/>
      </c>
      <c r="Y55" s="31">
        <f>IFERROR(IF(OR(H55="",V55=""),"",(V55/60)*INDEX('Rooms and Staff'!$P$16:$P$115,MATCH(H55,'Rooms and Staff'!$J$16:$J$115,0))),"")</f>
        <v/>
      </c>
      <c r="Z55" s="29">
        <f>IFERROR(IF(A55="","",IF(F55="Canceled","Canceled",IF(P55="DND","On Hold",IF(O55&lt;&gt;"","Completed",IF(N55&lt;&gt;"","In Progress","Not Started"))))),"")</f>
        <v/>
      </c>
      <c r="AA55" s="29">
        <f>IFERROR(IF(A55="","",IF(Z55&lt;&gt;"Completed","No",IF(Q55="Yes",IF(S55="Passed","Yes","No"),"Yes"))),"")</f>
        <v/>
      </c>
      <c r="AB55" s="29">
        <f>IFERROR(IF(AA55&lt;&gt;"Yes","",IF(K55="","Yes",IF(T55&lt;&gt;"",IF(T55&lt;=K55-'Rooms and Staff'!$B$11/1440,"Yes","No"),"No"))),"")</f>
        <v/>
      </c>
      <c r="AC55" s="23" t="n"/>
      <c r="AD55" s="23" t="n"/>
      <c r="AE55" s="29">
        <f>IFERROR(IF(A55="","",IF(C55="Room not found","Room not found",IF(COUNTIFS($A$2:$A$101,A55,$B$2:$B$101,B55)&gt;1,"Duplicate room assignment",IF(H55="","Attendant not assigned",IF(AND(N55&lt;&gt;"",O55&lt;&gt;"",O55&lt;N55),"Actual finish is before start",IF(AND(L55&lt;&gt;"",M55&lt;&gt;"",M55&lt;L55),"Planned finish is before start",IF(AND(P55="DND",O55&lt;&gt;""),"DND room marked completed",IF(AND(Q55="Yes",Z55="Completed",S55=""),"Inspection result missing",IF(S55="Failed","Inspection failed",IF(AND(K55&lt;&gt;"",J55&lt;&gt;"",K55&lt;J55),"Arrival is before check-out","OK")))))))))),"Review row")</f>
        <v/>
      </c>
      <c r="AH55">
        <f>IFERROR(IF(AND($A55='Dashboard'!$B$3,$AE55&lt;&gt;"OK",$AE55&lt;&gt;""),COUNTIFS($A$2:A55,'Dashboard'!$B$3,$AE$2:AE55,"&lt;&gt;OK",$AE$2:AE55,"&lt;&gt;"),""),"")</f>
        <v/>
      </c>
    </row>
    <row r="56">
      <c r="A56" s="22">
        <f>IFERROR(IF(B56="","",'Dashboard'!$B$3),"")</f>
        <v/>
      </c>
      <c r="B56" s="23" t="n"/>
      <c r="C56" s="24">
        <f>IFERROR(IF(B56="","",IFERROR(INDEX('Rooms and Staff'!$B$16:$B$115,MATCH(B56,'Rooms and Staff'!$A$16:$A$115,0)),"Room not found")),"")</f>
        <v/>
      </c>
      <c r="D56" s="24">
        <f>IFERROR(IF(B56="","",IFERROR(INDEX('Rooms and Staff'!$C$16:$C$115,MATCH(B56,'Rooms and Staff'!$A$16:$A$115,0)),"")),"")</f>
        <v/>
      </c>
      <c r="E56" s="23" t="n"/>
      <c r="F56" s="23" t="n"/>
      <c r="G56" s="23" t="n"/>
      <c r="H56" s="23" t="n"/>
      <c r="I56" s="23" t="n"/>
      <c r="J56" s="25" t="n"/>
      <c r="K56" s="25" t="n"/>
      <c r="L56" s="25" t="n"/>
      <c r="M56" s="25" t="n"/>
      <c r="N56" s="25" t="n"/>
      <c r="O56" s="25" t="n"/>
      <c r="P56" s="23" t="n"/>
      <c r="Q56" s="23" t="n"/>
      <c r="R56" s="23" t="n"/>
      <c r="S56" s="23" t="n"/>
      <c r="T56" s="25" t="n"/>
      <c r="U56" s="26">
        <f>IFERROR(IF(A56="","",IF(F56="Canceled",0,IF(F56="","",IF(F56="Checkout",'Rooms and Staff'!$B$4,IF(F56="Stayover",'Rooms and Staff'!$B$5,IF(F56="Deep Clean",'Rooms and Staff'!$B$6,IF(F56="Touch-Up",'Rooms and Staff'!$B$7,IF(F56="Public Area",'Rooms and Staff'!$B$8,0)))))))),"")</f>
        <v/>
      </c>
      <c r="V56" s="26">
        <f>IFERROR(IF(OR(N56="",O56=""),"",(O56-N56)*1440),"")</f>
        <v/>
      </c>
      <c r="W56" s="26">
        <f>IFERROR(IF(OR(V56="",U56=""),"",V56-U56),"")</f>
        <v/>
      </c>
      <c r="X56" s="27">
        <f>IFERROR(IF(OR(H56="",U56=""),"",(U56/60)*INDEX('Rooms and Staff'!$P$16:$P$115,MATCH(H56,'Rooms and Staff'!$J$16:$J$115,0))),"")</f>
        <v/>
      </c>
      <c r="Y56" s="27">
        <f>IFERROR(IF(OR(H56="",V56=""),"",(V56/60)*INDEX('Rooms and Staff'!$P$16:$P$115,MATCH(H56,'Rooms and Staff'!$J$16:$J$115,0))),"")</f>
        <v/>
      </c>
      <c r="Z56" s="24">
        <f>IFERROR(IF(A56="","",IF(F56="Canceled","Canceled",IF(P56="DND","On Hold",IF(O56&lt;&gt;"","Completed",IF(N56&lt;&gt;"","In Progress","Not Started"))))),"")</f>
        <v/>
      </c>
      <c r="AA56" s="24">
        <f>IFERROR(IF(A56="","",IF(Z56&lt;&gt;"Completed","No",IF(Q56="Yes",IF(S56="Passed","Yes","No"),"Yes"))),"")</f>
        <v/>
      </c>
      <c r="AB56" s="24">
        <f>IFERROR(IF(AA56&lt;&gt;"Yes","",IF(K56="","Yes",IF(T56&lt;&gt;"",IF(T56&lt;=K56-'Rooms and Staff'!$B$11/1440,"Yes","No"),"No"))),"")</f>
        <v/>
      </c>
      <c r="AC56" s="23" t="n"/>
      <c r="AD56" s="23" t="n"/>
      <c r="AE56" s="24">
        <f>IFERROR(IF(A56="","",IF(C56="Room not found","Room not found",IF(COUNTIFS($A$2:$A$101,A56,$B$2:$B$101,B56)&gt;1,"Duplicate room assignment",IF(H56="","Attendant not assigned",IF(AND(N56&lt;&gt;"",O56&lt;&gt;"",O56&lt;N56),"Actual finish is before start",IF(AND(L56&lt;&gt;"",M56&lt;&gt;"",M56&lt;L56),"Planned finish is before start",IF(AND(P56="DND",O56&lt;&gt;""),"DND room marked completed",IF(AND(Q56="Yes",Z56="Completed",S56=""),"Inspection result missing",IF(S56="Failed","Inspection failed",IF(AND(K56&lt;&gt;"",J56&lt;&gt;"",K56&lt;J56),"Arrival is before check-out","OK")))))))))),"Review row")</f>
        <v/>
      </c>
      <c r="AH56">
        <f>IFERROR(IF(AND($A56='Dashboard'!$B$3,$AE56&lt;&gt;"OK",$AE56&lt;&gt;""),COUNTIFS($A$2:A56,'Dashboard'!$B$3,$AE$2:AE56,"&lt;&gt;OK",$AE$2:AE56,"&lt;&gt;"),""),"")</f>
        <v/>
      </c>
    </row>
    <row r="57">
      <c r="A57" s="28">
        <f>IFERROR(IF(B57="","",'Dashboard'!$B$3),"")</f>
        <v/>
      </c>
      <c r="B57" s="23" t="n"/>
      <c r="C57" s="29">
        <f>IFERROR(IF(B57="","",IFERROR(INDEX('Rooms and Staff'!$B$16:$B$115,MATCH(B57,'Rooms and Staff'!$A$16:$A$115,0)),"Room not found")),"")</f>
        <v/>
      </c>
      <c r="D57" s="29">
        <f>IFERROR(IF(B57="","",IFERROR(INDEX('Rooms and Staff'!$C$16:$C$115,MATCH(B57,'Rooms and Staff'!$A$16:$A$115,0)),"")),"")</f>
        <v/>
      </c>
      <c r="E57" s="23" t="n"/>
      <c r="F57" s="23" t="n"/>
      <c r="G57" s="23" t="n"/>
      <c r="H57" s="23" t="n"/>
      <c r="I57" s="23" t="n"/>
      <c r="J57" s="25" t="n"/>
      <c r="K57" s="25" t="n"/>
      <c r="L57" s="25" t="n"/>
      <c r="M57" s="25" t="n"/>
      <c r="N57" s="25" t="n"/>
      <c r="O57" s="25" t="n"/>
      <c r="P57" s="23" t="n"/>
      <c r="Q57" s="23" t="n"/>
      <c r="R57" s="23" t="n"/>
      <c r="S57" s="23" t="n"/>
      <c r="T57" s="25" t="n"/>
      <c r="U57" s="30">
        <f>IFERROR(IF(A57="","",IF(F57="Canceled",0,IF(F57="","",IF(F57="Checkout",'Rooms and Staff'!$B$4,IF(F57="Stayover",'Rooms and Staff'!$B$5,IF(F57="Deep Clean",'Rooms and Staff'!$B$6,IF(F57="Touch-Up",'Rooms and Staff'!$B$7,IF(F57="Public Area",'Rooms and Staff'!$B$8,0)))))))),"")</f>
        <v/>
      </c>
      <c r="V57" s="30">
        <f>IFERROR(IF(OR(N57="",O57=""),"",(O57-N57)*1440),"")</f>
        <v/>
      </c>
      <c r="W57" s="30">
        <f>IFERROR(IF(OR(V57="",U57=""),"",V57-U57),"")</f>
        <v/>
      </c>
      <c r="X57" s="31">
        <f>IFERROR(IF(OR(H57="",U57=""),"",(U57/60)*INDEX('Rooms and Staff'!$P$16:$P$115,MATCH(H57,'Rooms and Staff'!$J$16:$J$115,0))),"")</f>
        <v/>
      </c>
      <c r="Y57" s="31">
        <f>IFERROR(IF(OR(H57="",V57=""),"",(V57/60)*INDEX('Rooms and Staff'!$P$16:$P$115,MATCH(H57,'Rooms and Staff'!$J$16:$J$115,0))),"")</f>
        <v/>
      </c>
      <c r="Z57" s="29">
        <f>IFERROR(IF(A57="","",IF(F57="Canceled","Canceled",IF(P57="DND","On Hold",IF(O57&lt;&gt;"","Completed",IF(N57&lt;&gt;"","In Progress","Not Started"))))),"")</f>
        <v/>
      </c>
      <c r="AA57" s="29">
        <f>IFERROR(IF(A57="","",IF(Z57&lt;&gt;"Completed","No",IF(Q57="Yes",IF(S57="Passed","Yes","No"),"Yes"))),"")</f>
        <v/>
      </c>
      <c r="AB57" s="29">
        <f>IFERROR(IF(AA57&lt;&gt;"Yes","",IF(K57="","Yes",IF(T57&lt;&gt;"",IF(T57&lt;=K57-'Rooms and Staff'!$B$11/1440,"Yes","No"),"No"))),"")</f>
        <v/>
      </c>
      <c r="AC57" s="23" t="n"/>
      <c r="AD57" s="23" t="n"/>
      <c r="AE57" s="29">
        <f>IFERROR(IF(A57="","",IF(C57="Room not found","Room not found",IF(COUNTIFS($A$2:$A$101,A57,$B$2:$B$101,B57)&gt;1,"Duplicate room assignment",IF(H57="","Attendant not assigned",IF(AND(N57&lt;&gt;"",O57&lt;&gt;"",O57&lt;N57),"Actual finish is before start",IF(AND(L57&lt;&gt;"",M57&lt;&gt;"",M57&lt;L57),"Planned finish is before start",IF(AND(P57="DND",O57&lt;&gt;""),"DND room marked completed",IF(AND(Q57="Yes",Z57="Completed",S57=""),"Inspection result missing",IF(S57="Failed","Inspection failed",IF(AND(K57&lt;&gt;"",J57&lt;&gt;"",K57&lt;J57),"Arrival is before check-out","OK")))))))))),"Review row")</f>
        <v/>
      </c>
      <c r="AH57">
        <f>IFERROR(IF(AND($A57='Dashboard'!$B$3,$AE57&lt;&gt;"OK",$AE57&lt;&gt;""),COUNTIFS($A$2:A57,'Dashboard'!$B$3,$AE$2:AE57,"&lt;&gt;OK",$AE$2:AE57,"&lt;&gt;"),""),"")</f>
        <v/>
      </c>
    </row>
    <row r="58">
      <c r="A58" s="22">
        <f>IFERROR(IF(B58="","",'Dashboard'!$B$3),"")</f>
        <v/>
      </c>
      <c r="B58" s="23" t="n"/>
      <c r="C58" s="24">
        <f>IFERROR(IF(B58="","",IFERROR(INDEX('Rooms and Staff'!$B$16:$B$115,MATCH(B58,'Rooms and Staff'!$A$16:$A$115,0)),"Room not found")),"")</f>
        <v/>
      </c>
      <c r="D58" s="24">
        <f>IFERROR(IF(B58="","",IFERROR(INDEX('Rooms and Staff'!$C$16:$C$115,MATCH(B58,'Rooms and Staff'!$A$16:$A$115,0)),"")),"")</f>
        <v/>
      </c>
      <c r="E58" s="23" t="n"/>
      <c r="F58" s="23" t="n"/>
      <c r="G58" s="23" t="n"/>
      <c r="H58" s="23" t="n"/>
      <c r="I58" s="23" t="n"/>
      <c r="J58" s="25" t="n"/>
      <c r="K58" s="25" t="n"/>
      <c r="L58" s="25" t="n"/>
      <c r="M58" s="25" t="n"/>
      <c r="N58" s="25" t="n"/>
      <c r="O58" s="25" t="n"/>
      <c r="P58" s="23" t="n"/>
      <c r="Q58" s="23" t="n"/>
      <c r="R58" s="23" t="n"/>
      <c r="S58" s="23" t="n"/>
      <c r="T58" s="25" t="n"/>
      <c r="U58" s="26">
        <f>IFERROR(IF(A58="","",IF(F58="Canceled",0,IF(F58="","",IF(F58="Checkout",'Rooms and Staff'!$B$4,IF(F58="Stayover",'Rooms and Staff'!$B$5,IF(F58="Deep Clean",'Rooms and Staff'!$B$6,IF(F58="Touch-Up",'Rooms and Staff'!$B$7,IF(F58="Public Area",'Rooms and Staff'!$B$8,0)))))))),"")</f>
        <v/>
      </c>
      <c r="V58" s="26">
        <f>IFERROR(IF(OR(N58="",O58=""),"",(O58-N58)*1440),"")</f>
        <v/>
      </c>
      <c r="W58" s="26">
        <f>IFERROR(IF(OR(V58="",U58=""),"",V58-U58),"")</f>
        <v/>
      </c>
      <c r="X58" s="27">
        <f>IFERROR(IF(OR(H58="",U58=""),"",(U58/60)*INDEX('Rooms and Staff'!$P$16:$P$115,MATCH(H58,'Rooms and Staff'!$J$16:$J$115,0))),"")</f>
        <v/>
      </c>
      <c r="Y58" s="27">
        <f>IFERROR(IF(OR(H58="",V58=""),"",(V58/60)*INDEX('Rooms and Staff'!$P$16:$P$115,MATCH(H58,'Rooms and Staff'!$J$16:$J$115,0))),"")</f>
        <v/>
      </c>
      <c r="Z58" s="24">
        <f>IFERROR(IF(A58="","",IF(F58="Canceled","Canceled",IF(P58="DND","On Hold",IF(O58&lt;&gt;"","Completed",IF(N58&lt;&gt;"","In Progress","Not Started"))))),"")</f>
        <v/>
      </c>
      <c r="AA58" s="24">
        <f>IFERROR(IF(A58="","",IF(Z58&lt;&gt;"Completed","No",IF(Q58="Yes",IF(S58="Passed","Yes","No"),"Yes"))),"")</f>
        <v/>
      </c>
      <c r="AB58" s="24">
        <f>IFERROR(IF(AA58&lt;&gt;"Yes","",IF(K58="","Yes",IF(T58&lt;&gt;"",IF(T58&lt;=K58-'Rooms and Staff'!$B$11/1440,"Yes","No"),"No"))),"")</f>
        <v/>
      </c>
      <c r="AC58" s="23" t="n"/>
      <c r="AD58" s="23" t="n"/>
      <c r="AE58" s="24">
        <f>IFERROR(IF(A58="","",IF(C58="Room not found","Room not found",IF(COUNTIFS($A$2:$A$101,A58,$B$2:$B$101,B58)&gt;1,"Duplicate room assignment",IF(H58="","Attendant not assigned",IF(AND(N58&lt;&gt;"",O58&lt;&gt;"",O58&lt;N58),"Actual finish is before start",IF(AND(L58&lt;&gt;"",M58&lt;&gt;"",M58&lt;L58),"Planned finish is before start",IF(AND(P58="DND",O58&lt;&gt;""),"DND room marked completed",IF(AND(Q58="Yes",Z58="Completed",S58=""),"Inspection result missing",IF(S58="Failed","Inspection failed",IF(AND(K58&lt;&gt;"",J58&lt;&gt;"",K58&lt;J58),"Arrival is before check-out","OK")))))))))),"Review row")</f>
        <v/>
      </c>
      <c r="AH58">
        <f>IFERROR(IF(AND($A58='Dashboard'!$B$3,$AE58&lt;&gt;"OK",$AE58&lt;&gt;""),COUNTIFS($A$2:A58,'Dashboard'!$B$3,$AE$2:AE58,"&lt;&gt;OK",$AE$2:AE58,"&lt;&gt;"),""),"")</f>
        <v/>
      </c>
    </row>
    <row r="59">
      <c r="A59" s="28">
        <f>IFERROR(IF(B59="","",'Dashboard'!$B$3),"")</f>
        <v/>
      </c>
      <c r="B59" s="23" t="n"/>
      <c r="C59" s="29">
        <f>IFERROR(IF(B59="","",IFERROR(INDEX('Rooms and Staff'!$B$16:$B$115,MATCH(B59,'Rooms and Staff'!$A$16:$A$115,0)),"Room not found")),"")</f>
        <v/>
      </c>
      <c r="D59" s="29">
        <f>IFERROR(IF(B59="","",IFERROR(INDEX('Rooms and Staff'!$C$16:$C$115,MATCH(B59,'Rooms and Staff'!$A$16:$A$115,0)),"")),"")</f>
        <v/>
      </c>
      <c r="E59" s="23" t="n"/>
      <c r="F59" s="23" t="n"/>
      <c r="G59" s="23" t="n"/>
      <c r="H59" s="23" t="n"/>
      <c r="I59" s="23" t="n"/>
      <c r="J59" s="25" t="n"/>
      <c r="K59" s="25" t="n"/>
      <c r="L59" s="25" t="n"/>
      <c r="M59" s="25" t="n"/>
      <c r="N59" s="25" t="n"/>
      <c r="O59" s="25" t="n"/>
      <c r="P59" s="23" t="n"/>
      <c r="Q59" s="23" t="n"/>
      <c r="R59" s="23" t="n"/>
      <c r="S59" s="23" t="n"/>
      <c r="T59" s="25" t="n"/>
      <c r="U59" s="30">
        <f>IFERROR(IF(A59="","",IF(F59="Canceled",0,IF(F59="","",IF(F59="Checkout",'Rooms and Staff'!$B$4,IF(F59="Stayover",'Rooms and Staff'!$B$5,IF(F59="Deep Clean",'Rooms and Staff'!$B$6,IF(F59="Touch-Up",'Rooms and Staff'!$B$7,IF(F59="Public Area",'Rooms and Staff'!$B$8,0)))))))),"")</f>
        <v/>
      </c>
      <c r="V59" s="30">
        <f>IFERROR(IF(OR(N59="",O59=""),"",(O59-N59)*1440),"")</f>
        <v/>
      </c>
      <c r="W59" s="30">
        <f>IFERROR(IF(OR(V59="",U59=""),"",V59-U59),"")</f>
        <v/>
      </c>
      <c r="X59" s="31">
        <f>IFERROR(IF(OR(H59="",U59=""),"",(U59/60)*INDEX('Rooms and Staff'!$P$16:$P$115,MATCH(H59,'Rooms and Staff'!$J$16:$J$115,0))),"")</f>
        <v/>
      </c>
      <c r="Y59" s="31">
        <f>IFERROR(IF(OR(H59="",V59=""),"",(V59/60)*INDEX('Rooms and Staff'!$P$16:$P$115,MATCH(H59,'Rooms and Staff'!$J$16:$J$115,0))),"")</f>
        <v/>
      </c>
      <c r="Z59" s="29">
        <f>IFERROR(IF(A59="","",IF(F59="Canceled","Canceled",IF(P59="DND","On Hold",IF(O59&lt;&gt;"","Completed",IF(N59&lt;&gt;"","In Progress","Not Started"))))),"")</f>
        <v/>
      </c>
      <c r="AA59" s="29">
        <f>IFERROR(IF(A59="","",IF(Z59&lt;&gt;"Completed","No",IF(Q59="Yes",IF(S59="Passed","Yes","No"),"Yes"))),"")</f>
        <v/>
      </c>
      <c r="AB59" s="29">
        <f>IFERROR(IF(AA59&lt;&gt;"Yes","",IF(K59="","Yes",IF(T59&lt;&gt;"",IF(T59&lt;=K59-'Rooms and Staff'!$B$11/1440,"Yes","No"),"No"))),"")</f>
        <v/>
      </c>
      <c r="AC59" s="23" t="n"/>
      <c r="AD59" s="23" t="n"/>
      <c r="AE59" s="29">
        <f>IFERROR(IF(A59="","",IF(C59="Room not found","Room not found",IF(COUNTIFS($A$2:$A$101,A59,$B$2:$B$101,B59)&gt;1,"Duplicate room assignment",IF(H59="","Attendant not assigned",IF(AND(N59&lt;&gt;"",O59&lt;&gt;"",O59&lt;N59),"Actual finish is before start",IF(AND(L59&lt;&gt;"",M59&lt;&gt;"",M59&lt;L59),"Planned finish is before start",IF(AND(P59="DND",O59&lt;&gt;""),"DND room marked completed",IF(AND(Q59="Yes",Z59="Completed",S59=""),"Inspection result missing",IF(S59="Failed","Inspection failed",IF(AND(K59&lt;&gt;"",J59&lt;&gt;"",K59&lt;J59),"Arrival is before check-out","OK")))))))))),"Review row")</f>
        <v/>
      </c>
      <c r="AH59">
        <f>IFERROR(IF(AND($A59='Dashboard'!$B$3,$AE59&lt;&gt;"OK",$AE59&lt;&gt;""),COUNTIFS($A$2:A59,'Dashboard'!$B$3,$AE$2:AE59,"&lt;&gt;OK",$AE$2:AE59,"&lt;&gt;"),""),"")</f>
        <v/>
      </c>
    </row>
    <row r="60">
      <c r="A60" s="22">
        <f>IFERROR(IF(B60="","",'Dashboard'!$B$3),"")</f>
        <v/>
      </c>
      <c r="B60" s="23" t="n"/>
      <c r="C60" s="24">
        <f>IFERROR(IF(B60="","",IFERROR(INDEX('Rooms and Staff'!$B$16:$B$115,MATCH(B60,'Rooms and Staff'!$A$16:$A$115,0)),"Room not found")),"")</f>
        <v/>
      </c>
      <c r="D60" s="24">
        <f>IFERROR(IF(B60="","",IFERROR(INDEX('Rooms and Staff'!$C$16:$C$115,MATCH(B60,'Rooms and Staff'!$A$16:$A$115,0)),"")),"")</f>
        <v/>
      </c>
      <c r="E60" s="23" t="n"/>
      <c r="F60" s="23" t="n"/>
      <c r="G60" s="23" t="n"/>
      <c r="H60" s="23" t="n"/>
      <c r="I60" s="23" t="n"/>
      <c r="J60" s="25" t="n"/>
      <c r="K60" s="25" t="n"/>
      <c r="L60" s="25" t="n"/>
      <c r="M60" s="25" t="n"/>
      <c r="N60" s="25" t="n"/>
      <c r="O60" s="25" t="n"/>
      <c r="P60" s="23" t="n"/>
      <c r="Q60" s="23" t="n"/>
      <c r="R60" s="23" t="n"/>
      <c r="S60" s="23" t="n"/>
      <c r="T60" s="25" t="n"/>
      <c r="U60" s="26">
        <f>IFERROR(IF(A60="","",IF(F60="Canceled",0,IF(F60="","",IF(F60="Checkout",'Rooms and Staff'!$B$4,IF(F60="Stayover",'Rooms and Staff'!$B$5,IF(F60="Deep Clean",'Rooms and Staff'!$B$6,IF(F60="Touch-Up",'Rooms and Staff'!$B$7,IF(F60="Public Area",'Rooms and Staff'!$B$8,0)))))))),"")</f>
        <v/>
      </c>
      <c r="V60" s="26">
        <f>IFERROR(IF(OR(N60="",O60=""),"",(O60-N60)*1440),"")</f>
        <v/>
      </c>
      <c r="W60" s="26">
        <f>IFERROR(IF(OR(V60="",U60=""),"",V60-U60),"")</f>
        <v/>
      </c>
      <c r="X60" s="27">
        <f>IFERROR(IF(OR(H60="",U60=""),"",(U60/60)*INDEX('Rooms and Staff'!$P$16:$P$115,MATCH(H60,'Rooms and Staff'!$J$16:$J$115,0))),"")</f>
        <v/>
      </c>
      <c r="Y60" s="27">
        <f>IFERROR(IF(OR(H60="",V60=""),"",(V60/60)*INDEX('Rooms and Staff'!$P$16:$P$115,MATCH(H60,'Rooms and Staff'!$J$16:$J$115,0))),"")</f>
        <v/>
      </c>
      <c r="Z60" s="24">
        <f>IFERROR(IF(A60="","",IF(F60="Canceled","Canceled",IF(P60="DND","On Hold",IF(O60&lt;&gt;"","Completed",IF(N60&lt;&gt;"","In Progress","Not Started"))))),"")</f>
        <v/>
      </c>
      <c r="AA60" s="24">
        <f>IFERROR(IF(A60="","",IF(Z60&lt;&gt;"Completed","No",IF(Q60="Yes",IF(S60="Passed","Yes","No"),"Yes"))),"")</f>
        <v/>
      </c>
      <c r="AB60" s="24">
        <f>IFERROR(IF(AA60&lt;&gt;"Yes","",IF(K60="","Yes",IF(T60&lt;&gt;"",IF(T60&lt;=K60-'Rooms and Staff'!$B$11/1440,"Yes","No"),"No"))),"")</f>
        <v/>
      </c>
      <c r="AC60" s="23" t="n"/>
      <c r="AD60" s="23" t="n"/>
      <c r="AE60" s="24">
        <f>IFERROR(IF(A60="","",IF(C60="Room not found","Room not found",IF(COUNTIFS($A$2:$A$101,A60,$B$2:$B$101,B60)&gt;1,"Duplicate room assignment",IF(H60="","Attendant not assigned",IF(AND(N60&lt;&gt;"",O60&lt;&gt;"",O60&lt;N60),"Actual finish is before start",IF(AND(L60&lt;&gt;"",M60&lt;&gt;"",M60&lt;L60),"Planned finish is before start",IF(AND(P60="DND",O60&lt;&gt;""),"DND room marked completed",IF(AND(Q60="Yes",Z60="Completed",S60=""),"Inspection result missing",IF(S60="Failed","Inspection failed",IF(AND(K60&lt;&gt;"",J60&lt;&gt;"",K60&lt;J60),"Arrival is before check-out","OK")))))))))),"Review row")</f>
        <v/>
      </c>
      <c r="AH60">
        <f>IFERROR(IF(AND($A60='Dashboard'!$B$3,$AE60&lt;&gt;"OK",$AE60&lt;&gt;""),COUNTIFS($A$2:A60,'Dashboard'!$B$3,$AE$2:AE60,"&lt;&gt;OK",$AE$2:AE60,"&lt;&gt;"),""),"")</f>
        <v/>
      </c>
    </row>
    <row r="61">
      <c r="A61" s="28">
        <f>IFERROR(IF(B61="","",'Dashboard'!$B$3),"")</f>
        <v/>
      </c>
      <c r="B61" s="23" t="n"/>
      <c r="C61" s="29">
        <f>IFERROR(IF(B61="","",IFERROR(INDEX('Rooms and Staff'!$B$16:$B$115,MATCH(B61,'Rooms and Staff'!$A$16:$A$115,0)),"Room not found")),"")</f>
        <v/>
      </c>
      <c r="D61" s="29">
        <f>IFERROR(IF(B61="","",IFERROR(INDEX('Rooms and Staff'!$C$16:$C$115,MATCH(B61,'Rooms and Staff'!$A$16:$A$115,0)),"")),"")</f>
        <v/>
      </c>
      <c r="E61" s="23" t="n"/>
      <c r="F61" s="23" t="n"/>
      <c r="G61" s="23" t="n"/>
      <c r="H61" s="23" t="n"/>
      <c r="I61" s="23" t="n"/>
      <c r="J61" s="25" t="n"/>
      <c r="K61" s="25" t="n"/>
      <c r="L61" s="25" t="n"/>
      <c r="M61" s="25" t="n"/>
      <c r="N61" s="25" t="n"/>
      <c r="O61" s="25" t="n"/>
      <c r="P61" s="23" t="n"/>
      <c r="Q61" s="23" t="n"/>
      <c r="R61" s="23" t="n"/>
      <c r="S61" s="23" t="n"/>
      <c r="T61" s="25" t="n"/>
      <c r="U61" s="30">
        <f>IFERROR(IF(A61="","",IF(F61="Canceled",0,IF(F61="","",IF(F61="Checkout",'Rooms and Staff'!$B$4,IF(F61="Stayover",'Rooms and Staff'!$B$5,IF(F61="Deep Clean",'Rooms and Staff'!$B$6,IF(F61="Touch-Up",'Rooms and Staff'!$B$7,IF(F61="Public Area",'Rooms and Staff'!$B$8,0)))))))),"")</f>
        <v/>
      </c>
      <c r="V61" s="30">
        <f>IFERROR(IF(OR(N61="",O61=""),"",(O61-N61)*1440),"")</f>
        <v/>
      </c>
      <c r="W61" s="30">
        <f>IFERROR(IF(OR(V61="",U61=""),"",V61-U61),"")</f>
        <v/>
      </c>
      <c r="X61" s="31">
        <f>IFERROR(IF(OR(H61="",U61=""),"",(U61/60)*INDEX('Rooms and Staff'!$P$16:$P$115,MATCH(H61,'Rooms and Staff'!$J$16:$J$115,0))),"")</f>
        <v/>
      </c>
      <c r="Y61" s="31">
        <f>IFERROR(IF(OR(H61="",V61=""),"",(V61/60)*INDEX('Rooms and Staff'!$P$16:$P$115,MATCH(H61,'Rooms and Staff'!$J$16:$J$115,0))),"")</f>
        <v/>
      </c>
      <c r="Z61" s="29">
        <f>IFERROR(IF(A61="","",IF(F61="Canceled","Canceled",IF(P61="DND","On Hold",IF(O61&lt;&gt;"","Completed",IF(N61&lt;&gt;"","In Progress","Not Started"))))),"")</f>
        <v/>
      </c>
      <c r="AA61" s="29">
        <f>IFERROR(IF(A61="","",IF(Z61&lt;&gt;"Completed","No",IF(Q61="Yes",IF(S61="Passed","Yes","No"),"Yes"))),"")</f>
        <v/>
      </c>
      <c r="AB61" s="29">
        <f>IFERROR(IF(AA61&lt;&gt;"Yes","",IF(K61="","Yes",IF(T61&lt;&gt;"",IF(T61&lt;=K61-'Rooms and Staff'!$B$11/1440,"Yes","No"),"No"))),"")</f>
        <v/>
      </c>
      <c r="AC61" s="23" t="n"/>
      <c r="AD61" s="23" t="n"/>
      <c r="AE61" s="29">
        <f>IFERROR(IF(A61="","",IF(C61="Room not found","Room not found",IF(COUNTIFS($A$2:$A$101,A61,$B$2:$B$101,B61)&gt;1,"Duplicate room assignment",IF(H61="","Attendant not assigned",IF(AND(N61&lt;&gt;"",O61&lt;&gt;"",O61&lt;N61),"Actual finish is before start",IF(AND(L61&lt;&gt;"",M61&lt;&gt;"",M61&lt;L61),"Planned finish is before start",IF(AND(P61="DND",O61&lt;&gt;""),"DND room marked completed",IF(AND(Q61="Yes",Z61="Completed",S61=""),"Inspection result missing",IF(S61="Failed","Inspection failed",IF(AND(K61&lt;&gt;"",J61&lt;&gt;"",K61&lt;J61),"Arrival is before check-out","OK")))))))))),"Review row")</f>
        <v/>
      </c>
      <c r="AH61">
        <f>IFERROR(IF(AND($A61='Dashboard'!$B$3,$AE61&lt;&gt;"OK",$AE61&lt;&gt;""),COUNTIFS($A$2:A61,'Dashboard'!$B$3,$AE$2:AE61,"&lt;&gt;OK",$AE$2:AE61,"&lt;&gt;"),""),"")</f>
        <v/>
      </c>
    </row>
    <row r="62">
      <c r="A62" s="22">
        <f>IFERROR(IF(B62="","",'Dashboard'!$B$3),"")</f>
        <v/>
      </c>
      <c r="B62" s="23" t="n"/>
      <c r="C62" s="24">
        <f>IFERROR(IF(B62="","",IFERROR(INDEX('Rooms and Staff'!$B$16:$B$115,MATCH(B62,'Rooms and Staff'!$A$16:$A$115,0)),"Room not found")),"")</f>
        <v/>
      </c>
      <c r="D62" s="24">
        <f>IFERROR(IF(B62="","",IFERROR(INDEX('Rooms and Staff'!$C$16:$C$115,MATCH(B62,'Rooms and Staff'!$A$16:$A$115,0)),"")),"")</f>
        <v/>
      </c>
      <c r="E62" s="23" t="n"/>
      <c r="F62" s="23" t="n"/>
      <c r="G62" s="23" t="n"/>
      <c r="H62" s="23" t="n"/>
      <c r="I62" s="23" t="n"/>
      <c r="J62" s="25" t="n"/>
      <c r="K62" s="25" t="n"/>
      <c r="L62" s="25" t="n"/>
      <c r="M62" s="25" t="n"/>
      <c r="N62" s="25" t="n"/>
      <c r="O62" s="25" t="n"/>
      <c r="P62" s="23" t="n"/>
      <c r="Q62" s="23" t="n"/>
      <c r="R62" s="23" t="n"/>
      <c r="S62" s="23" t="n"/>
      <c r="T62" s="25" t="n"/>
      <c r="U62" s="26">
        <f>IFERROR(IF(A62="","",IF(F62="Canceled",0,IF(F62="","",IF(F62="Checkout",'Rooms and Staff'!$B$4,IF(F62="Stayover",'Rooms and Staff'!$B$5,IF(F62="Deep Clean",'Rooms and Staff'!$B$6,IF(F62="Touch-Up",'Rooms and Staff'!$B$7,IF(F62="Public Area",'Rooms and Staff'!$B$8,0)))))))),"")</f>
        <v/>
      </c>
      <c r="V62" s="26">
        <f>IFERROR(IF(OR(N62="",O62=""),"",(O62-N62)*1440),"")</f>
        <v/>
      </c>
      <c r="W62" s="26">
        <f>IFERROR(IF(OR(V62="",U62=""),"",V62-U62),"")</f>
        <v/>
      </c>
      <c r="X62" s="27">
        <f>IFERROR(IF(OR(H62="",U62=""),"",(U62/60)*INDEX('Rooms and Staff'!$P$16:$P$115,MATCH(H62,'Rooms and Staff'!$J$16:$J$115,0))),"")</f>
        <v/>
      </c>
      <c r="Y62" s="27">
        <f>IFERROR(IF(OR(H62="",V62=""),"",(V62/60)*INDEX('Rooms and Staff'!$P$16:$P$115,MATCH(H62,'Rooms and Staff'!$J$16:$J$115,0))),"")</f>
        <v/>
      </c>
      <c r="Z62" s="24">
        <f>IFERROR(IF(A62="","",IF(F62="Canceled","Canceled",IF(P62="DND","On Hold",IF(O62&lt;&gt;"","Completed",IF(N62&lt;&gt;"","In Progress","Not Started"))))),"")</f>
        <v/>
      </c>
      <c r="AA62" s="24">
        <f>IFERROR(IF(A62="","",IF(Z62&lt;&gt;"Completed","No",IF(Q62="Yes",IF(S62="Passed","Yes","No"),"Yes"))),"")</f>
        <v/>
      </c>
      <c r="AB62" s="24">
        <f>IFERROR(IF(AA62&lt;&gt;"Yes","",IF(K62="","Yes",IF(T62&lt;&gt;"",IF(T62&lt;=K62-'Rooms and Staff'!$B$11/1440,"Yes","No"),"No"))),"")</f>
        <v/>
      </c>
      <c r="AC62" s="23" t="n"/>
      <c r="AD62" s="23" t="n"/>
      <c r="AE62" s="24">
        <f>IFERROR(IF(A62="","",IF(C62="Room not found","Room not found",IF(COUNTIFS($A$2:$A$101,A62,$B$2:$B$101,B62)&gt;1,"Duplicate room assignment",IF(H62="","Attendant not assigned",IF(AND(N62&lt;&gt;"",O62&lt;&gt;"",O62&lt;N62),"Actual finish is before start",IF(AND(L62&lt;&gt;"",M62&lt;&gt;"",M62&lt;L62),"Planned finish is before start",IF(AND(P62="DND",O62&lt;&gt;""),"DND room marked completed",IF(AND(Q62="Yes",Z62="Completed",S62=""),"Inspection result missing",IF(S62="Failed","Inspection failed",IF(AND(K62&lt;&gt;"",J62&lt;&gt;"",K62&lt;J62),"Arrival is before check-out","OK")))))))))),"Review row")</f>
        <v/>
      </c>
      <c r="AH62">
        <f>IFERROR(IF(AND($A62='Dashboard'!$B$3,$AE62&lt;&gt;"OK",$AE62&lt;&gt;""),COUNTIFS($A$2:A62,'Dashboard'!$B$3,$AE$2:AE62,"&lt;&gt;OK",$AE$2:AE62,"&lt;&gt;"),""),"")</f>
        <v/>
      </c>
    </row>
    <row r="63">
      <c r="A63" s="28">
        <f>IFERROR(IF(B63="","",'Dashboard'!$B$3),"")</f>
        <v/>
      </c>
      <c r="B63" s="23" t="n"/>
      <c r="C63" s="29">
        <f>IFERROR(IF(B63="","",IFERROR(INDEX('Rooms and Staff'!$B$16:$B$115,MATCH(B63,'Rooms and Staff'!$A$16:$A$115,0)),"Room not found")),"")</f>
        <v/>
      </c>
      <c r="D63" s="29">
        <f>IFERROR(IF(B63="","",IFERROR(INDEX('Rooms and Staff'!$C$16:$C$115,MATCH(B63,'Rooms and Staff'!$A$16:$A$115,0)),"")),"")</f>
        <v/>
      </c>
      <c r="E63" s="23" t="n"/>
      <c r="F63" s="23" t="n"/>
      <c r="G63" s="23" t="n"/>
      <c r="H63" s="23" t="n"/>
      <c r="I63" s="23" t="n"/>
      <c r="J63" s="25" t="n"/>
      <c r="K63" s="25" t="n"/>
      <c r="L63" s="25" t="n"/>
      <c r="M63" s="25" t="n"/>
      <c r="N63" s="25" t="n"/>
      <c r="O63" s="25" t="n"/>
      <c r="P63" s="23" t="n"/>
      <c r="Q63" s="23" t="n"/>
      <c r="R63" s="23" t="n"/>
      <c r="S63" s="23" t="n"/>
      <c r="T63" s="25" t="n"/>
      <c r="U63" s="30">
        <f>IFERROR(IF(A63="","",IF(F63="Canceled",0,IF(F63="","",IF(F63="Checkout",'Rooms and Staff'!$B$4,IF(F63="Stayover",'Rooms and Staff'!$B$5,IF(F63="Deep Clean",'Rooms and Staff'!$B$6,IF(F63="Touch-Up",'Rooms and Staff'!$B$7,IF(F63="Public Area",'Rooms and Staff'!$B$8,0)))))))),"")</f>
        <v/>
      </c>
      <c r="V63" s="30">
        <f>IFERROR(IF(OR(N63="",O63=""),"",(O63-N63)*1440),"")</f>
        <v/>
      </c>
      <c r="W63" s="30">
        <f>IFERROR(IF(OR(V63="",U63=""),"",V63-U63),"")</f>
        <v/>
      </c>
      <c r="X63" s="31">
        <f>IFERROR(IF(OR(H63="",U63=""),"",(U63/60)*INDEX('Rooms and Staff'!$P$16:$P$115,MATCH(H63,'Rooms and Staff'!$J$16:$J$115,0))),"")</f>
        <v/>
      </c>
      <c r="Y63" s="31">
        <f>IFERROR(IF(OR(H63="",V63=""),"",(V63/60)*INDEX('Rooms and Staff'!$P$16:$P$115,MATCH(H63,'Rooms and Staff'!$J$16:$J$115,0))),"")</f>
        <v/>
      </c>
      <c r="Z63" s="29">
        <f>IFERROR(IF(A63="","",IF(F63="Canceled","Canceled",IF(P63="DND","On Hold",IF(O63&lt;&gt;"","Completed",IF(N63&lt;&gt;"","In Progress","Not Started"))))),"")</f>
        <v/>
      </c>
      <c r="AA63" s="29">
        <f>IFERROR(IF(A63="","",IF(Z63&lt;&gt;"Completed","No",IF(Q63="Yes",IF(S63="Passed","Yes","No"),"Yes"))),"")</f>
        <v/>
      </c>
      <c r="AB63" s="29">
        <f>IFERROR(IF(AA63&lt;&gt;"Yes","",IF(K63="","Yes",IF(T63&lt;&gt;"",IF(T63&lt;=K63-'Rooms and Staff'!$B$11/1440,"Yes","No"),"No"))),"")</f>
        <v/>
      </c>
      <c r="AC63" s="23" t="n"/>
      <c r="AD63" s="23" t="n"/>
      <c r="AE63" s="29">
        <f>IFERROR(IF(A63="","",IF(C63="Room not found","Room not found",IF(COUNTIFS($A$2:$A$101,A63,$B$2:$B$101,B63)&gt;1,"Duplicate room assignment",IF(H63="","Attendant not assigned",IF(AND(N63&lt;&gt;"",O63&lt;&gt;"",O63&lt;N63),"Actual finish is before start",IF(AND(L63&lt;&gt;"",M63&lt;&gt;"",M63&lt;L63),"Planned finish is before start",IF(AND(P63="DND",O63&lt;&gt;""),"DND room marked completed",IF(AND(Q63="Yes",Z63="Completed",S63=""),"Inspection result missing",IF(S63="Failed","Inspection failed",IF(AND(K63&lt;&gt;"",J63&lt;&gt;"",K63&lt;J63),"Arrival is before check-out","OK")))))))))),"Review row")</f>
        <v/>
      </c>
      <c r="AH63">
        <f>IFERROR(IF(AND($A63='Dashboard'!$B$3,$AE63&lt;&gt;"OK",$AE63&lt;&gt;""),COUNTIFS($A$2:A63,'Dashboard'!$B$3,$AE$2:AE63,"&lt;&gt;OK",$AE$2:AE63,"&lt;&gt;"),""),"")</f>
        <v/>
      </c>
    </row>
    <row r="64">
      <c r="A64" s="22">
        <f>IFERROR(IF(B64="","",'Dashboard'!$B$3),"")</f>
        <v/>
      </c>
      <c r="B64" s="23" t="n"/>
      <c r="C64" s="24">
        <f>IFERROR(IF(B64="","",IFERROR(INDEX('Rooms and Staff'!$B$16:$B$115,MATCH(B64,'Rooms and Staff'!$A$16:$A$115,0)),"Room not found")),"")</f>
        <v/>
      </c>
      <c r="D64" s="24">
        <f>IFERROR(IF(B64="","",IFERROR(INDEX('Rooms and Staff'!$C$16:$C$115,MATCH(B64,'Rooms and Staff'!$A$16:$A$115,0)),"")),"")</f>
        <v/>
      </c>
      <c r="E64" s="23" t="n"/>
      <c r="F64" s="23" t="n"/>
      <c r="G64" s="23" t="n"/>
      <c r="H64" s="23" t="n"/>
      <c r="I64" s="23" t="n"/>
      <c r="J64" s="25" t="n"/>
      <c r="K64" s="25" t="n"/>
      <c r="L64" s="25" t="n"/>
      <c r="M64" s="25" t="n"/>
      <c r="N64" s="25" t="n"/>
      <c r="O64" s="25" t="n"/>
      <c r="P64" s="23" t="n"/>
      <c r="Q64" s="23" t="n"/>
      <c r="R64" s="23" t="n"/>
      <c r="S64" s="23" t="n"/>
      <c r="T64" s="25" t="n"/>
      <c r="U64" s="26">
        <f>IFERROR(IF(A64="","",IF(F64="Canceled",0,IF(F64="","",IF(F64="Checkout",'Rooms and Staff'!$B$4,IF(F64="Stayover",'Rooms and Staff'!$B$5,IF(F64="Deep Clean",'Rooms and Staff'!$B$6,IF(F64="Touch-Up",'Rooms and Staff'!$B$7,IF(F64="Public Area",'Rooms and Staff'!$B$8,0)))))))),"")</f>
        <v/>
      </c>
      <c r="V64" s="26">
        <f>IFERROR(IF(OR(N64="",O64=""),"",(O64-N64)*1440),"")</f>
        <v/>
      </c>
      <c r="W64" s="26">
        <f>IFERROR(IF(OR(V64="",U64=""),"",V64-U64),"")</f>
        <v/>
      </c>
      <c r="X64" s="27">
        <f>IFERROR(IF(OR(H64="",U64=""),"",(U64/60)*INDEX('Rooms and Staff'!$P$16:$P$115,MATCH(H64,'Rooms and Staff'!$J$16:$J$115,0))),"")</f>
        <v/>
      </c>
      <c r="Y64" s="27">
        <f>IFERROR(IF(OR(H64="",V64=""),"",(V64/60)*INDEX('Rooms and Staff'!$P$16:$P$115,MATCH(H64,'Rooms and Staff'!$J$16:$J$115,0))),"")</f>
        <v/>
      </c>
      <c r="Z64" s="24">
        <f>IFERROR(IF(A64="","",IF(F64="Canceled","Canceled",IF(P64="DND","On Hold",IF(O64&lt;&gt;"","Completed",IF(N64&lt;&gt;"","In Progress","Not Started"))))),"")</f>
        <v/>
      </c>
      <c r="AA64" s="24">
        <f>IFERROR(IF(A64="","",IF(Z64&lt;&gt;"Completed","No",IF(Q64="Yes",IF(S64="Passed","Yes","No"),"Yes"))),"")</f>
        <v/>
      </c>
      <c r="AB64" s="24">
        <f>IFERROR(IF(AA64&lt;&gt;"Yes","",IF(K64="","Yes",IF(T64&lt;&gt;"",IF(T64&lt;=K64-'Rooms and Staff'!$B$11/1440,"Yes","No"),"No"))),"")</f>
        <v/>
      </c>
      <c r="AC64" s="23" t="n"/>
      <c r="AD64" s="23" t="n"/>
      <c r="AE64" s="24">
        <f>IFERROR(IF(A64="","",IF(C64="Room not found","Room not found",IF(COUNTIFS($A$2:$A$101,A64,$B$2:$B$101,B64)&gt;1,"Duplicate room assignment",IF(H64="","Attendant not assigned",IF(AND(N64&lt;&gt;"",O64&lt;&gt;"",O64&lt;N64),"Actual finish is before start",IF(AND(L64&lt;&gt;"",M64&lt;&gt;"",M64&lt;L64),"Planned finish is before start",IF(AND(P64="DND",O64&lt;&gt;""),"DND room marked completed",IF(AND(Q64="Yes",Z64="Completed",S64=""),"Inspection result missing",IF(S64="Failed","Inspection failed",IF(AND(K64&lt;&gt;"",J64&lt;&gt;"",K64&lt;J64),"Arrival is before check-out","OK")))))))))),"Review row")</f>
        <v/>
      </c>
      <c r="AH64">
        <f>IFERROR(IF(AND($A64='Dashboard'!$B$3,$AE64&lt;&gt;"OK",$AE64&lt;&gt;""),COUNTIFS($A$2:A64,'Dashboard'!$B$3,$AE$2:AE64,"&lt;&gt;OK",$AE$2:AE64,"&lt;&gt;"),""),"")</f>
        <v/>
      </c>
    </row>
    <row r="65">
      <c r="A65" s="28">
        <f>IFERROR(IF(B65="","",'Dashboard'!$B$3),"")</f>
        <v/>
      </c>
      <c r="B65" s="23" t="n"/>
      <c r="C65" s="29">
        <f>IFERROR(IF(B65="","",IFERROR(INDEX('Rooms and Staff'!$B$16:$B$115,MATCH(B65,'Rooms and Staff'!$A$16:$A$115,0)),"Room not found")),"")</f>
        <v/>
      </c>
      <c r="D65" s="29">
        <f>IFERROR(IF(B65="","",IFERROR(INDEX('Rooms and Staff'!$C$16:$C$115,MATCH(B65,'Rooms and Staff'!$A$16:$A$115,0)),"")),"")</f>
        <v/>
      </c>
      <c r="E65" s="23" t="n"/>
      <c r="F65" s="23" t="n"/>
      <c r="G65" s="23" t="n"/>
      <c r="H65" s="23" t="n"/>
      <c r="I65" s="23" t="n"/>
      <c r="J65" s="25" t="n"/>
      <c r="K65" s="25" t="n"/>
      <c r="L65" s="25" t="n"/>
      <c r="M65" s="25" t="n"/>
      <c r="N65" s="25" t="n"/>
      <c r="O65" s="25" t="n"/>
      <c r="P65" s="23" t="n"/>
      <c r="Q65" s="23" t="n"/>
      <c r="R65" s="23" t="n"/>
      <c r="S65" s="23" t="n"/>
      <c r="T65" s="25" t="n"/>
      <c r="U65" s="30">
        <f>IFERROR(IF(A65="","",IF(F65="Canceled",0,IF(F65="","",IF(F65="Checkout",'Rooms and Staff'!$B$4,IF(F65="Stayover",'Rooms and Staff'!$B$5,IF(F65="Deep Clean",'Rooms and Staff'!$B$6,IF(F65="Touch-Up",'Rooms and Staff'!$B$7,IF(F65="Public Area",'Rooms and Staff'!$B$8,0)))))))),"")</f>
        <v/>
      </c>
      <c r="V65" s="30">
        <f>IFERROR(IF(OR(N65="",O65=""),"",(O65-N65)*1440),"")</f>
        <v/>
      </c>
      <c r="W65" s="30">
        <f>IFERROR(IF(OR(V65="",U65=""),"",V65-U65),"")</f>
        <v/>
      </c>
      <c r="X65" s="31">
        <f>IFERROR(IF(OR(H65="",U65=""),"",(U65/60)*INDEX('Rooms and Staff'!$P$16:$P$115,MATCH(H65,'Rooms and Staff'!$J$16:$J$115,0))),"")</f>
        <v/>
      </c>
      <c r="Y65" s="31">
        <f>IFERROR(IF(OR(H65="",V65=""),"",(V65/60)*INDEX('Rooms and Staff'!$P$16:$P$115,MATCH(H65,'Rooms and Staff'!$J$16:$J$115,0))),"")</f>
        <v/>
      </c>
      <c r="Z65" s="29">
        <f>IFERROR(IF(A65="","",IF(F65="Canceled","Canceled",IF(P65="DND","On Hold",IF(O65&lt;&gt;"","Completed",IF(N65&lt;&gt;"","In Progress","Not Started"))))),"")</f>
        <v/>
      </c>
      <c r="AA65" s="29">
        <f>IFERROR(IF(A65="","",IF(Z65&lt;&gt;"Completed","No",IF(Q65="Yes",IF(S65="Passed","Yes","No"),"Yes"))),"")</f>
        <v/>
      </c>
      <c r="AB65" s="29">
        <f>IFERROR(IF(AA65&lt;&gt;"Yes","",IF(K65="","Yes",IF(T65&lt;&gt;"",IF(T65&lt;=K65-'Rooms and Staff'!$B$11/1440,"Yes","No"),"No"))),"")</f>
        <v/>
      </c>
      <c r="AC65" s="23" t="n"/>
      <c r="AD65" s="23" t="n"/>
      <c r="AE65" s="29">
        <f>IFERROR(IF(A65="","",IF(C65="Room not found","Room not found",IF(COUNTIFS($A$2:$A$101,A65,$B$2:$B$101,B65)&gt;1,"Duplicate room assignment",IF(H65="","Attendant not assigned",IF(AND(N65&lt;&gt;"",O65&lt;&gt;"",O65&lt;N65),"Actual finish is before start",IF(AND(L65&lt;&gt;"",M65&lt;&gt;"",M65&lt;L65),"Planned finish is before start",IF(AND(P65="DND",O65&lt;&gt;""),"DND room marked completed",IF(AND(Q65="Yes",Z65="Completed",S65=""),"Inspection result missing",IF(S65="Failed","Inspection failed",IF(AND(K65&lt;&gt;"",J65&lt;&gt;"",K65&lt;J65),"Arrival is before check-out","OK")))))))))),"Review row")</f>
        <v/>
      </c>
      <c r="AH65">
        <f>IFERROR(IF(AND($A65='Dashboard'!$B$3,$AE65&lt;&gt;"OK",$AE65&lt;&gt;""),COUNTIFS($A$2:A65,'Dashboard'!$B$3,$AE$2:AE65,"&lt;&gt;OK",$AE$2:AE65,"&lt;&gt;"),""),"")</f>
        <v/>
      </c>
    </row>
    <row r="66">
      <c r="A66" s="22">
        <f>IFERROR(IF(B66="","",'Dashboard'!$B$3),"")</f>
        <v/>
      </c>
      <c r="B66" s="23" t="n"/>
      <c r="C66" s="24">
        <f>IFERROR(IF(B66="","",IFERROR(INDEX('Rooms and Staff'!$B$16:$B$115,MATCH(B66,'Rooms and Staff'!$A$16:$A$115,0)),"Room not found")),"")</f>
        <v/>
      </c>
      <c r="D66" s="24">
        <f>IFERROR(IF(B66="","",IFERROR(INDEX('Rooms and Staff'!$C$16:$C$115,MATCH(B66,'Rooms and Staff'!$A$16:$A$115,0)),"")),"")</f>
        <v/>
      </c>
      <c r="E66" s="23" t="n"/>
      <c r="F66" s="23" t="n"/>
      <c r="G66" s="23" t="n"/>
      <c r="H66" s="23" t="n"/>
      <c r="I66" s="23" t="n"/>
      <c r="J66" s="25" t="n"/>
      <c r="K66" s="25" t="n"/>
      <c r="L66" s="25" t="n"/>
      <c r="M66" s="25" t="n"/>
      <c r="N66" s="25" t="n"/>
      <c r="O66" s="25" t="n"/>
      <c r="P66" s="23" t="n"/>
      <c r="Q66" s="23" t="n"/>
      <c r="R66" s="23" t="n"/>
      <c r="S66" s="23" t="n"/>
      <c r="T66" s="25" t="n"/>
      <c r="U66" s="26">
        <f>IFERROR(IF(A66="","",IF(F66="Canceled",0,IF(F66="","",IF(F66="Checkout",'Rooms and Staff'!$B$4,IF(F66="Stayover",'Rooms and Staff'!$B$5,IF(F66="Deep Clean",'Rooms and Staff'!$B$6,IF(F66="Touch-Up",'Rooms and Staff'!$B$7,IF(F66="Public Area",'Rooms and Staff'!$B$8,0)))))))),"")</f>
        <v/>
      </c>
      <c r="V66" s="26">
        <f>IFERROR(IF(OR(N66="",O66=""),"",(O66-N66)*1440),"")</f>
        <v/>
      </c>
      <c r="W66" s="26">
        <f>IFERROR(IF(OR(V66="",U66=""),"",V66-U66),"")</f>
        <v/>
      </c>
      <c r="X66" s="27">
        <f>IFERROR(IF(OR(H66="",U66=""),"",(U66/60)*INDEX('Rooms and Staff'!$P$16:$P$115,MATCH(H66,'Rooms and Staff'!$J$16:$J$115,0))),"")</f>
        <v/>
      </c>
      <c r="Y66" s="27">
        <f>IFERROR(IF(OR(H66="",V66=""),"",(V66/60)*INDEX('Rooms and Staff'!$P$16:$P$115,MATCH(H66,'Rooms and Staff'!$J$16:$J$115,0))),"")</f>
        <v/>
      </c>
      <c r="Z66" s="24">
        <f>IFERROR(IF(A66="","",IF(F66="Canceled","Canceled",IF(P66="DND","On Hold",IF(O66&lt;&gt;"","Completed",IF(N66&lt;&gt;"","In Progress","Not Started"))))),"")</f>
        <v/>
      </c>
      <c r="AA66" s="24">
        <f>IFERROR(IF(A66="","",IF(Z66&lt;&gt;"Completed","No",IF(Q66="Yes",IF(S66="Passed","Yes","No"),"Yes"))),"")</f>
        <v/>
      </c>
      <c r="AB66" s="24">
        <f>IFERROR(IF(AA66&lt;&gt;"Yes","",IF(K66="","Yes",IF(T66&lt;&gt;"",IF(T66&lt;=K66-'Rooms and Staff'!$B$11/1440,"Yes","No"),"No"))),"")</f>
        <v/>
      </c>
      <c r="AC66" s="23" t="n"/>
      <c r="AD66" s="23" t="n"/>
      <c r="AE66" s="24">
        <f>IFERROR(IF(A66="","",IF(C66="Room not found","Room not found",IF(COUNTIFS($A$2:$A$101,A66,$B$2:$B$101,B66)&gt;1,"Duplicate room assignment",IF(H66="","Attendant not assigned",IF(AND(N66&lt;&gt;"",O66&lt;&gt;"",O66&lt;N66),"Actual finish is before start",IF(AND(L66&lt;&gt;"",M66&lt;&gt;"",M66&lt;L66),"Planned finish is before start",IF(AND(P66="DND",O66&lt;&gt;""),"DND room marked completed",IF(AND(Q66="Yes",Z66="Completed",S66=""),"Inspection result missing",IF(S66="Failed","Inspection failed",IF(AND(K66&lt;&gt;"",J66&lt;&gt;"",K66&lt;J66),"Arrival is before check-out","OK")))))))))),"Review row")</f>
        <v/>
      </c>
      <c r="AH66">
        <f>IFERROR(IF(AND($A66='Dashboard'!$B$3,$AE66&lt;&gt;"OK",$AE66&lt;&gt;""),COUNTIFS($A$2:A66,'Dashboard'!$B$3,$AE$2:AE66,"&lt;&gt;OK",$AE$2:AE66,"&lt;&gt;"),""),"")</f>
        <v/>
      </c>
    </row>
    <row r="67">
      <c r="A67" s="28">
        <f>IFERROR(IF(B67="","",'Dashboard'!$B$3),"")</f>
        <v/>
      </c>
      <c r="B67" s="23" t="n"/>
      <c r="C67" s="29">
        <f>IFERROR(IF(B67="","",IFERROR(INDEX('Rooms and Staff'!$B$16:$B$115,MATCH(B67,'Rooms and Staff'!$A$16:$A$115,0)),"Room not found")),"")</f>
        <v/>
      </c>
      <c r="D67" s="29">
        <f>IFERROR(IF(B67="","",IFERROR(INDEX('Rooms and Staff'!$C$16:$C$115,MATCH(B67,'Rooms and Staff'!$A$16:$A$115,0)),"")),"")</f>
        <v/>
      </c>
      <c r="E67" s="23" t="n"/>
      <c r="F67" s="23" t="n"/>
      <c r="G67" s="23" t="n"/>
      <c r="H67" s="23" t="n"/>
      <c r="I67" s="23" t="n"/>
      <c r="J67" s="25" t="n"/>
      <c r="K67" s="25" t="n"/>
      <c r="L67" s="25" t="n"/>
      <c r="M67" s="25" t="n"/>
      <c r="N67" s="25" t="n"/>
      <c r="O67" s="25" t="n"/>
      <c r="P67" s="23" t="n"/>
      <c r="Q67" s="23" t="n"/>
      <c r="R67" s="23" t="n"/>
      <c r="S67" s="23" t="n"/>
      <c r="T67" s="25" t="n"/>
      <c r="U67" s="30">
        <f>IFERROR(IF(A67="","",IF(F67="Canceled",0,IF(F67="","",IF(F67="Checkout",'Rooms and Staff'!$B$4,IF(F67="Stayover",'Rooms and Staff'!$B$5,IF(F67="Deep Clean",'Rooms and Staff'!$B$6,IF(F67="Touch-Up",'Rooms and Staff'!$B$7,IF(F67="Public Area",'Rooms and Staff'!$B$8,0)))))))),"")</f>
        <v/>
      </c>
      <c r="V67" s="30">
        <f>IFERROR(IF(OR(N67="",O67=""),"",(O67-N67)*1440),"")</f>
        <v/>
      </c>
      <c r="W67" s="30">
        <f>IFERROR(IF(OR(V67="",U67=""),"",V67-U67),"")</f>
        <v/>
      </c>
      <c r="X67" s="31">
        <f>IFERROR(IF(OR(H67="",U67=""),"",(U67/60)*INDEX('Rooms and Staff'!$P$16:$P$115,MATCH(H67,'Rooms and Staff'!$J$16:$J$115,0))),"")</f>
        <v/>
      </c>
      <c r="Y67" s="31">
        <f>IFERROR(IF(OR(H67="",V67=""),"",(V67/60)*INDEX('Rooms and Staff'!$P$16:$P$115,MATCH(H67,'Rooms and Staff'!$J$16:$J$115,0))),"")</f>
        <v/>
      </c>
      <c r="Z67" s="29">
        <f>IFERROR(IF(A67="","",IF(F67="Canceled","Canceled",IF(P67="DND","On Hold",IF(O67&lt;&gt;"","Completed",IF(N67&lt;&gt;"","In Progress","Not Started"))))),"")</f>
        <v/>
      </c>
      <c r="AA67" s="29">
        <f>IFERROR(IF(A67="","",IF(Z67&lt;&gt;"Completed","No",IF(Q67="Yes",IF(S67="Passed","Yes","No"),"Yes"))),"")</f>
        <v/>
      </c>
      <c r="AB67" s="29">
        <f>IFERROR(IF(AA67&lt;&gt;"Yes","",IF(K67="","Yes",IF(T67&lt;&gt;"",IF(T67&lt;=K67-'Rooms and Staff'!$B$11/1440,"Yes","No"),"No"))),"")</f>
        <v/>
      </c>
      <c r="AC67" s="23" t="n"/>
      <c r="AD67" s="23" t="n"/>
      <c r="AE67" s="29">
        <f>IFERROR(IF(A67="","",IF(C67="Room not found","Room not found",IF(COUNTIFS($A$2:$A$101,A67,$B$2:$B$101,B67)&gt;1,"Duplicate room assignment",IF(H67="","Attendant not assigned",IF(AND(N67&lt;&gt;"",O67&lt;&gt;"",O67&lt;N67),"Actual finish is before start",IF(AND(L67&lt;&gt;"",M67&lt;&gt;"",M67&lt;L67),"Planned finish is before start",IF(AND(P67="DND",O67&lt;&gt;""),"DND room marked completed",IF(AND(Q67="Yes",Z67="Completed",S67=""),"Inspection result missing",IF(S67="Failed","Inspection failed",IF(AND(K67&lt;&gt;"",J67&lt;&gt;"",K67&lt;J67),"Arrival is before check-out","OK")))))))))),"Review row")</f>
        <v/>
      </c>
      <c r="AH67">
        <f>IFERROR(IF(AND($A67='Dashboard'!$B$3,$AE67&lt;&gt;"OK",$AE67&lt;&gt;""),COUNTIFS($A$2:A67,'Dashboard'!$B$3,$AE$2:AE67,"&lt;&gt;OK",$AE$2:AE67,"&lt;&gt;"),""),"")</f>
        <v/>
      </c>
    </row>
    <row r="68">
      <c r="A68" s="22">
        <f>IFERROR(IF(B68="","",'Dashboard'!$B$3),"")</f>
        <v/>
      </c>
      <c r="B68" s="23" t="n"/>
      <c r="C68" s="24">
        <f>IFERROR(IF(B68="","",IFERROR(INDEX('Rooms and Staff'!$B$16:$B$115,MATCH(B68,'Rooms and Staff'!$A$16:$A$115,0)),"Room not found")),"")</f>
        <v/>
      </c>
      <c r="D68" s="24">
        <f>IFERROR(IF(B68="","",IFERROR(INDEX('Rooms and Staff'!$C$16:$C$115,MATCH(B68,'Rooms and Staff'!$A$16:$A$115,0)),"")),"")</f>
        <v/>
      </c>
      <c r="E68" s="23" t="n"/>
      <c r="F68" s="23" t="n"/>
      <c r="G68" s="23" t="n"/>
      <c r="H68" s="23" t="n"/>
      <c r="I68" s="23" t="n"/>
      <c r="J68" s="25" t="n"/>
      <c r="K68" s="25" t="n"/>
      <c r="L68" s="25" t="n"/>
      <c r="M68" s="25" t="n"/>
      <c r="N68" s="25" t="n"/>
      <c r="O68" s="25" t="n"/>
      <c r="P68" s="23" t="n"/>
      <c r="Q68" s="23" t="n"/>
      <c r="R68" s="23" t="n"/>
      <c r="S68" s="23" t="n"/>
      <c r="T68" s="25" t="n"/>
      <c r="U68" s="26">
        <f>IFERROR(IF(A68="","",IF(F68="Canceled",0,IF(F68="","",IF(F68="Checkout",'Rooms and Staff'!$B$4,IF(F68="Stayover",'Rooms and Staff'!$B$5,IF(F68="Deep Clean",'Rooms and Staff'!$B$6,IF(F68="Touch-Up",'Rooms and Staff'!$B$7,IF(F68="Public Area",'Rooms and Staff'!$B$8,0)))))))),"")</f>
        <v/>
      </c>
      <c r="V68" s="26">
        <f>IFERROR(IF(OR(N68="",O68=""),"",(O68-N68)*1440),"")</f>
        <v/>
      </c>
      <c r="W68" s="26">
        <f>IFERROR(IF(OR(V68="",U68=""),"",V68-U68),"")</f>
        <v/>
      </c>
      <c r="X68" s="27">
        <f>IFERROR(IF(OR(H68="",U68=""),"",(U68/60)*INDEX('Rooms and Staff'!$P$16:$P$115,MATCH(H68,'Rooms and Staff'!$J$16:$J$115,0))),"")</f>
        <v/>
      </c>
      <c r="Y68" s="27">
        <f>IFERROR(IF(OR(H68="",V68=""),"",(V68/60)*INDEX('Rooms and Staff'!$P$16:$P$115,MATCH(H68,'Rooms and Staff'!$J$16:$J$115,0))),"")</f>
        <v/>
      </c>
      <c r="Z68" s="24">
        <f>IFERROR(IF(A68="","",IF(F68="Canceled","Canceled",IF(P68="DND","On Hold",IF(O68&lt;&gt;"","Completed",IF(N68&lt;&gt;"","In Progress","Not Started"))))),"")</f>
        <v/>
      </c>
      <c r="AA68" s="24">
        <f>IFERROR(IF(A68="","",IF(Z68&lt;&gt;"Completed","No",IF(Q68="Yes",IF(S68="Passed","Yes","No"),"Yes"))),"")</f>
        <v/>
      </c>
      <c r="AB68" s="24">
        <f>IFERROR(IF(AA68&lt;&gt;"Yes","",IF(K68="","Yes",IF(T68&lt;&gt;"",IF(T68&lt;=K68-'Rooms and Staff'!$B$11/1440,"Yes","No"),"No"))),"")</f>
        <v/>
      </c>
      <c r="AC68" s="23" t="n"/>
      <c r="AD68" s="23" t="n"/>
      <c r="AE68" s="24">
        <f>IFERROR(IF(A68="","",IF(C68="Room not found","Room not found",IF(COUNTIFS($A$2:$A$101,A68,$B$2:$B$101,B68)&gt;1,"Duplicate room assignment",IF(H68="","Attendant not assigned",IF(AND(N68&lt;&gt;"",O68&lt;&gt;"",O68&lt;N68),"Actual finish is before start",IF(AND(L68&lt;&gt;"",M68&lt;&gt;"",M68&lt;L68),"Planned finish is before start",IF(AND(P68="DND",O68&lt;&gt;""),"DND room marked completed",IF(AND(Q68="Yes",Z68="Completed",S68=""),"Inspection result missing",IF(S68="Failed","Inspection failed",IF(AND(K68&lt;&gt;"",J68&lt;&gt;"",K68&lt;J68),"Arrival is before check-out","OK")))))))))),"Review row")</f>
        <v/>
      </c>
      <c r="AH68">
        <f>IFERROR(IF(AND($A68='Dashboard'!$B$3,$AE68&lt;&gt;"OK",$AE68&lt;&gt;""),COUNTIFS($A$2:A68,'Dashboard'!$B$3,$AE$2:AE68,"&lt;&gt;OK",$AE$2:AE68,"&lt;&gt;"),""),"")</f>
        <v/>
      </c>
    </row>
    <row r="69">
      <c r="A69" s="28">
        <f>IFERROR(IF(B69="","",'Dashboard'!$B$3),"")</f>
        <v/>
      </c>
      <c r="B69" s="23" t="n"/>
      <c r="C69" s="29">
        <f>IFERROR(IF(B69="","",IFERROR(INDEX('Rooms and Staff'!$B$16:$B$115,MATCH(B69,'Rooms and Staff'!$A$16:$A$115,0)),"Room not found")),"")</f>
        <v/>
      </c>
      <c r="D69" s="29">
        <f>IFERROR(IF(B69="","",IFERROR(INDEX('Rooms and Staff'!$C$16:$C$115,MATCH(B69,'Rooms and Staff'!$A$16:$A$115,0)),"")),"")</f>
        <v/>
      </c>
      <c r="E69" s="23" t="n"/>
      <c r="F69" s="23" t="n"/>
      <c r="G69" s="23" t="n"/>
      <c r="H69" s="23" t="n"/>
      <c r="I69" s="23" t="n"/>
      <c r="J69" s="25" t="n"/>
      <c r="K69" s="25" t="n"/>
      <c r="L69" s="25" t="n"/>
      <c r="M69" s="25" t="n"/>
      <c r="N69" s="25" t="n"/>
      <c r="O69" s="25" t="n"/>
      <c r="P69" s="23" t="n"/>
      <c r="Q69" s="23" t="n"/>
      <c r="R69" s="23" t="n"/>
      <c r="S69" s="23" t="n"/>
      <c r="T69" s="25" t="n"/>
      <c r="U69" s="30">
        <f>IFERROR(IF(A69="","",IF(F69="Canceled",0,IF(F69="","",IF(F69="Checkout",'Rooms and Staff'!$B$4,IF(F69="Stayover",'Rooms and Staff'!$B$5,IF(F69="Deep Clean",'Rooms and Staff'!$B$6,IF(F69="Touch-Up",'Rooms and Staff'!$B$7,IF(F69="Public Area",'Rooms and Staff'!$B$8,0)))))))),"")</f>
        <v/>
      </c>
      <c r="V69" s="30">
        <f>IFERROR(IF(OR(N69="",O69=""),"",(O69-N69)*1440),"")</f>
        <v/>
      </c>
      <c r="W69" s="30">
        <f>IFERROR(IF(OR(V69="",U69=""),"",V69-U69),"")</f>
        <v/>
      </c>
      <c r="X69" s="31">
        <f>IFERROR(IF(OR(H69="",U69=""),"",(U69/60)*INDEX('Rooms and Staff'!$P$16:$P$115,MATCH(H69,'Rooms and Staff'!$J$16:$J$115,0))),"")</f>
        <v/>
      </c>
      <c r="Y69" s="31">
        <f>IFERROR(IF(OR(H69="",V69=""),"",(V69/60)*INDEX('Rooms and Staff'!$P$16:$P$115,MATCH(H69,'Rooms and Staff'!$J$16:$J$115,0))),"")</f>
        <v/>
      </c>
      <c r="Z69" s="29">
        <f>IFERROR(IF(A69="","",IF(F69="Canceled","Canceled",IF(P69="DND","On Hold",IF(O69&lt;&gt;"","Completed",IF(N69&lt;&gt;"","In Progress","Not Started"))))),"")</f>
        <v/>
      </c>
      <c r="AA69" s="29">
        <f>IFERROR(IF(A69="","",IF(Z69&lt;&gt;"Completed","No",IF(Q69="Yes",IF(S69="Passed","Yes","No"),"Yes"))),"")</f>
        <v/>
      </c>
      <c r="AB69" s="29">
        <f>IFERROR(IF(AA69&lt;&gt;"Yes","",IF(K69="","Yes",IF(T69&lt;&gt;"",IF(T69&lt;=K69-'Rooms and Staff'!$B$11/1440,"Yes","No"),"No"))),"")</f>
        <v/>
      </c>
      <c r="AC69" s="23" t="n"/>
      <c r="AD69" s="23" t="n"/>
      <c r="AE69" s="29">
        <f>IFERROR(IF(A69="","",IF(C69="Room not found","Room not found",IF(COUNTIFS($A$2:$A$101,A69,$B$2:$B$101,B69)&gt;1,"Duplicate room assignment",IF(H69="","Attendant not assigned",IF(AND(N69&lt;&gt;"",O69&lt;&gt;"",O69&lt;N69),"Actual finish is before start",IF(AND(L69&lt;&gt;"",M69&lt;&gt;"",M69&lt;L69),"Planned finish is before start",IF(AND(P69="DND",O69&lt;&gt;""),"DND room marked completed",IF(AND(Q69="Yes",Z69="Completed",S69=""),"Inspection result missing",IF(S69="Failed","Inspection failed",IF(AND(K69&lt;&gt;"",J69&lt;&gt;"",K69&lt;J69),"Arrival is before check-out","OK")))))))))),"Review row")</f>
        <v/>
      </c>
      <c r="AH69">
        <f>IFERROR(IF(AND($A69='Dashboard'!$B$3,$AE69&lt;&gt;"OK",$AE69&lt;&gt;""),COUNTIFS($A$2:A69,'Dashboard'!$B$3,$AE$2:AE69,"&lt;&gt;OK",$AE$2:AE69,"&lt;&gt;"),""),"")</f>
        <v/>
      </c>
    </row>
    <row r="70">
      <c r="A70" s="22">
        <f>IFERROR(IF(B70="","",'Dashboard'!$B$3),"")</f>
        <v/>
      </c>
      <c r="B70" s="23" t="n"/>
      <c r="C70" s="24">
        <f>IFERROR(IF(B70="","",IFERROR(INDEX('Rooms and Staff'!$B$16:$B$115,MATCH(B70,'Rooms and Staff'!$A$16:$A$115,0)),"Room not found")),"")</f>
        <v/>
      </c>
      <c r="D70" s="24">
        <f>IFERROR(IF(B70="","",IFERROR(INDEX('Rooms and Staff'!$C$16:$C$115,MATCH(B70,'Rooms and Staff'!$A$16:$A$115,0)),"")),"")</f>
        <v/>
      </c>
      <c r="E70" s="23" t="n"/>
      <c r="F70" s="23" t="n"/>
      <c r="G70" s="23" t="n"/>
      <c r="H70" s="23" t="n"/>
      <c r="I70" s="23" t="n"/>
      <c r="J70" s="25" t="n"/>
      <c r="K70" s="25" t="n"/>
      <c r="L70" s="25" t="n"/>
      <c r="M70" s="25" t="n"/>
      <c r="N70" s="25" t="n"/>
      <c r="O70" s="25" t="n"/>
      <c r="P70" s="23" t="n"/>
      <c r="Q70" s="23" t="n"/>
      <c r="R70" s="23" t="n"/>
      <c r="S70" s="23" t="n"/>
      <c r="T70" s="25" t="n"/>
      <c r="U70" s="26">
        <f>IFERROR(IF(A70="","",IF(F70="Canceled",0,IF(F70="","",IF(F70="Checkout",'Rooms and Staff'!$B$4,IF(F70="Stayover",'Rooms and Staff'!$B$5,IF(F70="Deep Clean",'Rooms and Staff'!$B$6,IF(F70="Touch-Up",'Rooms and Staff'!$B$7,IF(F70="Public Area",'Rooms and Staff'!$B$8,0)))))))),"")</f>
        <v/>
      </c>
      <c r="V70" s="26">
        <f>IFERROR(IF(OR(N70="",O70=""),"",(O70-N70)*1440),"")</f>
        <v/>
      </c>
      <c r="W70" s="26">
        <f>IFERROR(IF(OR(V70="",U70=""),"",V70-U70),"")</f>
        <v/>
      </c>
      <c r="X70" s="27">
        <f>IFERROR(IF(OR(H70="",U70=""),"",(U70/60)*INDEX('Rooms and Staff'!$P$16:$P$115,MATCH(H70,'Rooms and Staff'!$J$16:$J$115,0))),"")</f>
        <v/>
      </c>
      <c r="Y70" s="27">
        <f>IFERROR(IF(OR(H70="",V70=""),"",(V70/60)*INDEX('Rooms and Staff'!$P$16:$P$115,MATCH(H70,'Rooms and Staff'!$J$16:$J$115,0))),"")</f>
        <v/>
      </c>
      <c r="Z70" s="24">
        <f>IFERROR(IF(A70="","",IF(F70="Canceled","Canceled",IF(P70="DND","On Hold",IF(O70&lt;&gt;"","Completed",IF(N70&lt;&gt;"","In Progress","Not Started"))))),"")</f>
        <v/>
      </c>
      <c r="AA70" s="24">
        <f>IFERROR(IF(A70="","",IF(Z70&lt;&gt;"Completed","No",IF(Q70="Yes",IF(S70="Passed","Yes","No"),"Yes"))),"")</f>
        <v/>
      </c>
      <c r="AB70" s="24">
        <f>IFERROR(IF(AA70&lt;&gt;"Yes","",IF(K70="","Yes",IF(T70&lt;&gt;"",IF(T70&lt;=K70-'Rooms and Staff'!$B$11/1440,"Yes","No"),"No"))),"")</f>
        <v/>
      </c>
      <c r="AC70" s="23" t="n"/>
      <c r="AD70" s="23" t="n"/>
      <c r="AE70" s="24">
        <f>IFERROR(IF(A70="","",IF(C70="Room not found","Room not found",IF(COUNTIFS($A$2:$A$101,A70,$B$2:$B$101,B70)&gt;1,"Duplicate room assignment",IF(H70="","Attendant not assigned",IF(AND(N70&lt;&gt;"",O70&lt;&gt;"",O70&lt;N70),"Actual finish is before start",IF(AND(L70&lt;&gt;"",M70&lt;&gt;"",M70&lt;L70),"Planned finish is before start",IF(AND(P70="DND",O70&lt;&gt;""),"DND room marked completed",IF(AND(Q70="Yes",Z70="Completed",S70=""),"Inspection result missing",IF(S70="Failed","Inspection failed",IF(AND(K70&lt;&gt;"",J70&lt;&gt;"",K70&lt;J70),"Arrival is before check-out","OK")))))))))),"Review row")</f>
        <v/>
      </c>
      <c r="AH70">
        <f>IFERROR(IF(AND($A70='Dashboard'!$B$3,$AE70&lt;&gt;"OK",$AE70&lt;&gt;""),COUNTIFS($A$2:A70,'Dashboard'!$B$3,$AE$2:AE70,"&lt;&gt;OK",$AE$2:AE70,"&lt;&gt;"),""),"")</f>
        <v/>
      </c>
    </row>
    <row r="71">
      <c r="A71" s="28">
        <f>IFERROR(IF(B71="","",'Dashboard'!$B$3),"")</f>
        <v/>
      </c>
      <c r="B71" s="23" t="n"/>
      <c r="C71" s="29">
        <f>IFERROR(IF(B71="","",IFERROR(INDEX('Rooms and Staff'!$B$16:$B$115,MATCH(B71,'Rooms and Staff'!$A$16:$A$115,0)),"Room not found")),"")</f>
        <v/>
      </c>
      <c r="D71" s="29">
        <f>IFERROR(IF(B71="","",IFERROR(INDEX('Rooms and Staff'!$C$16:$C$115,MATCH(B71,'Rooms and Staff'!$A$16:$A$115,0)),"")),"")</f>
        <v/>
      </c>
      <c r="E71" s="23" t="n"/>
      <c r="F71" s="23" t="n"/>
      <c r="G71" s="23" t="n"/>
      <c r="H71" s="23" t="n"/>
      <c r="I71" s="23" t="n"/>
      <c r="J71" s="25" t="n"/>
      <c r="K71" s="25" t="n"/>
      <c r="L71" s="25" t="n"/>
      <c r="M71" s="25" t="n"/>
      <c r="N71" s="25" t="n"/>
      <c r="O71" s="25" t="n"/>
      <c r="P71" s="23" t="n"/>
      <c r="Q71" s="23" t="n"/>
      <c r="R71" s="23" t="n"/>
      <c r="S71" s="23" t="n"/>
      <c r="T71" s="25" t="n"/>
      <c r="U71" s="30">
        <f>IFERROR(IF(A71="","",IF(F71="Canceled",0,IF(F71="","",IF(F71="Checkout",'Rooms and Staff'!$B$4,IF(F71="Stayover",'Rooms and Staff'!$B$5,IF(F71="Deep Clean",'Rooms and Staff'!$B$6,IF(F71="Touch-Up",'Rooms and Staff'!$B$7,IF(F71="Public Area",'Rooms and Staff'!$B$8,0)))))))),"")</f>
        <v/>
      </c>
      <c r="V71" s="30">
        <f>IFERROR(IF(OR(N71="",O71=""),"",(O71-N71)*1440),"")</f>
        <v/>
      </c>
      <c r="W71" s="30">
        <f>IFERROR(IF(OR(V71="",U71=""),"",V71-U71),"")</f>
        <v/>
      </c>
      <c r="X71" s="31">
        <f>IFERROR(IF(OR(H71="",U71=""),"",(U71/60)*INDEX('Rooms and Staff'!$P$16:$P$115,MATCH(H71,'Rooms and Staff'!$J$16:$J$115,0))),"")</f>
        <v/>
      </c>
      <c r="Y71" s="31">
        <f>IFERROR(IF(OR(H71="",V71=""),"",(V71/60)*INDEX('Rooms and Staff'!$P$16:$P$115,MATCH(H71,'Rooms and Staff'!$J$16:$J$115,0))),"")</f>
        <v/>
      </c>
      <c r="Z71" s="29">
        <f>IFERROR(IF(A71="","",IF(F71="Canceled","Canceled",IF(P71="DND","On Hold",IF(O71&lt;&gt;"","Completed",IF(N71&lt;&gt;"","In Progress","Not Started"))))),"")</f>
        <v/>
      </c>
      <c r="AA71" s="29">
        <f>IFERROR(IF(A71="","",IF(Z71&lt;&gt;"Completed","No",IF(Q71="Yes",IF(S71="Passed","Yes","No"),"Yes"))),"")</f>
        <v/>
      </c>
      <c r="AB71" s="29">
        <f>IFERROR(IF(AA71&lt;&gt;"Yes","",IF(K71="","Yes",IF(T71&lt;&gt;"",IF(T71&lt;=K71-'Rooms and Staff'!$B$11/1440,"Yes","No"),"No"))),"")</f>
        <v/>
      </c>
      <c r="AC71" s="23" t="n"/>
      <c r="AD71" s="23" t="n"/>
      <c r="AE71" s="29">
        <f>IFERROR(IF(A71="","",IF(C71="Room not found","Room not found",IF(COUNTIFS($A$2:$A$101,A71,$B$2:$B$101,B71)&gt;1,"Duplicate room assignment",IF(H71="","Attendant not assigned",IF(AND(N71&lt;&gt;"",O71&lt;&gt;"",O71&lt;N71),"Actual finish is before start",IF(AND(L71&lt;&gt;"",M71&lt;&gt;"",M71&lt;L71),"Planned finish is before start",IF(AND(P71="DND",O71&lt;&gt;""),"DND room marked completed",IF(AND(Q71="Yes",Z71="Completed",S71=""),"Inspection result missing",IF(S71="Failed","Inspection failed",IF(AND(K71&lt;&gt;"",J71&lt;&gt;"",K71&lt;J71),"Arrival is before check-out","OK")))))))))),"Review row")</f>
        <v/>
      </c>
      <c r="AH71">
        <f>IFERROR(IF(AND($A71='Dashboard'!$B$3,$AE71&lt;&gt;"OK",$AE71&lt;&gt;""),COUNTIFS($A$2:A71,'Dashboard'!$B$3,$AE$2:AE71,"&lt;&gt;OK",$AE$2:AE71,"&lt;&gt;"),""),"")</f>
        <v/>
      </c>
    </row>
    <row r="72">
      <c r="A72" s="22">
        <f>IFERROR(IF(B72="","",'Dashboard'!$B$3),"")</f>
        <v/>
      </c>
      <c r="B72" s="23" t="n"/>
      <c r="C72" s="24">
        <f>IFERROR(IF(B72="","",IFERROR(INDEX('Rooms and Staff'!$B$16:$B$115,MATCH(B72,'Rooms and Staff'!$A$16:$A$115,0)),"Room not found")),"")</f>
        <v/>
      </c>
      <c r="D72" s="24">
        <f>IFERROR(IF(B72="","",IFERROR(INDEX('Rooms and Staff'!$C$16:$C$115,MATCH(B72,'Rooms and Staff'!$A$16:$A$115,0)),"")),"")</f>
        <v/>
      </c>
      <c r="E72" s="23" t="n"/>
      <c r="F72" s="23" t="n"/>
      <c r="G72" s="23" t="n"/>
      <c r="H72" s="23" t="n"/>
      <c r="I72" s="23" t="n"/>
      <c r="J72" s="25" t="n"/>
      <c r="K72" s="25" t="n"/>
      <c r="L72" s="25" t="n"/>
      <c r="M72" s="25" t="n"/>
      <c r="N72" s="25" t="n"/>
      <c r="O72" s="25" t="n"/>
      <c r="P72" s="23" t="n"/>
      <c r="Q72" s="23" t="n"/>
      <c r="R72" s="23" t="n"/>
      <c r="S72" s="23" t="n"/>
      <c r="T72" s="25" t="n"/>
      <c r="U72" s="26">
        <f>IFERROR(IF(A72="","",IF(F72="Canceled",0,IF(F72="","",IF(F72="Checkout",'Rooms and Staff'!$B$4,IF(F72="Stayover",'Rooms and Staff'!$B$5,IF(F72="Deep Clean",'Rooms and Staff'!$B$6,IF(F72="Touch-Up",'Rooms and Staff'!$B$7,IF(F72="Public Area",'Rooms and Staff'!$B$8,0)))))))),"")</f>
        <v/>
      </c>
      <c r="V72" s="26">
        <f>IFERROR(IF(OR(N72="",O72=""),"",(O72-N72)*1440),"")</f>
        <v/>
      </c>
      <c r="W72" s="26">
        <f>IFERROR(IF(OR(V72="",U72=""),"",V72-U72),"")</f>
        <v/>
      </c>
      <c r="X72" s="27">
        <f>IFERROR(IF(OR(H72="",U72=""),"",(U72/60)*INDEX('Rooms and Staff'!$P$16:$P$115,MATCH(H72,'Rooms and Staff'!$J$16:$J$115,0))),"")</f>
        <v/>
      </c>
      <c r="Y72" s="27">
        <f>IFERROR(IF(OR(H72="",V72=""),"",(V72/60)*INDEX('Rooms and Staff'!$P$16:$P$115,MATCH(H72,'Rooms and Staff'!$J$16:$J$115,0))),"")</f>
        <v/>
      </c>
      <c r="Z72" s="24">
        <f>IFERROR(IF(A72="","",IF(F72="Canceled","Canceled",IF(P72="DND","On Hold",IF(O72&lt;&gt;"","Completed",IF(N72&lt;&gt;"","In Progress","Not Started"))))),"")</f>
        <v/>
      </c>
      <c r="AA72" s="24">
        <f>IFERROR(IF(A72="","",IF(Z72&lt;&gt;"Completed","No",IF(Q72="Yes",IF(S72="Passed","Yes","No"),"Yes"))),"")</f>
        <v/>
      </c>
      <c r="AB72" s="24">
        <f>IFERROR(IF(AA72&lt;&gt;"Yes","",IF(K72="","Yes",IF(T72&lt;&gt;"",IF(T72&lt;=K72-'Rooms and Staff'!$B$11/1440,"Yes","No"),"No"))),"")</f>
        <v/>
      </c>
      <c r="AC72" s="23" t="n"/>
      <c r="AD72" s="23" t="n"/>
      <c r="AE72" s="24">
        <f>IFERROR(IF(A72="","",IF(C72="Room not found","Room not found",IF(COUNTIFS($A$2:$A$101,A72,$B$2:$B$101,B72)&gt;1,"Duplicate room assignment",IF(H72="","Attendant not assigned",IF(AND(N72&lt;&gt;"",O72&lt;&gt;"",O72&lt;N72),"Actual finish is before start",IF(AND(L72&lt;&gt;"",M72&lt;&gt;"",M72&lt;L72),"Planned finish is before start",IF(AND(P72="DND",O72&lt;&gt;""),"DND room marked completed",IF(AND(Q72="Yes",Z72="Completed",S72=""),"Inspection result missing",IF(S72="Failed","Inspection failed",IF(AND(K72&lt;&gt;"",J72&lt;&gt;"",K72&lt;J72),"Arrival is before check-out","OK")))))))))),"Review row")</f>
        <v/>
      </c>
      <c r="AH72">
        <f>IFERROR(IF(AND($A72='Dashboard'!$B$3,$AE72&lt;&gt;"OK",$AE72&lt;&gt;""),COUNTIFS($A$2:A72,'Dashboard'!$B$3,$AE$2:AE72,"&lt;&gt;OK",$AE$2:AE72,"&lt;&gt;"),""),"")</f>
        <v/>
      </c>
    </row>
    <row r="73">
      <c r="A73" s="28">
        <f>IFERROR(IF(B73="","",'Dashboard'!$B$3),"")</f>
        <v/>
      </c>
      <c r="B73" s="23" t="n"/>
      <c r="C73" s="29">
        <f>IFERROR(IF(B73="","",IFERROR(INDEX('Rooms and Staff'!$B$16:$B$115,MATCH(B73,'Rooms and Staff'!$A$16:$A$115,0)),"Room not found")),"")</f>
        <v/>
      </c>
      <c r="D73" s="29">
        <f>IFERROR(IF(B73="","",IFERROR(INDEX('Rooms and Staff'!$C$16:$C$115,MATCH(B73,'Rooms and Staff'!$A$16:$A$115,0)),"")),"")</f>
        <v/>
      </c>
      <c r="E73" s="23" t="n"/>
      <c r="F73" s="23" t="n"/>
      <c r="G73" s="23" t="n"/>
      <c r="H73" s="23" t="n"/>
      <c r="I73" s="23" t="n"/>
      <c r="J73" s="25" t="n"/>
      <c r="K73" s="25" t="n"/>
      <c r="L73" s="25" t="n"/>
      <c r="M73" s="25" t="n"/>
      <c r="N73" s="25" t="n"/>
      <c r="O73" s="25" t="n"/>
      <c r="P73" s="23" t="n"/>
      <c r="Q73" s="23" t="n"/>
      <c r="R73" s="23" t="n"/>
      <c r="S73" s="23" t="n"/>
      <c r="T73" s="25" t="n"/>
      <c r="U73" s="30">
        <f>IFERROR(IF(A73="","",IF(F73="Canceled",0,IF(F73="","",IF(F73="Checkout",'Rooms and Staff'!$B$4,IF(F73="Stayover",'Rooms and Staff'!$B$5,IF(F73="Deep Clean",'Rooms and Staff'!$B$6,IF(F73="Touch-Up",'Rooms and Staff'!$B$7,IF(F73="Public Area",'Rooms and Staff'!$B$8,0)))))))),"")</f>
        <v/>
      </c>
      <c r="V73" s="30">
        <f>IFERROR(IF(OR(N73="",O73=""),"",(O73-N73)*1440),"")</f>
        <v/>
      </c>
      <c r="W73" s="30">
        <f>IFERROR(IF(OR(V73="",U73=""),"",V73-U73),"")</f>
        <v/>
      </c>
      <c r="X73" s="31">
        <f>IFERROR(IF(OR(H73="",U73=""),"",(U73/60)*INDEX('Rooms and Staff'!$P$16:$P$115,MATCH(H73,'Rooms and Staff'!$J$16:$J$115,0))),"")</f>
        <v/>
      </c>
      <c r="Y73" s="31">
        <f>IFERROR(IF(OR(H73="",V73=""),"",(V73/60)*INDEX('Rooms and Staff'!$P$16:$P$115,MATCH(H73,'Rooms and Staff'!$J$16:$J$115,0))),"")</f>
        <v/>
      </c>
      <c r="Z73" s="29">
        <f>IFERROR(IF(A73="","",IF(F73="Canceled","Canceled",IF(P73="DND","On Hold",IF(O73&lt;&gt;"","Completed",IF(N73&lt;&gt;"","In Progress","Not Started"))))),"")</f>
        <v/>
      </c>
      <c r="AA73" s="29">
        <f>IFERROR(IF(A73="","",IF(Z73&lt;&gt;"Completed","No",IF(Q73="Yes",IF(S73="Passed","Yes","No"),"Yes"))),"")</f>
        <v/>
      </c>
      <c r="AB73" s="29">
        <f>IFERROR(IF(AA73&lt;&gt;"Yes","",IF(K73="","Yes",IF(T73&lt;&gt;"",IF(T73&lt;=K73-'Rooms and Staff'!$B$11/1440,"Yes","No"),"No"))),"")</f>
        <v/>
      </c>
      <c r="AC73" s="23" t="n"/>
      <c r="AD73" s="23" t="n"/>
      <c r="AE73" s="29">
        <f>IFERROR(IF(A73="","",IF(C73="Room not found","Room not found",IF(COUNTIFS($A$2:$A$101,A73,$B$2:$B$101,B73)&gt;1,"Duplicate room assignment",IF(H73="","Attendant not assigned",IF(AND(N73&lt;&gt;"",O73&lt;&gt;"",O73&lt;N73),"Actual finish is before start",IF(AND(L73&lt;&gt;"",M73&lt;&gt;"",M73&lt;L73),"Planned finish is before start",IF(AND(P73="DND",O73&lt;&gt;""),"DND room marked completed",IF(AND(Q73="Yes",Z73="Completed",S73=""),"Inspection result missing",IF(S73="Failed","Inspection failed",IF(AND(K73&lt;&gt;"",J73&lt;&gt;"",K73&lt;J73),"Arrival is before check-out","OK")))))))))),"Review row")</f>
        <v/>
      </c>
      <c r="AH73">
        <f>IFERROR(IF(AND($A73='Dashboard'!$B$3,$AE73&lt;&gt;"OK",$AE73&lt;&gt;""),COUNTIFS($A$2:A73,'Dashboard'!$B$3,$AE$2:AE73,"&lt;&gt;OK",$AE$2:AE73,"&lt;&gt;"),""),"")</f>
        <v/>
      </c>
    </row>
    <row r="74">
      <c r="A74" s="22">
        <f>IFERROR(IF(B74="","",'Dashboard'!$B$3),"")</f>
        <v/>
      </c>
      <c r="B74" s="23" t="n"/>
      <c r="C74" s="24">
        <f>IFERROR(IF(B74="","",IFERROR(INDEX('Rooms and Staff'!$B$16:$B$115,MATCH(B74,'Rooms and Staff'!$A$16:$A$115,0)),"Room not found")),"")</f>
        <v/>
      </c>
      <c r="D74" s="24">
        <f>IFERROR(IF(B74="","",IFERROR(INDEX('Rooms and Staff'!$C$16:$C$115,MATCH(B74,'Rooms and Staff'!$A$16:$A$115,0)),"")),"")</f>
        <v/>
      </c>
      <c r="E74" s="23" t="n"/>
      <c r="F74" s="23" t="n"/>
      <c r="G74" s="23" t="n"/>
      <c r="H74" s="23" t="n"/>
      <c r="I74" s="23" t="n"/>
      <c r="J74" s="25" t="n"/>
      <c r="K74" s="25" t="n"/>
      <c r="L74" s="25" t="n"/>
      <c r="M74" s="25" t="n"/>
      <c r="N74" s="25" t="n"/>
      <c r="O74" s="25" t="n"/>
      <c r="P74" s="23" t="n"/>
      <c r="Q74" s="23" t="n"/>
      <c r="R74" s="23" t="n"/>
      <c r="S74" s="23" t="n"/>
      <c r="T74" s="25" t="n"/>
      <c r="U74" s="26">
        <f>IFERROR(IF(A74="","",IF(F74="Canceled",0,IF(F74="","",IF(F74="Checkout",'Rooms and Staff'!$B$4,IF(F74="Stayover",'Rooms and Staff'!$B$5,IF(F74="Deep Clean",'Rooms and Staff'!$B$6,IF(F74="Touch-Up",'Rooms and Staff'!$B$7,IF(F74="Public Area",'Rooms and Staff'!$B$8,0)))))))),"")</f>
        <v/>
      </c>
      <c r="V74" s="26">
        <f>IFERROR(IF(OR(N74="",O74=""),"",(O74-N74)*1440),"")</f>
        <v/>
      </c>
      <c r="W74" s="26">
        <f>IFERROR(IF(OR(V74="",U74=""),"",V74-U74),"")</f>
        <v/>
      </c>
      <c r="X74" s="27">
        <f>IFERROR(IF(OR(H74="",U74=""),"",(U74/60)*INDEX('Rooms and Staff'!$P$16:$P$115,MATCH(H74,'Rooms and Staff'!$J$16:$J$115,0))),"")</f>
        <v/>
      </c>
      <c r="Y74" s="27">
        <f>IFERROR(IF(OR(H74="",V74=""),"",(V74/60)*INDEX('Rooms and Staff'!$P$16:$P$115,MATCH(H74,'Rooms and Staff'!$J$16:$J$115,0))),"")</f>
        <v/>
      </c>
      <c r="Z74" s="24">
        <f>IFERROR(IF(A74="","",IF(F74="Canceled","Canceled",IF(P74="DND","On Hold",IF(O74&lt;&gt;"","Completed",IF(N74&lt;&gt;"","In Progress","Not Started"))))),"")</f>
        <v/>
      </c>
      <c r="AA74" s="24">
        <f>IFERROR(IF(A74="","",IF(Z74&lt;&gt;"Completed","No",IF(Q74="Yes",IF(S74="Passed","Yes","No"),"Yes"))),"")</f>
        <v/>
      </c>
      <c r="AB74" s="24">
        <f>IFERROR(IF(AA74&lt;&gt;"Yes","",IF(K74="","Yes",IF(T74&lt;&gt;"",IF(T74&lt;=K74-'Rooms and Staff'!$B$11/1440,"Yes","No"),"No"))),"")</f>
        <v/>
      </c>
      <c r="AC74" s="23" t="n"/>
      <c r="AD74" s="23" t="n"/>
      <c r="AE74" s="24">
        <f>IFERROR(IF(A74="","",IF(C74="Room not found","Room not found",IF(COUNTIFS($A$2:$A$101,A74,$B$2:$B$101,B74)&gt;1,"Duplicate room assignment",IF(H74="","Attendant not assigned",IF(AND(N74&lt;&gt;"",O74&lt;&gt;"",O74&lt;N74),"Actual finish is before start",IF(AND(L74&lt;&gt;"",M74&lt;&gt;"",M74&lt;L74),"Planned finish is before start",IF(AND(P74="DND",O74&lt;&gt;""),"DND room marked completed",IF(AND(Q74="Yes",Z74="Completed",S74=""),"Inspection result missing",IF(S74="Failed","Inspection failed",IF(AND(K74&lt;&gt;"",J74&lt;&gt;"",K74&lt;J74),"Arrival is before check-out","OK")))))))))),"Review row")</f>
        <v/>
      </c>
      <c r="AH74">
        <f>IFERROR(IF(AND($A74='Dashboard'!$B$3,$AE74&lt;&gt;"OK",$AE74&lt;&gt;""),COUNTIFS($A$2:A74,'Dashboard'!$B$3,$AE$2:AE74,"&lt;&gt;OK",$AE$2:AE74,"&lt;&gt;"),""),"")</f>
        <v/>
      </c>
    </row>
    <row r="75">
      <c r="A75" s="28">
        <f>IFERROR(IF(B75="","",'Dashboard'!$B$3),"")</f>
        <v/>
      </c>
      <c r="B75" s="23" t="n"/>
      <c r="C75" s="29">
        <f>IFERROR(IF(B75="","",IFERROR(INDEX('Rooms and Staff'!$B$16:$B$115,MATCH(B75,'Rooms and Staff'!$A$16:$A$115,0)),"Room not found")),"")</f>
        <v/>
      </c>
      <c r="D75" s="29">
        <f>IFERROR(IF(B75="","",IFERROR(INDEX('Rooms and Staff'!$C$16:$C$115,MATCH(B75,'Rooms and Staff'!$A$16:$A$115,0)),"")),"")</f>
        <v/>
      </c>
      <c r="E75" s="23" t="n"/>
      <c r="F75" s="23" t="n"/>
      <c r="G75" s="23" t="n"/>
      <c r="H75" s="23" t="n"/>
      <c r="I75" s="23" t="n"/>
      <c r="J75" s="25" t="n"/>
      <c r="K75" s="25" t="n"/>
      <c r="L75" s="25" t="n"/>
      <c r="M75" s="25" t="n"/>
      <c r="N75" s="25" t="n"/>
      <c r="O75" s="25" t="n"/>
      <c r="P75" s="23" t="n"/>
      <c r="Q75" s="23" t="n"/>
      <c r="R75" s="23" t="n"/>
      <c r="S75" s="23" t="n"/>
      <c r="T75" s="25" t="n"/>
      <c r="U75" s="30">
        <f>IFERROR(IF(A75="","",IF(F75="Canceled",0,IF(F75="","",IF(F75="Checkout",'Rooms and Staff'!$B$4,IF(F75="Stayover",'Rooms and Staff'!$B$5,IF(F75="Deep Clean",'Rooms and Staff'!$B$6,IF(F75="Touch-Up",'Rooms and Staff'!$B$7,IF(F75="Public Area",'Rooms and Staff'!$B$8,0)))))))),"")</f>
        <v/>
      </c>
      <c r="V75" s="30">
        <f>IFERROR(IF(OR(N75="",O75=""),"",(O75-N75)*1440),"")</f>
        <v/>
      </c>
      <c r="W75" s="30">
        <f>IFERROR(IF(OR(V75="",U75=""),"",V75-U75),"")</f>
        <v/>
      </c>
      <c r="X75" s="31">
        <f>IFERROR(IF(OR(H75="",U75=""),"",(U75/60)*INDEX('Rooms and Staff'!$P$16:$P$115,MATCH(H75,'Rooms and Staff'!$J$16:$J$115,0))),"")</f>
        <v/>
      </c>
      <c r="Y75" s="31">
        <f>IFERROR(IF(OR(H75="",V75=""),"",(V75/60)*INDEX('Rooms and Staff'!$P$16:$P$115,MATCH(H75,'Rooms and Staff'!$J$16:$J$115,0))),"")</f>
        <v/>
      </c>
      <c r="Z75" s="29">
        <f>IFERROR(IF(A75="","",IF(F75="Canceled","Canceled",IF(P75="DND","On Hold",IF(O75&lt;&gt;"","Completed",IF(N75&lt;&gt;"","In Progress","Not Started"))))),"")</f>
        <v/>
      </c>
      <c r="AA75" s="29">
        <f>IFERROR(IF(A75="","",IF(Z75&lt;&gt;"Completed","No",IF(Q75="Yes",IF(S75="Passed","Yes","No"),"Yes"))),"")</f>
        <v/>
      </c>
      <c r="AB75" s="29">
        <f>IFERROR(IF(AA75&lt;&gt;"Yes","",IF(K75="","Yes",IF(T75&lt;&gt;"",IF(T75&lt;=K75-'Rooms and Staff'!$B$11/1440,"Yes","No"),"No"))),"")</f>
        <v/>
      </c>
      <c r="AC75" s="23" t="n"/>
      <c r="AD75" s="23" t="n"/>
      <c r="AE75" s="29">
        <f>IFERROR(IF(A75="","",IF(C75="Room not found","Room not found",IF(COUNTIFS($A$2:$A$101,A75,$B$2:$B$101,B75)&gt;1,"Duplicate room assignment",IF(H75="","Attendant not assigned",IF(AND(N75&lt;&gt;"",O75&lt;&gt;"",O75&lt;N75),"Actual finish is before start",IF(AND(L75&lt;&gt;"",M75&lt;&gt;"",M75&lt;L75),"Planned finish is before start",IF(AND(P75="DND",O75&lt;&gt;""),"DND room marked completed",IF(AND(Q75="Yes",Z75="Completed",S75=""),"Inspection result missing",IF(S75="Failed","Inspection failed",IF(AND(K75&lt;&gt;"",J75&lt;&gt;"",K75&lt;J75),"Arrival is before check-out","OK")))))))))),"Review row")</f>
        <v/>
      </c>
      <c r="AH75">
        <f>IFERROR(IF(AND($A75='Dashboard'!$B$3,$AE75&lt;&gt;"OK",$AE75&lt;&gt;""),COUNTIFS($A$2:A75,'Dashboard'!$B$3,$AE$2:AE75,"&lt;&gt;OK",$AE$2:AE75,"&lt;&gt;"),""),"")</f>
        <v/>
      </c>
    </row>
    <row r="76">
      <c r="A76" s="22">
        <f>IFERROR(IF(B76="","",'Dashboard'!$B$3),"")</f>
        <v/>
      </c>
      <c r="B76" s="23" t="n"/>
      <c r="C76" s="24">
        <f>IFERROR(IF(B76="","",IFERROR(INDEX('Rooms and Staff'!$B$16:$B$115,MATCH(B76,'Rooms and Staff'!$A$16:$A$115,0)),"Room not found")),"")</f>
        <v/>
      </c>
      <c r="D76" s="24">
        <f>IFERROR(IF(B76="","",IFERROR(INDEX('Rooms and Staff'!$C$16:$C$115,MATCH(B76,'Rooms and Staff'!$A$16:$A$115,0)),"")),"")</f>
        <v/>
      </c>
      <c r="E76" s="23" t="n"/>
      <c r="F76" s="23" t="n"/>
      <c r="G76" s="23" t="n"/>
      <c r="H76" s="23" t="n"/>
      <c r="I76" s="23" t="n"/>
      <c r="J76" s="25" t="n"/>
      <c r="K76" s="25" t="n"/>
      <c r="L76" s="25" t="n"/>
      <c r="M76" s="25" t="n"/>
      <c r="N76" s="25" t="n"/>
      <c r="O76" s="25" t="n"/>
      <c r="P76" s="23" t="n"/>
      <c r="Q76" s="23" t="n"/>
      <c r="R76" s="23" t="n"/>
      <c r="S76" s="23" t="n"/>
      <c r="T76" s="25" t="n"/>
      <c r="U76" s="26">
        <f>IFERROR(IF(A76="","",IF(F76="Canceled",0,IF(F76="","",IF(F76="Checkout",'Rooms and Staff'!$B$4,IF(F76="Stayover",'Rooms and Staff'!$B$5,IF(F76="Deep Clean",'Rooms and Staff'!$B$6,IF(F76="Touch-Up",'Rooms and Staff'!$B$7,IF(F76="Public Area",'Rooms and Staff'!$B$8,0)))))))),"")</f>
        <v/>
      </c>
      <c r="V76" s="26">
        <f>IFERROR(IF(OR(N76="",O76=""),"",(O76-N76)*1440),"")</f>
        <v/>
      </c>
      <c r="W76" s="26">
        <f>IFERROR(IF(OR(V76="",U76=""),"",V76-U76),"")</f>
        <v/>
      </c>
      <c r="X76" s="27">
        <f>IFERROR(IF(OR(H76="",U76=""),"",(U76/60)*INDEX('Rooms and Staff'!$P$16:$P$115,MATCH(H76,'Rooms and Staff'!$J$16:$J$115,0))),"")</f>
        <v/>
      </c>
      <c r="Y76" s="27">
        <f>IFERROR(IF(OR(H76="",V76=""),"",(V76/60)*INDEX('Rooms and Staff'!$P$16:$P$115,MATCH(H76,'Rooms and Staff'!$J$16:$J$115,0))),"")</f>
        <v/>
      </c>
      <c r="Z76" s="24">
        <f>IFERROR(IF(A76="","",IF(F76="Canceled","Canceled",IF(P76="DND","On Hold",IF(O76&lt;&gt;"","Completed",IF(N76&lt;&gt;"","In Progress","Not Started"))))),"")</f>
        <v/>
      </c>
      <c r="AA76" s="24">
        <f>IFERROR(IF(A76="","",IF(Z76&lt;&gt;"Completed","No",IF(Q76="Yes",IF(S76="Passed","Yes","No"),"Yes"))),"")</f>
        <v/>
      </c>
      <c r="AB76" s="24">
        <f>IFERROR(IF(AA76&lt;&gt;"Yes","",IF(K76="","Yes",IF(T76&lt;&gt;"",IF(T76&lt;=K76-'Rooms and Staff'!$B$11/1440,"Yes","No"),"No"))),"")</f>
        <v/>
      </c>
      <c r="AC76" s="23" t="n"/>
      <c r="AD76" s="23" t="n"/>
      <c r="AE76" s="24">
        <f>IFERROR(IF(A76="","",IF(C76="Room not found","Room not found",IF(COUNTIFS($A$2:$A$101,A76,$B$2:$B$101,B76)&gt;1,"Duplicate room assignment",IF(H76="","Attendant not assigned",IF(AND(N76&lt;&gt;"",O76&lt;&gt;"",O76&lt;N76),"Actual finish is before start",IF(AND(L76&lt;&gt;"",M76&lt;&gt;"",M76&lt;L76),"Planned finish is before start",IF(AND(P76="DND",O76&lt;&gt;""),"DND room marked completed",IF(AND(Q76="Yes",Z76="Completed",S76=""),"Inspection result missing",IF(S76="Failed","Inspection failed",IF(AND(K76&lt;&gt;"",J76&lt;&gt;"",K76&lt;J76),"Arrival is before check-out","OK")))))))))),"Review row")</f>
        <v/>
      </c>
      <c r="AH76">
        <f>IFERROR(IF(AND($A76='Dashboard'!$B$3,$AE76&lt;&gt;"OK",$AE76&lt;&gt;""),COUNTIFS($A$2:A76,'Dashboard'!$B$3,$AE$2:AE76,"&lt;&gt;OK",$AE$2:AE76,"&lt;&gt;"),""),"")</f>
        <v/>
      </c>
    </row>
    <row r="77">
      <c r="A77" s="28">
        <f>IFERROR(IF(B77="","",'Dashboard'!$B$3),"")</f>
        <v/>
      </c>
      <c r="B77" s="23" t="n"/>
      <c r="C77" s="29">
        <f>IFERROR(IF(B77="","",IFERROR(INDEX('Rooms and Staff'!$B$16:$B$115,MATCH(B77,'Rooms and Staff'!$A$16:$A$115,0)),"Room not found")),"")</f>
        <v/>
      </c>
      <c r="D77" s="29">
        <f>IFERROR(IF(B77="","",IFERROR(INDEX('Rooms and Staff'!$C$16:$C$115,MATCH(B77,'Rooms and Staff'!$A$16:$A$115,0)),"")),"")</f>
        <v/>
      </c>
      <c r="E77" s="23" t="n"/>
      <c r="F77" s="23" t="n"/>
      <c r="G77" s="23" t="n"/>
      <c r="H77" s="23" t="n"/>
      <c r="I77" s="23" t="n"/>
      <c r="J77" s="25" t="n"/>
      <c r="K77" s="25" t="n"/>
      <c r="L77" s="25" t="n"/>
      <c r="M77" s="25" t="n"/>
      <c r="N77" s="25" t="n"/>
      <c r="O77" s="25" t="n"/>
      <c r="P77" s="23" t="n"/>
      <c r="Q77" s="23" t="n"/>
      <c r="R77" s="23" t="n"/>
      <c r="S77" s="23" t="n"/>
      <c r="T77" s="25" t="n"/>
      <c r="U77" s="30">
        <f>IFERROR(IF(A77="","",IF(F77="Canceled",0,IF(F77="","",IF(F77="Checkout",'Rooms and Staff'!$B$4,IF(F77="Stayover",'Rooms and Staff'!$B$5,IF(F77="Deep Clean",'Rooms and Staff'!$B$6,IF(F77="Touch-Up",'Rooms and Staff'!$B$7,IF(F77="Public Area",'Rooms and Staff'!$B$8,0)))))))),"")</f>
        <v/>
      </c>
      <c r="V77" s="30">
        <f>IFERROR(IF(OR(N77="",O77=""),"",(O77-N77)*1440),"")</f>
        <v/>
      </c>
      <c r="W77" s="30">
        <f>IFERROR(IF(OR(V77="",U77=""),"",V77-U77),"")</f>
        <v/>
      </c>
      <c r="X77" s="31">
        <f>IFERROR(IF(OR(H77="",U77=""),"",(U77/60)*INDEX('Rooms and Staff'!$P$16:$P$115,MATCH(H77,'Rooms and Staff'!$J$16:$J$115,0))),"")</f>
        <v/>
      </c>
      <c r="Y77" s="31">
        <f>IFERROR(IF(OR(H77="",V77=""),"",(V77/60)*INDEX('Rooms and Staff'!$P$16:$P$115,MATCH(H77,'Rooms and Staff'!$J$16:$J$115,0))),"")</f>
        <v/>
      </c>
      <c r="Z77" s="29">
        <f>IFERROR(IF(A77="","",IF(F77="Canceled","Canceled",IF(P77="DND","On Hold",IF(O77&lt;&gt;"","Completed",IF(N77&lt;&gt;"","In Progress","Not Started"))))),"")</f>
        <v/>
      </c>
      <c r="AA77" s="29">
        <f>IFERROR(IF(A77="","",IF(Z77&lt;&gt;"Completed","No",IF(Q77="Yes",IF(S77="Passed","Yes","No"),"Yes"))),"")</f>
        <v/>
      </c>
      <c r="AB77" s="29">
        <f>IFERROR(IF(AA77&lt;&gt;"Yes","",IF(K77="","Yes",IF(T77&lt;&gt;"",IF(T77&lt;=K77-'Rooms and Staff'!$B$11/1440,"Yes","No"),"No"))),"")</f>
        <v/>
      </c>
      <c r="AC77" s="23" t="n"/>
      <c r="AD77" s="23" t="n"/>
      <c r="AE77" s="29">
        <f>IFERROR(IF(A77="","",IF(C77="Room not found","Room not found",IF(COUNTIFS($A$2:$A$101,A77,$B$2:$B$101,B77)&gt;1,"Duplicate room assignment",IF(H77="","Attendant not assigned",IF(AND(N77&lt;&gt;"",O77&lt;&gt;"",O77&lt;N77),"Actual finish is before start",IF(AND(L77&lt;&gt;"",M77&lt;&gt;"",M77&lt;L77),"Planned finish is before start",IF(AND(P77="DND",O77&lt;&gt;""),"DND room marked completed",IF(AND(Q77="Yes",Z77="Completed",S77=""),"Inspection result missing",IF(S77="Failed","Inspection failed",IF(AND(K77&lt;&gt;"",J77&lt;&gt;"",K77&lt;J77),"Arrival is before check-out","OK")))))))))),"Review row")</f>
        <v/>
      </c>
      <c r="AH77">
        <f>IFERROR(IF(AND($A77='Dashboard'!$B$3,$AE77&lt;&gt;"OK",$AE77&lt;&gt;""),COUNTIFS($A$2:A77,'Dashboard'!$B$3,$AE$2:AE77,"&lt;&gt;OK",$AE$2:AE77,"&lt;&gt;"),""),"")</f>
        <v/>
      </c>
    </row>
    <row r="78">
      <c r="A78" s="22">
        <f>IFERROR(IF(B78="","",'Dashboard'!$B$3),"")</f>
        <v/>
      </c>
      <c r="B78" s="23" t="n"/>
      <c r="C78" s="24">
        <f>IFERROR(IF(B78="","",IFERROR(INDEX('Rooms and Staff'!$B$16:$B$115,MATCH(B78,'Rooms and Staff'!$A$16:$A$115,0)),"Room not found")),"")</f>
        <v/>
      </c>
      <c r="D78" s="24">
        <f>IFERROR(IF(B78="","",IFERROR(INDEX('Rooms and Staff'!$C$16:$C$115,MATCH(B78,'Rooms and Staff'!$A$16:$A$115,0)),"")),"")</f>
        <v/>
      </c>
      <c r="E78" s="23" t="n"/>
      <c r="F78" s="23" t="n"/>
      <c r="G78" s="23" t="n"/>
      <c r="H78" s="23" t="n"/>
      <c r="I78" s="23" t="n"/>
      <c r="J78" s="25" t="n"/>
      <c r="K78" s="25" t="n"/>
      <c r="L78" s="25" t="n"/>
      <c r="M78" s="25" t="n"/>
      <c r="N78" s="25" t="n"/>
      <c r="O78" s="25" t="n"/>
      <c r="P78" s="23" t="n"/>
      <c r="Q78" s="23" t="n"/>
      <c r="R78" s="23" t="n"/>
      <c r="S78" s="23" t="n"/>
      <c r="T78" s="25" t="n"/>
      <c r="U78" s="26">
        <f>IFERROR(IF(A78="","",IF(F78="Canceled",0,IF(F78="","",IF(F78="Checkout",'Rooms and Staff'!$B$4,IF(F78="Stayover",'Rooms and Staff'!$B$5,IF(F78="Deep Clean",'Rooms and Staff'!$B$6,IF(F78="Touch-Up",'Rooms and Staff'!$B$7,IF(F78="Public Area",'Rooms and Staff'!$B$8,0)))))))),"")</f>
        <v/>
      </c>
      <c r="V78" s="26">
        <f>IFERROR(IF(OR(N78="",O78=""),"",(O78-N78)*1440),"")</f>
        <v/>
      </c>
      <c r="W78" s="26">
        <f>IFERROR(IF(OR(V78="",U78=""),"",V78-U78),"")</f>
        <v/>
      </c>
      <c r="X78" s="27">
        <f>IFERROR(IF(OR(H78="",U78=""),"",(U78/60)*INDEX('Rooms and Staff'!$P$16:$P$115,MATCH(H78,'Rooms and Staff'!$J$16:$J$115,0))),"")</f>
        <v/>
      </c>
      <c r="Y78" s="27">
        <f>IFERROR(IF(OR(H78="",V78=""),"",(V78/60)*INDEX('Rooms and Staff'!$P$16:$P$115,MATCH(H78,'Rooms and Staff'!$J$16:$J$115,0))),"")</f>
        <v/>
      </c>
      <c r="Z78" s="24">
        <f>IFERROR(IF(A78="","",IF(F78="Canceled","Canceled",IF(P78="DND","On Hold",IF(O78&lt;&gt;"","Completed",IF(N78&lt;&gt;"","In Progress","Not Started"))))),"")</f>
        <v/>
      </c>
      <c r="AA78" s="24">
        <f>IFERROR(IF(A78="","",IF(Z78&lt;&gt;"Completed","No",IF(Q78="Yes",IF(S78="Passed","Yes","No"),"Yes"))),"")</f>
        <v/>
      </c>
      <c r="AB78" s="24">
        <f>IFERROR(IF(AA78&lt;&gt;"Yes","",IF(K78="","Yes",IF(T78&lt;&gt;"",IF(T78&lt;=K78-'Rooms and Staff'!$B$11/1440,"Yes","No"),"No"))),"")</f>
        <v/>
      </c>
      <c r="AC78" s="23" t="n"/>
      <c r="AD78" s="23" t="n"/>
      <c r="AE78" s="24">
        <f>IFERROR(IF(A78="","",IF(C78="Room not found","Room not found",IF(COUNTIFS($A$2:$A$101,A78,$B$2:$B$101,B78)&gt;1,"Duplicate room assignment",IF(H78="","Attendant not assigned",IF(AND(N78&lt;&gt;"",O78&lt;&gt;"",O78&lt;N78),"Actual finish is before start",IF(AND(L78&lt;&gt;"",M78&lt;&gt;"",M78&lt;L78),"Planned finish is before start",IF(AND(P78="DND",O78&lt;&gt;""),"DND room marked completed",IF(AND(Q78="Yes",Z78="Completed",S78=""),"Inspection result missing",IF(S78="Failed","Inspection failed",IF(AND(K78&lt;&gt;"",J78&lt;&gt;"",K78&lt;J78),"Arrival is before check-out","OK")))))))))),"Review row")</f>
        <v/>
      </c>
      <c r="AH78">
        <f>IFERROR(IF(AND($A78='Dashboard'!$B$3,$AE78&lt;&gt;"OK",$AE78&lt;&gt;""),COUNTIFS($A$2:A78,'Dashboard'!$B$3,$AE$2:AE78,"&lt;&gt;OK",$AE$2:AE78,"&lt;&gt;"),""),"")</f>
        <v/>
      </c>
    </row>
    <row r="79">
      <c r="A79" s="28">
        <f>IFERROR(IF(B79="","",'Dashboard'!$B$3),"")</f>
        <v/>
      </c>
      <c r="B79" s="23" t="n"/>
      <c r="C79" s="29">
        <f>IFERROR(IF(B79="","",IFERROR(INDEX('Rooms and Staff'!$B$16:$B$115,MATCH(B79,'Rooms and Staff'!$A$16:$A$115,0)),"Room not found")),"")</f>
        <v/>
      </c>
      <c r="D79" s="29">
        <f>IFERROR(IF(B79="","",IFERROR(INDEX('Rooms and Staff'!$C$16:$C$115,MATCH(B79,'Rooms and Staff'!$A$16:$A$115,0)),"")),"")</f>
        <v/>
      </c>
      <c r="E79" s="23" t="n"/>
      <c r="F79" s="23" t="n"/>
      <c r="G79" s="23" t="n"/>
      <c r="H79" s="23" t="n"/>
      <c r="I79" s="23" t="n"/>
      <c r="J79" s="25" t="n"/>
      <c r="K79" s="25" t="n"/>
      <c r="L79" s="25" t="n"/>
      <c r="M79" s="25" t="n"/>
      <c r="N79" s="25" t="n"/>
      <c r="O79" s="25" t="n"/>
      <c r="P79" s="23" t="n"/>
      <c r="Q79" s="23" t="n"/>
      <c r="R79" s="23" t="n"/>
      <c r="S79" s="23" t="n"/>
      <c r="T79" s="25" t="n"/>
      <c r="U79" s="30">
        <f>IFERROR(IF(A79="","",IF(F79="Canceled",0,IF(F79="","",IF(F79="Checkout",'Rooms and Staff'!$B$4,IF(F79="Stayover",'Rooms and Staff'!$B$5,IF(F79="Deep Clean",'Rooms and Staff'!$B$6,IF(F79="Touch-Up",'Rooms and Staff'!$B$7,IF(F79="Public Area",'Rooms and Staff'!$B$8,0)))))))),"")</f>
        <v/>
      </c>
      <c r="V79" s="30">
        <f>IFERROR(IF(OR(N79="",O79=""),"",(O79-N79)*1440),"")</f>
        <v/>
      </c>
      <c r="W79" s="30">
        <f>IFERROR(IF(OR(V79="",U79=""),"",V79-U79),"")</f>
        <v/>
      </c>
      <c r="X79" s="31">
        <f>IFERROR(IF(OR(H79="",U79=""),"",(U79/60)*INDEX('Rooms and Staff'!$P$16:$P$115,MATCH(H79,'Rooms and Staff'!$J$16:$J$115,0))),"")</f>
        <v/>
      </c>
      <c r="Y79" s="31">
        <f>IFERROR(IF(OR(H79="",V79=""),"",(V79/60)*INDEX('Rooms and Staff'!$P$16:$P$115,MATCH(H79,'Rooms and Staff'!$J$16:$J$115,0))),"")</f>
        <v/>
      </c>
      <c r="Z79" s="29">
        <f>IFERROR(IF(A79="","",IF(F79="Canceled","Canceled",IF(P79="DND","On Hold",IF(O79&lt;&gt;"","Completed",IF(N79&lt;&gt;"","In Progress","Not Started"))))),"")</f>
        <v/>
      </c>
      <c r="AA79" s="29">
        <f>IFERROR(IF(A79="","",IF(Z79&lt;&gt;"Completed","No",IF(Q79="Yes",IF(S79="Passed","Yes","No"),"Yes"))),"")</f>
        <v/>
      </c>
      <c r="AB79" s="29">
        <f>IFERROR(IF(AA79&lt;&gt;"Yes","",IF(K79="","Yes",IF(T79&lt;&gt;"",IF(T79&lt;=K79-'Rooms and Staff'!$B$11/1440,"Yes","No"),"No"))),"")</f>
        <v/>
      </c>
      <c r="AC79" s="23" t="n"/>
      <c r="AD79" s="23" t="n"/>
      <c r="AE79" s="29">
        <f>IFERROR(IF(A79="","",IF(C79="Room not found","Room not found",IF(COUNTIFS($A$2:$A$101,A79,$B$2:$B$101,B79)&gt;1,"Duplicate room assignment",IF(H79="","Attendant not assigned",IF(AND(N79&lt;&gt;"",O79&lt;&gt;"",O79&lt;N79),"Actual finish is before start",IF(AND(L79&lt;&gt;"",M79&lt;&gt;"",M79&lt;L79),"Planned finish is before start",IF(AND(P79="DND",O79&lt;&gt;""),"DND room marked completed",IF(AND(Q79="Yes",Z79="Completed",S79=""),"Inspection result missing",IF(S79="Failed","Inspection failed",IF(AND(K79&lt;&gt;"",J79&lt;&gt;"",K79&lt;J79),"Arrival is before check-out","OK")))))))))),"Review row")</f>
        <v/>
      </c>
      <c r="AH79">
        <f>IFERROR(IF(AND($A79='Dashboard'!$B$3,$AE79&lt;&gt;"OK",$AE79&lt;&gt;""),COUNTIFS($A$2:A79,'Dashboard'!$B$3,$AE$2:AE79,"&lt;&gt;OK",$AE$2:AE79,"&lt;&gt;"),""),"")</f>
        <v/>
      </c>
    </row>
    <row r="80">
      <c r="A80" s="22">
        <f>IFERROR(IF(B80="","",'Dashboard'!$B$3),"")</f>
        <v/>
      </c>
      <c r="B80" s="23" t="n"/>
      <c r="C80" s="24">
        <f>IFERROR(IF(B80="","",IFERROR(INDEX('Rooms and Staff'!$B$16:$B$115,MATCH(B80,'Rooms and Staff'!$A$16:$A$115,0)),"Room not found")),"")</f>
        <v/>
      </c>
      <c r="D80" s="24">
        <f>IFERROR(IF(B80="","",IFERROR(INDEX('Rooms and Staff'!$C$16:$C$115,MATCH(B80,'Rooms and Staff'!$A$16:$A$115,0)),"")),"")</f>
        <v/>
      </c>
      <c r="E80" s="23" t="n"/>
      <c r="F80" s="23" t="n"/>
      <c r="G80" s="23" t="n"/>
      <c r="H80" s="23" t="n"/>
      <c r="I80" s="23" t="n"/>
      <c r="J80" s="25" t="n"/>
      <c r="K80" s="25" t="n"/>
      <c r="L80" s="25" t="n"/>
      <c r="M80" s="25" t="n"/>
      <c r="N80" s="25" t="n"/>
      <c r="O80" s="25" t="n"/>
      <c r="P80" s="23" t="n"/>
      <c r="Q80" s="23" t="n"/>
      <c r="R80" s="23" t="n"/>
      <c r="S80" s="23" t="n"/>
      <c r="T80" s="25" t="n"/>
      <c r="U80" s="26">
        <f>IFERROR(IF(A80="","",IF(F80="Canceled",0,IF(F80="","",IF(F80="Checkout",'Rooms and Staff'!$B$4,IF(F80="Stayover",'Rooms and Staff'!$B$5,IF(F80="Deep Clean",'Rooms and Staff'!$B$6,IF(F80="Touch-Up",'Rooms and Staff'!$B$7,IF(F80="Public Area",'Rooms and Staff'!$B$8,0)))))))),"")</f>
        <v/>
      </c>
      <c r="V80" s="26">
        <f>IFERROR(IF(OR(N80="",O80=""),"",(O80-N80)*1440),"")</f>
        <v/>
      </c>
      <c r="W80" s="26">
        <f>IFERROR(IF(OR(V80="",U80=""),"",V80-U80),"")</f>
        <v/>
      </c>
      <c r="X80" s="27">
        <f>IFERROR(IF(OR(H80="",U80=""),"",(U80/60)*INDEX('Rooms and Staff'!$P$16:$P$115,MATCH(H80,'Rooms and Staff'!$J$16:$J$115,0))),"")</f>
        <v/>
      </c>
      <c r="Y80" s="27">
        <f>IFERROR(IF(OR(H80="",V80=""),"",(V80/60)*INDEX('Rooms and Staff'!$P$16:$P$115,MATCH(H80,'Rooms and Staff'!$J$16:$J$115,0))),"")</f>
        <v/>
      </c>
      <c r="Z80" s="24">
        <f>IFERROR(IF(A80="","",IF(F80="Canceled","Canceled",IF(P80="DND","On Hold",IF(O80&lt;&gt;"","Completed",IF(N80&lt;&gt;"","In Progress","Not Started"))))),"")</f>
        <v/>
      </c>
      <c r="AA80" s="24">
        <f>IFERROR(IF(A80="","",IF(Z80&lt;&gt;"Completed","No",IF(Q80="Yes",IF(S80="Passed","Yes","No"),"Yes"))),"")</f>
        <v/>
      </c>
      <c r="AB80" s="24">
        <f>IFERROR(IF(AA80&lt;&gt;"Yes","",IF(K80="","Yes",IF(T80&lt;&gt;"",IF(T80&lt;=K80-'Rooms and Staff'!$B$11/1440,"Yes","No"),"No"))),"")</f>
        <v/>
      </c>
      <c r="AC80" s="23" t="n"/>
      <c r="AD80" s="23" t="n"/>
      <c r="AE80" s="24">
        <f>IFERROR(IF(A80="","",IF(C80="Room not found","Room not found",IF(COUNTIFS($A$2:$A$101,A80,$B$2:$B$101,B80)&gt;1,"Duplicate room assignment",IF(H80="","Attendant not assigned",IF(AND(N80&lt;&gt;"",O80&lt;&gt;"",O80&lt;N80),"Actual finish is before start",IF(AND(L80&lt;&gt;"",M80&lt;&gt;"",M80&lt;L80),"Planned finish is before start",IF(AND(P80="DND",O80&lt;&gt;""),"DND room marked completed",IF(AND(Q80="Yes",Z80="Completed",S80=""),"Inspection result missing",IF(S80="Failed","Inspection failed",IF(AND(K80&lt;&gt;"",J80&lt;&gt;"",K80&lt;J80),"Arrival is before check-out","OK")))))))))),"Review row")</f>
        <v/>
      </c>
      <c r="AH80">
        <f>IFERROR(IF(AND($A80='Dashboard'!$B$3,$AE80&lt;&gt;"OK",$AE80&lt;&gt;""),COUNTIFS($A$2:A80,'Dashboard'!$B$3,$AE$2:AE80,"&lt;&gt;OK",$AE$2:AE80,"&lt;&gt;"),""),"")</f>
        <v/>
      </c>
    </row>
    <row r="81">
      <c r="A81" s="28">
        <f>IFERROR(IF(B81="","",'Dashboard'!$B$3),"")</f>
        <v/>
      </c>
      <c r="B81" s="23" t="n"/>
      <c r="C81" s="29">
        <f>IFERROR(IF(B81="","",IFERROR(INDEX('Rooms and Staff'!$B$16:$B$115,MATCH(B81,'Rooms and Staff'!$A$16:$A$115,0)),"Room not found")),"")</f>
        <v/>
      </c>
      <c r="D81" s="29">
        <f>IFERROR(IF(B81="","",IFERROR(INDEX('Rooms and Staff'!$C$16:$C$115,MATCH(B81,'Rooms and Staff'!$A$16:$A$115,0)),"")),"")</f>
        <v/>
      </c>
      <c r="E81" s="23" t="n"/>
      <c r="F81" s="23" t="n"/>
      <c r="G81" s="23" t="n"/>
      <c r="H81" s="23" t="n"/>
      <c r="I81" s="23" t="n"/>
      <c r="J81" s="25" t="n"/>
      <c r="K81" s="25" t="n"/>
      <c r="L81" s="25" t="n"/>
      <c r="M81" s="25" t="n"/>
      <c r="N81" s="25" t="n"/>
      <c r="O81" s="25" t="n"/>
      <c r="P81" s="23" t="n"/>
      <c r="Q81" s="23" t="n"/>
      <c r="R81" s="23" t="n"/>
      <c r="S81" s="23" t="n"/>
      <c r="T81" s="25" t="n"/>
      <c r="U81" s="30">
        <f>IFERROR(IF(A81="","",IF(F81="Canceled",0,IF(F81="","",IF(F81="Checkout",'Rooms and Staff'!$B$4,IF(F81="Stayover",'Rooms and Staff'!$B$5,IF(F81="Deep Clean",'Rooms and Staff'!$B$6,IF(F81="Touch-Up",'Rooms and Staff'!$B$7,IF(F81="Public Area",'Rooms and Staff'!$B$8,0)))))))),"")</f>
        <v/>
      </c>
      <c r="V81" s="30">
        <f>IFERROR(IF(OR(N81="",O81=""),"",(O81-N81)*1440),"")</f>
        <v/>
      </c>
      <c r="W81" s="30">
        <f>IFERROR(IF(OR(V81="",U81=""),"",V81-U81),"")</f>
        <v/>
      </c>
      <c r="X81" s="31">
        <f>IFERROR(IF(OR(H81="",U81=""),"",(U81/60)*INDEX('Rooms and Staff'!$P$16:$P$115,MATCH(H81,'Rooms and Staff'!$J$16:$J$115,0))),"")</f>
        <v/>
      </c>
      <c r="Y81" s="31">
        <f>IFERROR(IF(OR(H81="",V81=""),"",(V81/60)*INDEX('Rooms and Staff'!$P$16:$P$115,MATCH(H81,'Rooms and Staff'!$J$16:$J$115,0))),"")</f>
        <v/>
      </c>
      <c r="Z81" s="29">
        <f>IFERROR(IF(A81="","",IF(F81="Canceled","Canceled",IF(P81="DND","On Hold",IF(O81&lt;&gt;"","Completed",IF(N81&lt;&gt;"","In Progress","Not Started"))))),"")</f>
        <v/>
      </c>
      <c r="AA81" s="29">
        <f>IFERROR(IF(A81="","",IF(Z81&lt;&gt;"Completed","No",IF(Q81="Yes",IF(S81="Passed","Yes","No"),"Yes"))),"")</f>
        <v/>
      </c>
      <c r="AB81" s="29">
        <f>IFERROR(IF(AA81&lt;&gt;"Yes","",IF(K81="","Yes",IF(T81&lt;&gt;"",IF(T81&lt;=K81-'Rooms and Staff'!$B$11/1440,"Yes","No"),"No"))),"")</f>
        <v/>
      </c>
      <c r="AC81" s="23" t="n"/>
      <c r="AD81" s="23" t="n"/>
      <c r="AE81" s="29">
        <f>IFERROR(IF(A81="","",IF(C81="Room not found","Room not found",IF(COUNTIFS($A$2:$A$101,A81,$B$2:$B$101,B81)&gt;1,"Duplicate room assignment",IF(H81="","Attendant not assigned",IF(AND(N81&lt;&gt;"",O81&lt;&gt;"",O81&lt;N81),"Actual finish is before start",IF(AND(L81&lt;&gt;"",M81&lt;&gt;"",M81&lt;L81),"Planned finish is before start",IF(AND(P81="DND",O81&lt;&gt;""),"DND room marked completed",IF(AND(Q81="Yes",Z81="Completed",S81=""),"Inspection result missing",IF(S81="Failed","Inspection failed",IF(AND(K81&lt;&gt;"",J81&lt;&gt;"",K81&lt;J81),"Arrival is before check-out","OK")))))))))),"Review row")</f>
        <v/>
      </c>
      <c r="AH81">
        <f>IFERROR(IF(AND($A81='Dashboard'!$B$3,$AE81&lt;&gt;"OK",$AE81&lt;&gt;""),COUNTIFS($A$2:A81,'Dashboard'!$B$3,$AE$2:AE81,"&lt;&gt;OK",$AE$2:AE81,"&lt;&gt;"),""),"")</f>
        <v/>
      </c>
    </row>
    <row r="82">
      <c r="A82" s="22">
        <f>IFERROR(IF(B82="","",'Dashboard'!$B$3),"")</f>
        <v/>
      </c>
      <c r="B82" s="23" t="n"/>
      <c r="C82" s="24">
        <f>IFERROR(IF(B82="","",IFERROR(INDEX('Rooms and Staff'!$B$16:$B$115,MATCH(B82,'Rooms and Staff'!$A$16:$A$115,0)),"Room not found")),"")</f>
        <v/>
      </c>
      <c r="D82" s="24">
        <f>IFERROR(IF(B82="","",IFERROR(INDEX('Rooms and Staff'!$C$16:$C$115,MATCH(B82,'Rooms and Staff'!$A$16:$A$115,0)),"")),"")</f>
        <v/>
      </c>
      <c r="E82" s="23" t="n"/>
      <c r="F82" s="23" t="n"/>
      <c r="G82" s="23" t="n"/>
      <c r="H82" s="23" t="n"/>
      <c r="I82" s="23" t="n"/>
      <c r="J82" s="25" t="n"/>
      <c r="K82" s="25" t="n"/>
      <c r="L82" s="25" t="n"/>
      <c r="M82" s="25" t="n"/>
      <c r="N82" s="25" t="n"/>
      <c r="O82" s="25" t="n"/>
      <c r="P82" s="23" t="n"/>
      <c r="Q82" s="23" t="n"/>
      <c r="R82" s="23" t="n"/>
      <c r="S82" s="23" t="n"/>
      <c r="T82" s="25" t="n"/>
      <c r="U82" s="26">
        <f>IFERROR(IF(A82="","",IF(F82="Canceled",0,IF(F82="","",IF(F82="Checkout",'Rooms and Staff'!$B$4,IF(F82="Stayover",'Rooms and Staff'!$B$5,IF(F82="Deep Clean",'Rooms and Staff'!$B$6,IF(F82="Touch-Up",'Rooms and Staff'!$B$7,IF(F82="Public Area",'Rooms and Staff'!$B$8,0)))))))),"")</f>
        <v/>
      </c>
      <c r="V82" s="26">
        <f>IFERROR(IF(OR(N82="",O82=""),"",(O82-N82)*1440),"")</f>
        <v/>
      </c>
      <c r="W82" s="26">
        <f>IFERROR(IF(OR(V82="",U82=""),"",V82-U82),"")</f>
        <v/>
      </c>
      <c r="X82" s="27">
        <f>IFERROR(IF(OR(H82="",U82=""),"",(U82/60)*INDEX('Rooms and Staff'!$P$16:$P$115,MATCH(H82,'Rooms and Staff'!$J$16:$J$115,0))),"")</f>
        <v/>
      </c>
      <c r="Y82" s="27">
        <f>IFERROR(IF(OR(H82="",V82=""),"",(V82/60)*INDEX('Rooms and Staff'!$P$16:$P$115,MATCH(H82,'Rooms and Staff'!$J$16:$J$115,0))),"")</f>
        <v/>
      </c>
      <c r="Z82" s="24">
        <f>IFERROR(IF(A82="","",IF(F82="Canceled","Canceled",IF(P82="DND","On Hold",IF(O82&lt;&gt;"","Completed",IF(N82&lt;&gt;"","In Progress","Not Started"))))),"")</f>
        <v/>
      </c>
      <c r="AA82" s="24">
        <f>IFERROR(IF(A82="","",IF(Z82&lt;&gt;"Completed","No",IF(Q82="Yes",IF(S82="Passed","Yes","No"),"Yes"))),"")</f>
        <v/>
      </c>
      <c r="AB82" s="24">
        <f>IFERROR(IF(AA82&lt;&gt;"Yes","",IF(K82="","Yes",IF(T82&lt;&gt;"",IF(T82&lt;=K82-'Rooms and Staff'!$B$11/1440,"Yes","No"),"No"))),"")</f>
        <v/>
      </c>
      <c r="AC82" s="23" t="n"/>
      <c r="AD82" s="23" t="n"/>
      <c r="AE82" s="24">
        <f>IFERROR(IF(A82="","",IF(C82="Room not found","Room not found",IF(COUNTIFS($A$2:$A$101,A82,$B$2:$B$101,B82)&gt;1,"Duplicate room assignment",IF(H82="","Attendant not assigned",IF(AND(N82&lt;&gt;"",O82&lt;&gt;"",O82&lt;N82),"Actual finish is before start",IF(AND(L82&lt;&gt;"",M82&lt;&gt;"",M82&lt;L82),"Planned finish is before start",IF(AND(P82="DND",O82&lt;&gt;""),"DND room marked completed",IF(AND(Q82="Yes",Z82="Completed",S82=""),"Inspection result missing",IF(S82="Failed","Inspection failed",IF(AND(K82&lt;&gt;"",J82&lt;&gt;"",K82&lt;J82),"Arrival is before check-out","OK")))))))))),"Review row")</f>
        <v/>
      </c>
      <c r="AH82">
        <f>IFERROR(IF(AND($A82='Dashboard'!$B$3,$AE82&lt;&gt;"OK",$AE82&lt;&gt;""),COUNTIFS($A$2:A82,'Dashboard'!$B$3,$AE$2:AE82,"&lt;&gt;OK",$AE$2:AE82,"&lt;&gt;"),""),"")</f>
        <v/>
      </c>
    </row>
    <row r="83">
      <c r="A83" s="28">
        <f>IFERROR(IF(B83="","",'Dashboard'!$B$3),"")</f>
        <v/>
      </c>
      <c r="B83" s="23" t="n"/>
      <c r="C83" s="29">
        <f>IFERROR(IF(B83="","",IFERROR(INDEX('Rooms and Staff'!$B$16:$B$115,MATCH(B83,'Rooms and Staff'!$A$16:$A$115,0)),"Room not found")),"")</f>
        <v/>
      </c>
      <c r="D83" s="29">
        <f>IFERROR(IF(B83="","",IFERROR(INDEX('Rooms and Staff'!$C$16:$C$115,MATCH(B83,'Rooms and Staff'!$A$16:$A$115,0)),"")),"")</f>
        <v/>
      </c>
      <c r="E83" s="23" t="n"/>
      <c r="F83" s="23" t="n"/>
      <c r="G83" s="23" t="n"/>
      <c r="H83" s="23" t="n"/>
      <c r="I83" s="23" t="n"/>
      <c r="J83" s="25" t="n"/>
      <c r="K83" s="25" t="n"/>
      <c r="L83" s="25" t="n"/>
      <c r="M83" s="25" t="n"/>
      <c r="N83" s="25" t="n"/>
      <c r="O83" s="25" t="n"/>
      <c r="P83" s="23" t="n"/>
      <c r="Q83" s="23" t="n"/>
      <c r="R83" s="23" t="n"/>
      <c r="S83" s="23" t="n"/>
      <c r="T83" s="25" t="n"/>
      <c r="U83" s="30">
        <f>IFERROR(IF(A83="","",IF(F83="Canceled",0,IF(F83="","",IF(F83="Checkout",'Rooms and Staff'!$B$4,IF(F83="Stayover",'Rooms and Staff'!$B$5,IF(F83="Deep Clean",'Rooms and Staff'!$B$6,IF(F83="Touch-Up",'Rooms and Staff'!$B$7,IF(F83="Public Area",'Rooms and Staff'!$B$8,0)))))))),"")</f>
        <v/>
      </c>
      <c r="V83" s="30">
        <f>IFERROR(IF(OR(N83="",O83=""),"",(O83-N83)*1440),"")</f>
        <v/>
      </c>
      <c r="W83" s="30">
        <f>IFERROR(IF(OR(V83="",U83=""),"",V83-U83),"")</f>
        <v/>
      </c>
      <c r="X83" s="31">
        <f>IFERROR(IF(OR(H83="",U83=""),"",(U83/60)*INDEX('Rooms and Staff'!$P$16:$P$115,MATCH(H83,'Rooms and Staff'!$J$16:$J$115,0))),"")</f>
        <v/>
      </c>
      <c r="Y83" s="31">
        <f>IFERROR(IF(OR(H83="",V83=""),"",(V83/60)*INDEX('Rooms and Staff'!$P$16:$P$115,MATCH(H83,'Rooms and Staff'!$J$16:$J$115,0))),"")</f>
        <v/>
      </c>
      <c r="Z83" s="29">
        <f>IFERROR(IF(A83="","",IF(F83="Canceled","Canceled",IF(P83="DND","On Hold",IF(O83&lt;&gt;"","Completed",IF(N83&lt;&gt;"","In Progress","Not Started"))))),"")</f>
        <v/>
      </c>
      <c r="AA83" s="29">
        <f>IFERROR(IF(A83="","",IF(Z83&lt;&gt;"Completed","No",IF(Q83="Yes",IF(S83="Passed","Yes","No"),"Yes"))),"")</f>
        <v/>
      </c>
      <c r="AB83" s="29">
        <f>IFERROR(IF(AA83&lt;&gt;"Yes","",IF(K83="","Yes",IF(T83&lt;&gt;"",IF(T83&lt;=K83-'Rooms and Staff'!$B$11/1440,"Yes","No"),"No"))),"")</f>
        <v/>
      </c>
      <c r="AC83" s="23" t="n"/>
      <c r="AD83" s="23" t="n"/>
      <c r="AE83" s="29">
        <f>IFERROR(IF(A83="","",IF(C83="Room not found","Room not found",IF(COUNTIFS($A$2:$A$101,A83,$B$2:$B$101,B83)&gt;1,"Duplicate room assignment",IF(H83="","Attendant not assigned",IF(AND(N83&lt;&gt;"",O83&lt;&gt;"",O83&lt;N83),"Actual finish is before start",IF(AND(L83&lt;&gt;"",M83&lt;&gt;"",M83&lt;L83),"Planned finish is before start",IF(AND(P83="DND",O83&lt;&gt;""),"DND room marked completed",IF(AND(Q83="Yes",Z83="Completed",S83=""),"Inspection result missing",IF(S83="Failed","Inspection failed",IF(AND(K83&lt;&gt;"",J83&lt;&gt;"",K83&lt;J83),"Arrival is before check-out","OK")))))))))),"Review row")</f>
        <v/>
      </c>
      <c r="AH83">
        <f>IFERROR(IF(AND($A83='Dashboard'!$B$3,$AE83&lt;&gt;"OK",$AE83&lt;&gt;""),COUNTIFS($A$2:A83,'Dashboard'!$B$3,$AE$2:AE83,"&lt;&gt;OK",$AE$2:AE83,"&lt;&gt;"),""),"")</f>
        <v/>
      </c>
    </row>
    <row r="84">
      <c r="A84" s="22">
        <f>IFERROR(IF(B84="","",'Dashboard'!$B$3),"")</f>
        <v/>
      </c>
      <c r="B84" s="23" t="n"/>
      <c r="C84" s="24">
        <f>IFERROR(IF(B84="","",IFERROR(INDEX('Rooms and Staff'!$B$16:$B$115,MATCH(B84,'Rooms and Staff'!$A$16:$A$115,0)),"Room not found")),"")</f>
        <v/>
      </c>
      <c r="D84" s="24">
        <f>IFERROR(IF(B84="","",IFERROR(INDEX('Rooms and Staff'!$C$16:$C$115,MATCH(B84,'Rooms and Staff'!$A$16:$A$115,0)),"")),"")</f>
        <v/>
      </c>
      <c r="E84" s="23" t="n"/>
      <c r="F84" s="23" t="n"/>
      <c r="G84" s="23" t="n"/>
      <c r="H84" s="23" t="n"/>
      <c r="I84" s="23" t="n"/>
      <c r="J84" s="25" t="n"/>
      <c r="K84" s="25" t="n"/>
      <c r="L84" s="25" t="n"/>
      <c r="M84" s="25" t="n"/>
      <c r="N84" s="25" t="n"/>
      <c r="O84" s="25" t="n"/>
      <c r="P84" s="23" t="n"/>
      <c r="Q84" s="23" t="n"/>
      <c r="R84" s="23" t="n"/>
      <c r="S84" s="23" t="n"/>
      <c r="T84" s="25" t="n"/>
      <c r="U84" s="26">
        <f>IFERROR(IF(A84="","",IF(F84="Canceled",0,IF(F84="","",IF(F84="Checkout",'Rooms and Staff'!$B$4,IF(F84="Stayover",'Rooms and Staff'!$B$5,IF(F84="Deep Clean",'Rooms and Staff'!$B$6,IF(F84="Touch-Up",'Rooms and Staff'!$B$7,IF(F84="Public Area",'Rooms and Staff'!$B$8,0)))))))),"")</f>
        <v/>
      </c>
      <c r="V84" s="26">
        <f>IFERROR(IF(OR(N84="",O84=""),"",(O84-N84)*1440),"")</f>
        <v/>
      </c>
      <c r="W84" s="26">
        <f>IFERROR(IF(OR(V84="",U84=""),"",V84-U84),"")</f>
        <v/>
      </c>
      <c r="X84" s="27">
        <f>IFERROR(IF(OR(H84="",U84=""),"",(U84/60)*INDEX('Rooms and Staff'!$P$16:$P$115,MATCH(H84,'Rooms and Staff'!$J$16:$J$115,0))),"")</f>
        <v/>
      </c>
      <c r="Y84" s="27">
        <f>IFERROR(IF(OR(H84="",V84=""),"",(V84/60)*INDEX('Rooms and Staff'!$P$16:$P$115,MATCH(H84,'Rooms and Staff'!$J$16:$J$115,0))),"")</f>
        <v/>
      </c>
      <c r="Z84" s="24">
        <f>IFERROR(IF(A84="","",IF(F84="Canceled","Canceled",IF(P84="DND","On Hold",IF(O84&lt;&gt;"","Completed",IF(N84&lt;&gt;"","In Progress","Not Started"))))),"")</f>
        <v/>
      </c>
      <c r="AA84" s="24">
        <f>IFERROR(IF(A84="","",IF(Z84&lt;&gt;"Completed","No",IF(Q84="Yes",IF(S84="Passed","Yes","No"),"Yes"))),"")</f>
        <v/>
      </c>
      <c r="AB84" s="24">
        <f>IFERROR(IF(AA84&lt;&gt;"Yes","",IF(K84="","Yes",IF(T84&lt;&gt;"",IF(T84&lt;=K84-'Rooms and Staff'!$B$11/1440,"Yes","No"),"No"))),"")</f>
        <v/>
      </c>
      <c r="AC84" s="23" t="n"/>
      <c r="AD84" s="23" t="n"/>
      <c r="AE84" s="24">
        <f>IFERROR(IF(A84="","",IF(C84="Room not found","Room not found",IF(COUNTIFS($A$2:$A$101,A84,$B$2:$B$101,B84)&gt;1,"Duplicate room assignment",IF(H84="","Attendant not assigned",IF(AND(N84&lt;&gt;"",O84&lt;&gt;"",O84&lt;N84),"Actual finish is before start",IF(AND(L84&lt;&gt;"",M84&lt;&gt;"",M84&lt;L84),"Planned finish is before start",IF(AND(P84="DND",O84&lt;&gt;""),"DND room marked completed",IF(AND(Q84="Yes",Z84="Completed",S84=""),"Inspection result missing",IF(S84="Failed","Inspection failed",IF(AND(K84&lt;&gt;"",J84&lt;&gt;"",K84&lt;J84),"Arrival is before check-out","OK")))))))))),"Review row")</f>
        <v/>
      </c>
      <c r="AH84">
        <f>IFERROR(IF(AND($A84='Dashboard'!$B$3,$AE84&lt;&gt;"OK",$AE84&lt;&gt;""),COUNTIFS($A$2:A84,'Dashboard'!$B$3,$AE$2:AE84,"&lt;&gt;OK",$AE$2:AE84,"&lt;&gt;"),""),"")</f>
        <v/>
      </c>
    </row>
    <row r="85">
      <c r="A85" s="28">
        <f>IFERROR(IF(B85="","",'Dashboard'!$B$3),"")</f>
        <v/>
      </c>
      <c r="B85" s="23" t="n"/>
      <c r="C85" s="29">
        <f>IFERROR(IF(B85="","",IFERROR(INDEX('Rooms and Staff'!$B$16:$B$115,MATCH(B85,'Rooms and Staff'!$A$16:$A$115,0)),"Room not found")),"")</f>
        <v/>
      </c>
      <c r="D85" s="29">
        <f>IFERROR(IF(B85="","",IFERROR(INDEX('Rooms and Staff'!$C$16:$C$115,MATCH(B85,'Rooms and Staff'!$A$16:$A$115,0)),"")),"")</f>
        <v/>
      </c>
      <c r="E85" s="23" t="n"/>
      <c r="F85" s="23" t="n"/>
      <c r="G85" s="23" t="n"/>
      <c r="H85" s="23" t="n"/>
      <c r="I85" s="23" t="n"/>
      <c r="J85" s="25" t="n"/>
      <c r="K85" s="25" t="n"/>
      <c r="L85" s="25" t="n"/>
      <c r="M85" s="25" t="n"/>
      <c r="N85" s="25" t="n"/>
      <c r="O85" s="25" t="n"/>
      <c r="P85" s="23" t="n"/>
      <c r="Q85" s="23" t="n"/>
      <c r="R85" s="23" t="n"/>
      <c r="S85" s="23" t="n"/>
      <c r="T85" s="25" t="n"/>
      <c r="U85" s="30">
        <f>IFERROR(IF(A85="","",IF(F85="Canceled",0,IF(F85="","",IF(F85="Checkout",'Rooms and Staff'!$B$4,IF(F85="Stayover",'Rooms and Staff'!$B$5,IF(F85="Deep Clean",'Rooms and Staff'!$B$6,IF(F85="Touch-Up",'Rooms and Staff'!$B$7,IF(F85="Public Area",'Rooms and Staff'!$B$8,0)))))))),"")</f>
        <v/>
      </c>
      <c r="V85" s="30">
        <f>IFERROR(IF(OR(N85="",O85=""),"",(O85-N85)*1440),"")</f>
        <v/>
      </c>
      <c r="W85" s="30">
        <f>IFERROR(IF(OR(V85="",U85=""),"",V85-U85),"")</f>
        <v/>
      </c>
      <c r="X85" s="31">
        <f>IFERROR(IF(OR(H85="",U85=""),"",(U85/60)*INDEX('Rooms and Staff'!$P$16:$P$115,MATCH(H85,'Rooms and Staff'!$J$16:$J$115,0))),"")</f>
        <v/>
      </c>
      <c r="Y85" s="31">
        <f>IFERROR(IF(OR(H85="",V85=""),"",(V85/60)*INDEX('Rooms and Staff'!$P$16:$P$115,MATCH(H85,'Rooms and Staff'!$J$16:$J$115,0))),"")</f>
        <v/>
      </c>
      <c r="Z85" s="29">
        <f>IFERROR(IF(A85="","",IF(F85="Canceled","Canceled",IF(P85="DND","On Hold",IF(O85&lt;&gt;"","Completed",IF(N85&lt;&gt;"","In Progress","Not Started"))))),"")</f>
        <v/>
      </c>
      <c r="AA85" s="29">
        <f>IFERROR(IF(A85="","",IF(Z85&lt;&gt;"Completed","No",IF(Q85="Yes",IF(S85="Passed","Yes","No"),"Yes"))),"")</f>
        <v/>
      </c>
      <c r="AB85" s="29">
        <f>IFERROR(IF(AA85&lt;&gt;"Yes","",IF(K85="","Yes",IF(T85&lt;&gt;"",IF(T85&lt;=K85-'Rooms and Staff'!$B$11/1440,"Yes","No"),"No"))),"")</f>
        <v/>
      </c>
      <c r="AC85" s="23" t="n"/>
      <c r="AD85" s="23" t="n"/>
      <c r="AE85" s="29">
        <f>IFERROR(IF(A85="","",IF(C85="Room not found","Room not found",IF(COUNTIFS($A$2:$A$101,A85,$B$2:$B$101,B85)&gt;1,"Duplicate room assignment",IF(H85="","Attendant not assigned",IF(AND(N85&lt;&gt;"",O85&lt;&gt;"",O85&lt;N85),"Actual finish is before start",IF(AND(L85&lt;&gt;"",M85&lt;&gt;"",M85&lt;L85),"Planned finish is before start",IF(AND(P85="DND",O85&lt;&gt;""),"DND room marked completed",IF(AND(Q85="Yes",Z85="Completed",S85=""),"Inspection result missing",IF(S85="Failed","Inspection failed",IF(AND(K85&lt;&gt;"",J85&lt;&gt;"",K85&lt;J85),"Arrival is before check-out","OK")))))))))),"Review row")</f>
        <v/>
      </c>
      <c r="AH85">
        <f>IFERROR(IF(AND($A85='Dashboard'!$B$3,$AE85&lt;&gt;"OK",$AE85&lt;&gt;""),COUNTIFS($A$2:A85,'Dashboard'!$B$3,$AE$2:AE85,"&lt;&gt;OK",$AE$2:AE85,"&lt;&gt;"),""),"")</f>
        <v/>
      </c>
    </row>
    <row r="86">
      <c r="A86" s="22">
        <f>IFERROR(IF(B86="","",'Dashboard'!$B$3),"")</f>
        <v/>
      </c>
      <c r="B86" s="23" t="n"/>
      <c r="C86" s="24">
        <f>IFERROR(IF(B86="","",IFERROR(INDEX('Rooms and Staff'!$B$16:$B$115,MATCH(B86,'Rooms and Staff'!$A$16:$A$115,0)),"Room not found")),"")</f>
        <v/>
      </c>
      <c r="D86" s="24">
        <f>IFERROR(IF(B86="","",IFERROR(INDEX('Rooms and Staff'!$C$16:$C$115,MATCH(B86,'Rooms and Staff'!$A$16:$A$115,0)),"")),"")</f>
        <v/>
      </c>
      <c r="E86" s="23" t="n"/>
      <c r="F86" s="23" t="n"/>
      <c r="G86" s="23" t="n"/>
      <c r="H86" s="23" t="n"/>
      <c r="I86" s="23" t="n"/>
      <c r="J86" s="25" t="n"/>
      <c r="K86" s="25" t="n"/>
      <c r="L86" s="25" t="n"/>
      <c r="M86" s="25" t="n"/>
      <c r="N86" s="25" t="n"/>
      <c r="O86" s="25" t="n"/>
      <c r="P86" s="23" t="n"/>
      <c r="Q86" s="23" t="n"/>
      <c r="R86" s="23" t="n"/>
      <c r="S86" s="23" t="n"/>
      <c r="T86" s="25" t="n"/>
      <c r="U86" s="26">
        <f>IFERROR(IF(A86="","",IF(F86="Canceled",0,IF(F86="","",IF(F86="Checkout",'Rooms and Staff'!$B$4,IF(F86="Stayover",'Rooms and Staff'!$B$5,IF(F86="Deep Clean",'Rooms and Staff'!$B$6,IF(F86="Touch-Up",'Rooms and Staff'!$B$7,IF(F86="Public Area",'Rooms and Staff'!$B$8,0)))))))),"")</f>
        <v/>
      </c>
      <c r="V86" s="26">
        <f>IFERROR(IF(OR(N86="",O86=""),"",(O86-N86)*1440),"")</f>
        <v/>
      </c>
      <c r="W86" s="26">
        <f>IFERROR(IF(OR(V86="",U86=""),"",V86-U86),"")</f>
        <v/>
      </c>
      <c r="X86" s="27">
        <f>IFERROR(IF(OR(H86="",U86=""),"",(U86/60)*INDEX('Rooms and Staff'!$P$16:$P$115,MATCH(H86,'Rooms and Staff'!$J$16:$J$115,0))),"")</f>
        <v/>
      </c>
      <c r="Y86" s="27">
        <f>IFERROR(IF(OR(H86="",V86=""),"",(V86/60)*INDEX('Rooms and Staff'!$P$16:$P$115,MATCH(H86,'Rooms and Staff'!$J$16:$J$115,0))),"")</f>
        <v/>
      </c>
      <c r="Z86" s="24">
        <f>IFERROR(IF(A86="","",IF(F86="Canceled","Canceled",IF(P86="DND","On Hold",IF(O86&lt;&gt;"","Completed",IF(N86&lt;&gt;"","In Progress","Not Started"))))),"")</f>
        <v/>
      </c>
      <c r="AA86" s="24">
        <f>IFERROR(IF(A86="","",IF(Z86&lt;&gt;"Completed","No",IF(Q86="Yes",IF(S86="Passed","Yes","No"),"Yes"))),"")</f>
        <v/>
      </c>
      <c r="AB86" s="24">
        <f>IFERROR(IF(AA86&lt;&gt;"Yes","",IF(K86="","Yes",IF(T86&lt;&gt;"",IF(T86&lt;=K86-'Rooms and Staff'!$B$11/1440,"Yes","No"),"No"))),"")</f>
        <v/>
      </c>
      <c r="AC86" s="23" t="n"/>
      <c r="AD86" s="23" t="n"/>
      <c r="AE86" s="24">
        <f>IFERROR(IF(A86="","",IF(C86="Room not found","Room not found",IF(COUNTIFS($A$2:$A$101,A86,$B$2:$B$101,B86)&gt;1,"Duplicate room assignment",IF(H86="","Attendant not assigned",IF(AND(N86&lt;&gt;"",O86&lt;&gt;"",O86&lt;N86),"Actual finish is before start",IF(AND(L86&lt;&gt;"",M86&lt;&gt;"",M86&lt;L86),"Planned finish is before start",IF(AND(P86="DND",O86&lt;&gt;""),"DND room marked completed",IF(AND(Q86="Yes",Z86="Completed",S86=""),"Inspection result missing",IF(S86="Failed","Inspection failed",IF(AND(K86&lt;&gt;"",J86&lt;&gt;"",K86&lt;J86),"Arrival is before check-out","OK")))))))))),"Review row")</f>
        <v/>
      </c>
      <c r="AH86">
        <f>IFERROR(IF(AND($A86='Dashboard'!$B$3,$AE86&lt;&gt;"OK",$AE86&lt;&gt;""),COUNTIFS($A$2:A86,'Dashboard'!$B$3,$AE$2:AE86,"&lt;&gt;OK",$AE$2:AE86,"&lt;&gt;"),""),"")</f>
        <v/>
      </c>
    </row>
    <row r="87">
      <c r="A87" s="28">
        <f>IFERROR(IF(B87="","",'Dashboard'!$B$3),"")</f>
        <v/>
      </c>
      <c r="B87" s="23" t="n"/>
      <c r="C87" s="29">
        <f>IFERROR(IF(B87="","",IFERROR(INDEX('Rooms and Staff'!$B$16:$B$115,MATCH(B87,'Rooms and Staff'!$A$16:$A$115,0)),"Room not found")),"")</f>
        <v/>
      </c>
      <c r="D87" s="29">
        <f>IFERROR(IF(B87="","",IFERROR(INDEX('Rooms and Staff'!$C$16:$C$115,MATCH(B87,'Rooms and Staff'!$A$16:$A$115,0)),"")),"")</f>
        <v/>
      </c>
      <c r="E87" s="23" t="n"/>
      <c r="F87" s="23" t="n"/>
      <c r="G87" s="23" t="n"/>
      <c r="H87" s="23" t="n"/>
      <c r="I87" s="23" t="n"/>
      <c r="J87" s="25" t="n"/>
      <c r="K87" s="25" t="n"/>
      <c r="L87" s="25" t="n"/>
      <c r="M87" s="25" t="n"/>
      <c r="N87" s="25" t="n"/>
      <c r="O87" s="25" t="n"/>
      <c r="P87" s="23" t="n"/>
      <c r="Q87" s="23" t="n"/>
      <c r="R87" s="23" t="n"/>
      <c r="S87" s="23" t="n"/>
      <c r="T87" s="25" t="n"/>
      <c r="U87" s="30">
        <f>IFERROR(IF(A87="","",IF(F87="Canceled",0,IF(F87="","",IF(F87="Checkout",'Rooms and Staff'!$B$4,IF(F87="Stayover",'Rooms and Staff'!$B$5,IF(F87="Deep Clean",'Rooms and Staff'!$B$6,IF(F87="Touch-Up",'Rooms and Staff'!$B$7,IF(F87="Public Area",'Rooms and Staff'!$B$8,0)))))))),"")</f>
        <v/>
      </c>
      <c r="V87" s="30">
        <f>IFERROR(IF(OR(N87="",O87=""),"",(O87-N87)*1440),"")</f>
        <v/>
      </c>
      <c r="W87" s="30">
        <f>IFERROR(IF(OR(V87="",U87=""),"",V87-U87),"")</f>
        <v/>
      </c>
      <c r="X87" s="31">
        <f>IFERROR(IF(OR(H87="",U87=""),"",(U87/60)*INDEX('Rooms and Staff'!$P$16:$P$115,MATCH(H87,'Rooms and Staff'!$J$16:$J$115,0))),"")</f>
        <v/>
      </c>
      <c r="Y87" s="31">
        <f>IFERROR(IF(OR(H87="",V87=""),"",(V87/60)*INDEX('Rooms and Staff'!$P$16:$P$115,MATCH(H87,'Rooms and Staff'!$J$16:$J$115,0))),"")</f>
        <v/>
      </c>
      <c r="Z87" s="29">
        <f>IFERROR(IF(A87="","",IF(F87="Canceled","Canceled",IF(P87="DND","On Hold",IF(O87&lt;&gt;"","Completed",IF(N87&lt;&gt;"","In Progress","Not Started"))))),"")</f>
        <v/>
      </c>
      <c r="AA87" s="29">
        <f>IFERROR(IF(A87="","",IF(Z87&lt;&gt;"Completed","No",IF(Q87="Yes",IF(S87="Passed","Yes","No"),"Yes"))),"")</f>
        <v/>
      </c>
      <c r="AB87" s="29">
        <f>IFERROR(IF(AA87&lt;&gt;"Yes","",IF(K87="","Yes",IF(T87&lt;&gt;"",IF(T87&lt;=K87-'Rooms and Staff'!$B$11/1440,"Yes","No"),"No"))),"")</f>
        <v/>
      </c>
      <c r="AC87" s="23" t="n"/>
      <c r="AD87" s="23" t="n"/>
      <c r="AE87" s="29">
        <f>IFERROR(IF(A87="","",IF(C87="Room not found","Room not found",IF(COUNTIFS($A$2:$A$101,A87,$B$2:$B$101,B87)&gt;1,"Duplicate room assignment",IF(H87="","Attendant not assigned",IF(AND(N87&lt;&gt;"",O87&lt;&gt;"",O87&lt;N87),"Actual finish is before start",IF(AND(L87&lt;&gt;"",M87&lt;&gt;"",M87&lt;L87),"Planned finish is before start",IF(AND(P87="DND",O87&lt;&gt;""),"DND room marked completed",IF(AND(Q87="Yes",Z87="Completed",S87=""),"Inspection result missing",IF(S87="Failed","Inspection failed",IF(AND(K87&lt;&gt;"",J87&lt;&gt;"",K87&lt;J87),"Arrival is before check-out","OK")))))))))),"Review row")</f>
        <v/>
      </c>
      <c r="AH87">
        <f>IFERROR(IF(AND($A87='Dashboard'!$B$3,$AE87&lt;&gt;"OK",$AE87&lt;&gt;""),COUNTIFS($A$2:A87,'Dashboard'!$B$3,$AE$2:AE87,"&lt;&gt;OK",$AE$2:AE87,"&lt;&gt;"),""),"")</f>
        <v/>
      </c>
    </row>
    <row r="88">
      <c r="A88" s="22">
        <f>IFERROR(IF(B88="","",'Dashboard'!$B$3),"")</f>
        <v/>
      </c>
      <c r="B88" s="23" t="n"/>
      <c r="C88" s="24">
        <f>IFERROR(IF(B88="","",IFERROR(INDEX('Rooms and Staff'!$B$16:$B$115,MATCH(B88,'Rooms and Staff'!$A$16:$A$115,0)),"Room not found")),"")</f>
        <v/>
      </c>
      <c r="D88" s="24">
        <f>IFERROR(IF(B88="","",IFERROR(INDEX('Rooms and Staff'!$C$16:$C$115,MATCH(B88,'Rooms and Staff'!$A$16:$A$115,0)),"")),"")</f>
        <v/>
      </c>
      <c r="E88" s="23" t="n"/>
      <c r="F88" s="23" t="n"/>
      <c r="G88" s="23" t="n"/>
      <c r="H88" s="23" t="n"/>
      <c r="I88" s="23" t="n"/>
      <c r="J88" s="25" t="n"/>
      <c r="K88" s="25" t="n"/>
      <c r="L88" s="25" t="n"/>
      <c r="M88" s="25" t="n"/>
      <c r="N88" s="25" t="n"/>
      <c r="O88" s="25" t="n"/>
      <c r="P88" s="23" t="n"/>
      <c r="Q88" s="23" t="n"/>
      <c r="R88" s="23" t="n"/>
      <c r="S88" s="23" t="n"/>
      <c r="T88" s="25" t="n"/>
      <c r="U88" s="26">
        <f>IFERROR(IF(A88="","",IF(F88="Canceled",0,IF(F88="","",IF(F88="Checkout",'Rooms and Staff'!$B$4,IF(F88="Stayover",'Rooms and Staff'!$B$5,IF(F88="Deep Clean",'Rooms and Staff'!$B$6,IF(F88="Touch-Up",'Rooms and Staff'!$B$7,IF(F88="Public Area",'Rooms and Staff'!$B$8,0)))))))),"")</f>
        <v/>
      </c>
      <c r="V88" s="26">
        <f>IFERROR(IF(OR(N88="",O88=""),"",(O88-N88)*1440),"")</f>
        <v/>
      </c>
      <c r="W88" s="26">
        <f>IFERROR(IF(OR(V88="",U88=""),"",V88-U88),"")</f>
        <v/>
      </c>
      <c r="X88" s="27">
        <f>IFERROR(IF(OR(H88="",U88=""),"",(U88/60)*INDEX('Rooms and Staff'!$P$16:$P$115,MATCH(H88,'Rooms and Staff'!$J$16:$J$115,0))),"")</f>
        <v/>
      </c>
      <c r="Y88" s="27">
        <f>IFERROR(IF(OR(H88="",V88=""),"",(V88/60)*INDEX('Rooms and Staff'!$P$16:$P$115,MATCH(H88,'Rooms and Staff'!$J$16:$J$115,0))),"")</f>
        <v/>
      </c>
      <c r="Z88" s="24">
        <f>IFERROR(IF(A88="","",IF(F88="Canceled","Canceled",IF(P88="DND","On Hold",IF(O88&lt;&gt;"","Completed",IF(N88&lt;&gt;"","In Progress","Not Started"))))),"")</f>
        <v/>
      </c>
      <c r="AA88" s="24">
        <f>IFERROR(IF(A88="","",IF(Z88&lt;&gt;"Completed","No",IF(Q88="Yes",IF(S88="Passed","Yes","No"),"Yes"))),"")</f>
        <v/>
      </c>
      <c r="AB88" s="24">
        <f>IFERROR(IF(AA88&lt;&gt;"Yes","",IF(K88="","Yes",IF(T88&lt;&gt;"",IF(T88&lt;=K88-'Rooms and Staff'!$B$11/1440,"Yes","No"),"No"))),"")</f>
        <v/>
      </c>
      <c r="AC88" s="23" t="n"/>
      <c r="AD88" s="23" t="n"/>
      <c r="AE88" s="24">
        <f>IFERROR(IF(A88="","",IF(C88="Room not found","Room not found",IF(COUNTIFS($A$2:$A$101,A88,$B$2:$B$101,B88)&gt;1,"Duplicate room assignment",IF(H88="","Attendant not assigned",IF(AND(N88&lt;&gt;"",O88&lt;&gt;"",O88&lt;N88),"Actual finish is before start",IF(AND(L88&lt;&gt;"",M88&lt;&gt;"",M88&lt;L88),"Planned finish is before start",IF(AND(P88="DND",O88&lt;&gt;""),"DND room marked completed",IF(AND(Q88="Yes",Z88="Completed",S88=""),"Inspection result missing",IF(S88="Failed","Inspection failed",IF(AND(K88&lt;&gt;"",J88&lt;&gt;"",K88&lt;J88),"Arrival is before check-out","OK")))))))))),"Review row")</f>
        <v/>
      </c>
      <c r="AH88">
        <f>IFERROR(IF(AND($A88='Dashboard'!$B$3,$AE88&lt;&gt;"OK",$AE88&lt;&gt;""),COUNTIFS($A$2:A88,'Dashboard'!$B$3,$AE$2:AE88,"&lt;&gt;OK",$AE$2:AE88,"&lt;&gt;"),""),"")</f>
        <v/>
      </c>
    </row>
    <row r="89">
      <c r="A89" s="28">
        <f>IFERROR(IF(B89="","",'Dashboard'!$B$3),"")</f>
        <v/>
      </c>
      <c r="B89" s="23" t="n"/>
      <c r="C89" s="29">
        <f>IFERROR(IF(B89="","",IFERROR(INDEX('Rooms and Staff'!$B$16:$B$115,MATCH(B89,'Rooms and Staff'!$A$16:$A$115,0)),"Room not found")),"")</f>
        <v/>
      </c>
      <c r="D89" s="29">
        <f>IFERROR(IF(B89="","",IFERROR(INDEX('Rooms and Staff'!$C$16:$C$115,MATCH(B89,'Rooms and Staff'!$A$16:$A$115,0)),"")),"")</f>
        <v/>
      </c>
      <c r="E89" s="23" t="n"/>
      <c r="F89" s="23" t="n"/>
      <c r="G89" s="23" t="n"/>
      <c r="H89" s="23" t="n"/>
      <c r="I89" s="23" t="n"/>
      <c r="J89" s="25" t="n"/>
      <c r="K89" s="25" t="n"/>
      <c r="L89" s="25" t="n"/>
      <c r="M89" s="25" t="n"/>
      <c r="N89" s="25" t="n"/>
      <c r="O89" s="25" t="n"/>
      <c r="P89" s="23" t="n"/>
      <c r="Q89" s="23" t="n"/>
      <c r="R89" s="23" t="n"/>
      <c r="S89" s="23" t="n"/>
      <c r="T89" s="25" t="n"/>
      <c r="U89" s="30">
        <f>IFERROR(IF(A89="","",IF(F89="Canceled",0,IF(F89="","",IF(F89="Checkout",'Rooms and Staff'!$B$4,IF(F89="Stayover",'Rooms and Staff'!$B$5,IF(F89="Deep Clean",'Rooms and Staff'!$B$6,IF(F89="Touch-Up",'Rooms and Staff'!$B$7,IF(F89="Public Area",'Rooms and Staff'!$B$8,0)))))))),"")</f>
        <v/>
      </c>
      <c r="V89" s="30">
        <f>IFERROR(IF(OR(N89="",O89=""),"",(O89-N89)*1440),"")</f>
        <v/>
      </c>
      <c r="W89" s="30">
        <f>IFERROR(IF(OR(V89="",U89=""),"",V89-U89),"")</f>
        <v/>
      </c>
      <c r="X89" s="31">
        <f>IFERROR(IF(OR(H89="",U89=""),"",(U89/60)*INDEX('Rooms and Staff'!$P$16:$P$115,MATCH(H89,'Rooms and Staff'!$J$16:$J$115,0))),"")</f>
        <v/>
      </c>
      <c r="Y89" s="31">
        <f>IFERROR(IF(OR(H89="",V89=""),"",(V89/60)*INDEX('Rooms and Staff'!$P$16:$P$115,MATCH(H89,'Rooms and Staff'!$J$16:$J$115,0))),"")</f>
        <v/>
      </c>
      <c r="Z89" s="29">
        <f>IFERROR(IF(A89="","",IF(F89="Canceled","Canceled",IF(P89="DND","On Hold",IF(O89&lt;&gt;"","Completed",IF(N89&lt;&gt;"","In Progress","Not Started"))))),"")</f>
        <v/>
      </c>
      <c r="AA89" s="29">
        <f>IFERROR(IF(A89="","",IF(Z89&lt;&gt;"Completed","No",IF(Q89="Yes",IF(S89="Passed","Yes","No"),"Yes"))),"")</f>
        <v/>
      </c>
      <c r="AB89" s="29">
        <f>IFERROR(IF(AA89&lt;&gt;"Yes","",IF(K89="","Yes",IF(T89&lt;&gt;"",IF(T89&lt;=K89-'Rooms and Staff'!$B$11/1440,"Yes","No"),"No"))),"")</f>
        <v/>
      </c>
      <c r="AC89" s="23" t="n"/>
      <c r="AD89" s="23" t="n"/>
      <c r="AE89" s="29">
        <f>IFERROR(IF(A89="","",IF(C89="Room not found","Room not found",IF(COUNTIFS($A$2:$A$101,A89,$B$2:$B$101,B89)&gt;1,"Duplicate room assignment",IF(H89="","Attendant not assigned",IF(AND(N89&lt;&gt;"",O89&lt;&gt;"",O89&lt;N89),"Actual finish is before start",IF(AND(L89&lt;&gt;"",M89&lt;&gt;"",M89&lt;L89),"Planned finish is before start",IF(AND(P89="DND",O89&lt;&gt;""),"DND room marked completed",IF(AND(Q89="Yes",Z89="Completed",S89=""),"Inspection result missing",IF(S89="Failed","Inspection failed",IF(AND(K89&lt;&gt;"",J89&lt;&gt;"",K89&lt;J89),"Arrival is before check-out","OK")))))))))),"Review row")</f>
        <v/>
      </c>
      <c r="AH89">
        <f>IFERROR(IF(AND($A89='Dashboard'!$B$3,$AE89&lt;&gt;"OK",$AE89&lt;&gt;""),COUNTIFS($A$2:A89,'Dashboard'!$B$3,$AE$2:AE89,"&lt;&gt;OK",$AE$2:AE89,"&lt;&gt;"),""),"")</f>
        <v/>
      </c>
    </row>
    <row r="90">
      <c r="A90" s="22">
        <f>IFERROR(IF(B90="","",'Dashboard'!$B$3),"")</f>
        <v/>
      </c>
      <c r="B90" s="23" t="n"/>
      <c r="C90" s="24">
        <f>IFERROR(IF(B90="","",IFERROR(INDEX('Rooms and Staff'!$B$16:$B$115,MATCH(B90,'Rooms and Staff'!$A$16:$A$115,0)),"Room not found")),"")</f>
        <v/>
      </c>
      <c r="D90" s="24">
        <f>IFERROR(IF(B90="","",IFERROR(INDEX('Rooms and Staff'!$C$16:$C$115,MATCH(B90,'Rooms and Staff'!$A$16:$A$115,0)),"")),"")</f>
        <v/>
      </c>
      <c r="E90" s="23" t="n"/>
      <c r="F90" s="23" t="n"/>
      <c r="G90" s="23" t="n"/>
      <c r="H90" s="23" t="n"/>
      <c r="I90" s="23" t="n"/>
      <c r="J90" s="25" t="n"/>
      <c r="K90" s="25" t="n"/>
      <c r="L90" s="25" t="n"/>
      <c r="M90" s="25" t="n"/>
      <c r="N90" s="25" t="n"/>
      <c r="O90" s="25" t="n"/>
      <c r="P90" s="23" t="n"/>
      <c r="Q90" s="23" t="n"/>
      <c r="R90" s="23" t="n"/>
      <c r="S90" s="23" t="n"/>
      <c r="T90" s="25" t="n"/>
      <c r="U90" s="26">
        <f>IFERROR(IF(A90="","",IF(F90="Canceled",0,IF(F90="","",IF(F90="Checkout",'Rooms and Staff'!$B$4,IF(F90="Stayover",'Rooms and Staff'!$B$5,IF(F90="Deep Clean",'Rooms and Staff'!$B$6,IF(F90="Touch-Up",'Rooms and Staff'!$B$7,IF(F90="Public Area",'Rooms and Staff'!$B$8,0)))))))),"")</f>
        <v/>
      </c>
      <c r="V90" s="26">
        <f>IFERROR(IF(OR(N90="",O90=""),"",(O90-N90)*1440),"")</f>
        <v/>
      </c>
      <c r="W90" s="26">
        <f>IFERROR(IF(OR(V90="",U90=""),"",V90-U90),"")</f>
        <v/>
      </c>
      <c r="X90" s="27">
        <f>IFERROR(IF(OR(H90="",U90=""),"",(U90/60)*INDEX('Rooms and Staff'!$P$16:$P$115,MATCH(H90,'Rooms and Staff'!$J$16:$J$115,0))),"")</f>
        <v/>
      </c>
      <c r="Y90" s="27">
        <f>IFERROR(IF(OR(H90="",V90=""),"",(V90/60)*INDEX('Rooms and Staff'!$P$16:$P$115,MATCH(H90,'Rooms and Staff'!$J$16:$J$115,0))),"")</f>
        <v/>
      </c>
      <c r="Z90" s="24">
        <f>IFERROR(IF(A90="","",IF(F90="Canceled","Canceled",IF(P90="DND","On Hold",IF(O90&lt;&gt;"","Completed",IF(N90&lt;&gt;"","In Progress","Not Started"))))),"")</f>
        <v/>
      </c>
      <c r="AA90" s="24">
        <f>IFERROR(IF(A90="","",IF(Z90&lt;&gt;"Completed","No",IF(Q90="Yes",IF(S90="Passed","Yes","No"),"Yes"))),"")</f>
        <v/>
      </c>
      <c r="AB90" s="24">
        <f>IFERROR(IF(AA90&lt;&gt;"Yes","",IF(K90="","Yes",IF(T90&lt;&gt;"",IF(T90&lt;=K90-'Rooms and Staff'!$B$11/1440,"Yes","No"),"No"))),"")</f>
        <v/>
      </c>
      <c r="AC90" s="23" t="n"/>
      <c r="AD90" s="23" t="n"/>
      <c r="AE90" s="24">
        <f>IFERROR(IF(A90="","",IF(C90="Room not found","Room not found",IF(COUNTIFS($A$2:$A$101,A90,$B$2:$B$101,B90)&gt;1,"Duplicate room assignment",IF(H90="","Attendant not assigned",IF(AND(N90&lt;&gt;"",O90&lt;&gt;"",O90&lt;N90),"Actual finish is before start",IF(AND(L90&lt;&gt;"",M90&lt;&gt;"",M90&lt;L90),"Planned finish is before start",IF(AND(P90="DND",O90&lt;&gt;""),"DND room marked completed",IF(AND(Q90="Yes",Z90="Completed",S90=""),"Inspection result missing",IF(S90="Failed","Inspection failed",IF(AND(K90&lt;&gt;"",J90&lt;&gt;"",K90&lt;J90),"Arrival is before check-out","OK")))))))))),"Review row")</f>
        <v/>
      </c>
      <c r="AH90">
        <f>IFERROR(IF(AND($A90='Dashboard'!$B$3,$AE90&lt;&gt;"OK",$AE90&lt;&gt;""),COUNTIFS($A$2:A90,'Dashboard'!$B$3,$AE$2:AE90,"&lt;&gt;OK",$AE$2:AE90,"&lt;&gt;"),""),"")</f>
        <v/>
      </c>
    </row>
    <row r="91">
      <c r="A91" s="28">
        <f>IFERROR(IF(B91="","",'Dashboard'!$B$3),"")</f>
        <v/>
      </c>
      <c r="B91" s="23" t="n"/>
      <c r="C91" s="29">
        <f>IFERROR(IF(B91="","",IFERROR(INDEX('Rooms and Staff'!$B$16:$B$115,MATCH(B91,'Rooms and Staff'!$A$16:$A$115,0)),"Room not found")),"")</f>
        <v/>
      </c>
      <c r="D91" s="29">
        <f>IFERROR(IF(B91="","",IFERROR(INDEX('Rooms and Staff'!$C$16:$C$115,MATCH(B91,'Rooms and Staff'!$A$16:$A$115,0)),"")),"")</f>
        <v/>
      </c>
      <c r="E91" s="23" t="n"/>
      <c r="F91" s="23" t="n"/>
      <c r="G91" s="23" t="n"/>
      <c r="H91" s="23" t="n"/>
      <c r="I91" s="23" t="n"/>
      <c r="J91" s="25" t="n"/>
      <c r="K91" s="25" t="n"/>
      <c r="L91" s="25" t="n"/>
      <c r="M91" s="25" t="n"/>
      <c r="N91" s="25" t="n"/>
      <c r="O91" s="25" t="n"/>
      <c r="P91" s="23" t="n"/>
      <c r="Q91" s="23" t="n"/>
      <c r="R91" s="23" t="n"/>
      <c r="S91" s="23" t="n"/>
      <c r="T91" s="25" t="n"/>
      <c r="U91" s="30">
        <f>IFERROR(IF(A91="","",IF(F91="Canceled",0,IF(F91="","",IF(F91="Checkout",'Rooms and Staff'!$B$4,IF(F91="Stayover",'Rooms and Staff'!$B$5,IF(F91="Deep Clean",'Rooms and Staff'!$B$6,IF(F91="Touch-Up",'Rooms and Staff'!$B$7,IF(F91="Public Area",'Rooms and Staff'!$B$8,0)))))))),"")</f>
        <v/>
      </c>
      <c r="V91" s="30">
        <f>IFERROR(IF(OR(N91="",O91=""),"",(O91-N91)*1440),"")</f>
        <v/>
      </c>
      <c r="W91" s="30">
        <f>IFERROR(IF(OR(V91="",U91=""),"",V91-U91),"")</f>
        <v/>
      </c>
      <c r="X91" s="31">
        <f>IFERROR(IF(OR(H91="",U91=""),"",(U91/60)*INDEX('Rooms and Staff'!$P$16:$P$115,MATCH(H91,'Rooms and Staff'!$J$16:$J$115,0))),"")</f>
        <v/>
      </c>
      <c r="Y91" s="31">
        <f>IFERROR(IF(OR(H91="",V91=""),"",(V91/60)*INDEX('Rooms and Staff'!$P$16:$P$115,MATCH(H91,'Rooms and Staff'!$J$16:$J$115,0))),"")</f>
        <v/>
      </c>
      <c r="Z91" s="29">
        <f>IFERROR(IF(A91="","",IF(F91="Canceled","Canceled",IF(P91="DND","On Hold",IF(O91&lt;&gt;"","Completed",IF(N91&lt;&gt;"","In Progress","Not Started"))))),"")</f>
        <v/>
      </c>
      <c r="AA91" s="29">
        <f>IFERROR(IF(A91="","",IF(Z91&lt;&gt;"Completed","No",IF(Q91="Yes",IF(S91="Passed","Yes","No"),"Yes"))),"")</f>
        <v/>
      </c>
      <c r="AB91" s="29">
        <f>IFERROR(IF(AA91&lt;&gt;"Yes","",IF(K91="","Yes",IF(T91&lt;&gt;"",IF(T91&lt;=K91-'Rooms and Staff'!$B$11/1440,"Yes","No"),"No"))),"")</f>
        <v/>
      </c>
      <c r="AC91" s="23" t="n"/>
      <c r="AD91" s="23" t="n"/>
      <c r="AE91" s="29">
        <f>IFERROR(IF(A91="","",IF(C91="Room not found","Room not found",IF(COUNTIFS($A$2:$A$101,A91,$B$2:$B$101,B91)&gt;1,"Duplicate room assignment",IF(H91="","Attendant not assigned",IF(AND(N91&lt;&gt;"",O91&lt;&gt;"",O91&lt;N91),"Actual finish is before start",IF(AND(L91&lt;&gt;"",M91&lt;&gt;"",M91&lt;L91),"Planned finish is before start",IF(AND(P91="DND",O91&lt;&gt;""),"DND room marked completed",IF(AND(Q91="Yes",Z91="Completed",S91=""),"Inspection result missing",IF(S91="Failed","Inspection failed",IF(AND(K91&lt;&gt;"",J91&lt;&gt;"",K91&lt;J91),"Arrival is before check-out","OK")))))))))),"Review row")</f>
        <v/>
      </c>
      <c r="AH91">
        <f>IFERROR(IF(AND($A91='Dashboard'!$B$3,$AE91&lt;&gt;"OK",$AE91&lt;&gt;""),COUNTIFS($A$2:A91,'Dashboard'!$B$3,$AE$2:AE91,"&lt;&gt;OK",$AE$2:AE91,"&lt;&gt;"),""),"")</f>
        <v/>
      </c>
    </row>
    <row r="92">
      <c r="A92" s="22">
        <f>IFERROR(IF(B92="","",'Dashboard'!$B$3),"")</f>
        <v/>
      </c>
      <c r="B92" s="23" t="n"/>
      <c r="C92" s="24">
        <f>IFERROR(IF(B92="","",IFERROR(INDEX('Rooms and Staff'!$B$16:$B$115,MATCH(B92,'Rooms and Staff'!$A$16:$A$115,0)),"Room not found")),"")</f>
        <v/>
      </c>
      <c r="D92" s="24">
        <f>IFERROR(IF(B92="","",IFERROR(INDEX('Rooms and Staff'!$C$16:$C$115,MATCH(B92,'Rooms and Staff'!$A$16:$A$115,0)),"")),"")</f>
        <v/>
      </c>
      <c r="E92" s="23" t="n"/>
      <c r="F92" s="23" t="n"/>
      <c r="G92" s="23" t="n"/>
      <c r="H92" s="23" t="n"/>
      <c r="I92" s="23" t="n"/>
      <c r="J92" s="25" t="n"/>
      <c r="K92" s="25" t="n"/>
      <c r="L92" s="25" t="n"/>
      <c r="M92" s="25" t="n"/>
      <c r="N92" s="25" t="n"/>
      <c r="O92" s="25" t="n"/>
      <c r="P92" s="23" t="n"/>
      <c r="Q92" s="23" t="n"/>
      <c r="R92" s="23" t="n"/>
      <c r="S92" s="23" t="n"/>
      <c r="T92" s="25" t="n"/>
      <c r="U92" s="26">
        <f>IFERROR(IF(A92="","",IF(F92="Canceled",0,IF(F92="","",IF(F92="Checkout",'Rooms and Staff'!$B$4,IF(F92="Stayover",'Rooms and Staff'!$B$5,IF(F92="Deep Clean",'Rooms and Staff'!$B$6,IF(F92="Touch-Up",'Rooms and Staff'!$B$7,IF(F92="Public Area",'Rooms and Staff'!$B$8,0)))))))),"")</f>
        <v/>
      </c>
      <c r="V92" s="26">
        <f>IFERROR(IF(OR(N92="",O92=""),"",(O92-N92)*1440),"")</f>
        <v/>
      </c>
      <c r="W92" s="26">
        <f>IFERROR(IF(OR(V92="",U92=""),"",V92-U92),"")</f>
        <v/>
      </c>
      <c r="X92" s="27">
        <f>IFERROR(IF(OR(H92="",U92=""),"",(U92/60)*INDEX('Rooms and Staff'!$P$16:$P$115,MATCH(H92,'Rooms and Staff'!$J$16:$J$115,0))),"")</f>
        <v/>
      </c>
      <c r="Y92" s="27">
        <f>IFERROR(IF(OR(H92="",V92=""),"",(V92/60)*INDEX('Rooms and Staff'!$P$16:$P$115,MATCH(H92,'Rooms and Staff'!$J$16:$J$115,0))),"")</f>
        <v/>
      </c>
      <c r="Z92" s="24">
        <f>IFERROR(IF(A92="","",IF(F92="Canceled","Canceled",IF(P92="DND","On Hold",IF(O92&lt;&gt;"","Completed",IF(N92&lt;&gt;"","In Progress","Not Started"))))),"")</f>
        <v/>
      </c>
      <c r="AA92" s="24">
        <f>IFERROR(IF(A92="","",IF(Z92&lt;&gt;"Completed","No",IF(Q92="Yes",IF(S92="Passed","Yes","No"),"Yes"))),"")</f>
        <v/>
      </c>
      <c r="AB92" s="24">
        <f>IFERROR(IF(AA92&lt;&gt;"Yes","",IF(K92="","Yes",IF(T92&lt;&gt;"",IF(T92&lt;=K92-'Rooms and Staff'!$B$11/1440,"Yes","No"),"No"))),"")</f>
        <v/>
      </c>
      <c r="AC92" s="23" t="n"/>
      <c r="AD92" s="23" t="n"/>
      <c r="AE92" s="24">
        <f>IFERROR(IF(A92="","",IF(C92="Room not found","Room not found",IF(COUNTIFS($A$2:$A$101,A92,$B$2:$B$101,B92)&gt;1,"Duplicate room assignment",IF(H92="","Attendant not assigned",IF(AND(N92&lt;&gt;"",O92&lt;&gt;"",O92&lt;N92),"Actual finish is before start",IF(AND(L92&lt;&gt;"",M92&lt;&gt;"",M92&lt;L92),"Planned finish is before start",IF(AND(P92="DND",O92&lt;&gt;""),"DND room marked completed",IF(AND(Q92="Yes",Z92="Completed",S92=""),"Inspection result missing",IF(S92="Failed","Inspection failed",IF(AND(K92&lt;&gt;"",J92&lt;&gt;"",K92&lt;J92),"Arrival is before check-out","OK")))))))))),"Review row")</f>
        <v/>
      </c>
      <c r="AH92">
        <f>IFERROR(IF(AND($A92='Dashboard'!$B$3,$AE92&lt;&gt;"OK",$AE92&lt;&gt;""),COUNTIFS($A$2:A92,'Dashboard'!$B$3,$AE$2:AE92,"&lt;&gt;OK",$AE$2:AE92,"&lt;&gt;"),""),"")</f>
        <v/>
      </c>
    </row>
    <row r="93">
      <c r="A93" s="28">
        <f>IFERROR(IF(B93="","",'Dashboard'!$B$3),"")</f>
        <v/>
      </c>
      <c r="B93" s="23" t="n"/>
      <c r="C93" s="29">
        <f>IFERROR(IF(B93="","",IFERROR(INDEX('Rooms and Staff'!$B$16:$B$115,MATCH(B93,'Rooms and Staff'!$A$16:$A$115,0)),"Room not found")),"")</f>
        <v/>
      </c>
      <c r="D93" s="29">
        <f>IFERROR(IF(B93="","",IFERROR(INDEX('Rooms and Staff'!$C$16:$C$115,MATCH(B93,'Rooms and Staff'!$A$16:$A$115,0)),"")),"")</f>
        <v/>
      </c>
      <c r="E93" s="23" t="n"/>
      <c r="F93" s="23" t="n"/>
      <c r="G93" s="23" t="n"/>
      <c r="H93" s="23" t="n"/>
      <c r="I93" s="23" t="n"/>
      <c r="J93" s="25" t="n"/>
      <c r="K93" s="25" t="n"/>
      <c r="L93" s="25" t="n"/>
      <c r="M93" s="25" t="n"/>
      <c r="N93" s="25" t="n"/>
      <c r="O93" s="25" t="n"/>
      <c r="P93" s="23" t="n"/>
      <c r="Q93" s="23" t="n"/>
      <c r="R93" s="23" t="n"/>
      <c r="S93" s="23" t="n"/>
      <c r="T93" s="25" t="n"/>
      <c r="U93" s="30">
        <f>IFERROR(IF(A93="","",IF(F93="Canceled",0,IF(F93="","",IF(F93="Checkout",'Rooms and Staff'!$B$4,IF(F93="Stayover",'Rooms and Staff'!$B$5,IF(F93="Deep Clean",'Rooms and Staff'!$B$6,IF(F93="Touch-Up",'Rooms and Staff'!$B$7,IF(F93="Public Area",'Rooms and Staff'!$B$8,0)))))))),"")</f>
        <v/>
      </c>
      <c r="V93" s="30">
        <f>IFERROR(IF(OR(N93="",O93=""),"",(O93-N93)*1440),"")</f>
        <v/>
      </c>
      <c r="W93" s="30">
        <f>IFERROR(IF(OR(V93="",U93=""),"",V93-U93),"")</f>
        <v/>
      </c>
      <c r="X93" s="31">
        <f>IFERROR(IF(OR(H93="",U93=""),"",(U93/60)*INDEX('Rooms and Staff'!$P$16:$P$115,MATCH(H93,'Rooms and Staff'!$J$16:$J$115,0))),"")</f>
        <v/>
      </c>
      <c r="Y93" s="31">
        <f>IFERROR(IF(OR(H93="",V93=""),"",(V93/60)*INDEX('Rooms and Staff'!$P$16:$P$115,MATCH(H93,'Rooms and Staff'!$J$16:$J$115,0))),"")</f>
        <v/>
      </c>
      <c r="Z93" s="29">
        <f>IFERROR(IF(A93="","",IF(F93="Canceled","Canceled",IF(P93="DND","On Hold",IF(O93&lt;&gt;"","Completed",IF(N93&lt;&gt;"","In Progress","Not Started"))))),"")</f>
        <v/>
      </c>
      <c r="AA93" s="29">
        <f>IFERROR(IF(A93="","",IF(Z93&lt;&gt;"Completed","No",IF(Q93="Yes",IF(S93="Passed","Yes","No"),"Yes"))),"")</f>
        <v/>
      </c>
      <c r="AB93" s="29">
        <f>IFERROR(IF(AA93&lt;&gt;"Yes","",IF(K93="","Yes",IF(T93&lt;&gt;"",IF(T93&lt;=K93-'Rooms and Staff'!$B$11/1440,"Yes","No"),"No"))),"")</f>
        <v/>
      </c>
      <c r="AC93" s="23" t="n"/>
      <c r="AD93" s="23" t="n"/>
      <c r="AE93" s="29">
        <f>IFERROR(IF(A93="","",IF(C93="Room not found","Room not found",IF(COUNTIFS($A$2:$A$101,A93,$B$2:$B$101,B93)&gt;1,"Duplicate room assignment",IF(H93="","Attendant not assigned",IF(AND(N93&lt;&gt;"",O93&lt;&gt;"",O93&lt;N93),"Actual finish is before start",IF(AND(L93&lt;&gt;"",M93&lt;&gt;"",M93&lt;L93),"Planned finish is before start",IF(AND(P93="DND",O93&lt;&gt;""),"DND room marked completed",IF(AND(Q93="Yes",Z93="Completed",S93=""),"Inspection result missing",IF(S93="Failed","Inspection failed",IF(AND(K93&lt;&gt;"",J93&lt;&gt;"",K93&lt;J93),"Arrival is before check-out","OK")))))))))),"Review row")</f>
        <v/>
      </c>
      <c r="AH93">
        <f>IFERROR(IF(AND($A93='Dashboard'!$B$3,$AE93&lt;&gt;"OK",$AE93&lt;&gt;""),COUNTIFS($A$2:A93,'Dashboard'!$B$3,$AE$2:AE93,"&lt;&gt;OK",$AE$2:AE93,"&lt;&gt;"),""),"")</f>
        <v/>
      </c>
    </row>
    <row r="94">
      <c r="A94" s="22">
        <f>IFERROR(IF(B94="","",'Dashboard'!$B$3),"")</f>
        <v/>
      </c>
      <c r="B94" s="23" t="n"/>
      <c r="C94" s="24">
        <f>IFERROR(IF(B94="","",IFERROR(INDEX('Rooms and Staff'!$B$16:$B$115,MATCH(B94,'Rooms and Staff'!$A$16:$A$115,0)),"Room not found")),"")</f>
        <v/>
      </c>
      <c r="D94" s="24">
        <f>IFERROR(IF(B94="","",IFERROR(INDEX('Rooms and Staff'!$C$16:$C$115,MATCH(B94,'Rooms and Staff'!$A$16:$A$115,0)),"")),"")</f>
        <v/>
      </c>
      <c r="E94" s="23" t="n"/>
      <c r="F94" s="23" t="n"/>
      <c r="G94" s="23" t="n"/>
      <c r="H94" s="23" t="n"/>
      <c r="I94" s="23" t="n"/>
      <c r="J94" s="25" t="n"/>
      <c r="K94" s="25" t="n"/>
      <c r="L94" s="25" t="n"/>
      <c r="M94" s="25" t="n"/>
      <c r="N94" s="25" t="n"/>
      <c r="O94" s="25" t="n"/>
      <c r="P94" s="23" t="n"/>
      <c r="Q94" s="23" t="n"/>
      <c r="R94" s="23" t="n"/>
      <c r="S94" s="23" t="n"/>
      <c r="T94" s="25" t="n"/>
      <c r="U94" s="26">
        <f>IFERROR(IF(A94="","",IF(F94="Canceled",0,IF(F94="","",IF(F94="Checkout",'Rooms and Staff'!$B$4,IF(F94="Stayover",'Rooms and Staff'!$B$5,IF(F94="Deep Clean",'Rooms and Staff'!$B$6,IF(F94="Touch-Up",'Rooms and Staff'!$B$7,IF(F94="Public Area",'Rooms and Staff'!$B$8,0)))))))),"")</f>
        <v/>
      </c>
      <c r="V94" s="26">
        <f>IFERROR(IF(OR(N94="",O94=""),"",(O94-N94)*1440),"")</f>
        <v/>
      </c>
      <c r="W94" s="26">
        <f>IFERROR(IF(OR(V94="",U94=""),"",V94-U94),"")</f>
        <v/>
      </c>
      <c r="X94" s="27">
        <f>IFERROR(IF(OR(H94="",U94=""),"",(U94/60)*INDEX('Rooms and Staff'!$P$16:$P$115,MATCH(H94,'Rooms and Staff'!$J$16:$J$115,0))),"")</f>
        <v/>
      </c>
      <c r="Y94" s="27">
        <f>IFERROR(IF(OR(H94="",V94=""),"",(V94/60)*INDEX('Rooms and Staff'!$P$16:$P$115,MATCH(H94,'Rooms and Staff'!$J$16:$J$115,0))),"")</f>
        <v/>
      </c>
      <c r="Z94" s="24">
        <f>IFERROR(IF(A94="","",IF(F94="Canceled","Canceled",IF(P94="DND","On Hold",IF(O94&lt;&gt;"","Completed",IF(N94&lt;&gt;"","In Progress","Not Started"))))),"")</f>
        <v/>
      </c>
      <c r="AA94" s="24">
        <f>IFERROR(IF(A94="","",IF(Z94&lt;&gt;"Completed","No",IF(Q94="Yes",IF(S94="Passed","Yes","No"),"Yes"))),"")</f>
        <v/>
      </c>
      <c r="AB94" s="24">
        <f>IFERROR(IF(AA94&lt;&gt;"Yes","",IF(K94="","Yes",IF(T94&lt;&gt;"",IF(T94&lt;=K94-'Rooms and Staff'!$B$11/1440,"Yes","No"),"No"))),"")</f>
        <v/>
      </c>
      <c r="AC94" s="23" t="n"/>
      <c r="AD94" s="23" t="n"/>
      <c r="AE94" s="24">
        <f>IFERROR(IF(A94="","",IF(C94="Room not found","Room not found",IF(COUNTIFS($A$2:$A$101,A94,$B$2:$B$101,B94)&gt;1,"Duplicate room assignment",IF(H94="","Attendant not assigned",IF(AND(N94&lt;&gt;"",O94&lt;&gt;"",O94&lt;N94),"Actual finish is before start",IF(AND(L94&lt;&gt;"",M94&lt;&gt;"",M94&lt;L94),"Planned finish is before start",IF(AND(P94="DND",O94&lt;&gt;""),"DND room marked completed",IF(AND(Q94="Yes",Z94="Completed",S94=""),"Inspection result missing",IF(S94="Failed","Inspection failed",IF(AND(K94&lt;&gt;"",J94&lt;&gt;"",K94&lt;J94),"Arrival is before check-out","OK")))))))))),"Review row")</f>
        <v/>
      </c>
      <c r="AH94">
        <f>IFERROR(IF(AND($A94='Dashboard'!$B$3,$AE94&lt;&gt;"OK",$AE94&lt;&gt;""),COUNTIFS($A$2:A94,'Dashboard'!$B$3,$AE$2:AE94,"&lt;&gt;OK",$AE$2:AE94,"&lt;&gt;"),""),"")</f>
        <v/>
      </c>
    </row>
    <row r="95">
      <c r="A95" s="28">
        <f>IFERROR(IF(B95="","",'Dashboard'!$B$3),"")</f>
        <v/>
      </c>
      <c r="B95" s="23" t="n"/>
      <c r="C95" s="29">
        <f>IFERROR(IF(B95="","",IFERROR(INDEX('Rooms and Staff'!$B$16:$B$115,MATCH(B95,'Rooms and Staff'!$A$16:$A$115,0)),"Room not found")),"")</f>
        <v/>
      </c>
      <c r="D95" s="29">
        <f>IFERROR(IF(B95="","",IFERROR(INDEX('Rooms and Staff'!$C$16:$C$115,MATCH(B95,'Rooms and Staff'!$A$16:$A$115,0)),"")),"")</f>
        <v/>
      </c>
      <c r="E95" s="23" t="n"/>
      <c r="F95" s="23" t="n"/>
      <c r="G95" s="23" t="n"/>
      <c r="H95" s="23" t="n"/>
      <c r="I95" s="23" t="n"/>
      <c r="J95" s="25" t="n"/>
      <c r="K95" s="25" t="n"/>
      <c r="L95" s="25" t="n"/>
      <c r="M95" s="25" t="n"/>
      <c r="N95" s="25" t="n"/>
      <c r="O95" s="25" t="n"/>
      <c r="P95" s="23" t="n"/>
      <c r="Q95" s="23" t="n"/>
      <c r="R95" s="23" t="n"/>
      <c r="S95" s="23" t="n"/>
      <c r="T95" s="25" t="n"/>
      <c r="U95" s="30">
        <f>IFERROR(IF(A95="","",IF(F95="Canceled",0,IF(F95="","",IF(F95="Checkout",'Rooms and Staff'!$B$4,IF(F95="Stayover",'Rooms and Staff'!$B$5,IF(F95="Deep Clean",'Rooms and Staff'!$B$6,IF(F95="Touch-Up",'Rooms and Staff'!$B$7,IF(F95="Public Area",'Rooms and Staff'!$B$8,0)))))))),"")</f>
        <v/>
      </c>
      <c r="V95" s="30">
        <f>IFERROR(IF(OR(N95="",O95=""),"",(O95-N95)*1440),"")</f>
        <v/>
      </c>
      <c r="W95" s="30">
        <f>IFERROR(IF(OR(V95="",U95=""),"",V95-U95),"")</f>
        <v/>
      </c>
      <c r="X95" s="31">
        <f>IFERROR(IF(OR(H95="",U95=""),"",(U95/60)*INDEX('Rooms and Staff'!$P$16:$P$115,MATCH(H95,'Rooms and Staff'!$J$16:$J$115,0))),"")</f>
        <v/>
      </c>
      <c r="Y95" s="31">
        <f>IFERROR(IF(OR(H95="",V95=""),"",(V95/60)*INDEX('Rooms and Staff'!$P$16:$P$115,MATCH(H95,'Rooms and Staff'!$J$16:$J$115,0))),"")</f>
        <v/>
      </c>
      <c r="Z95" s="29">
        <f>IFERROR(IF(A95="","",IF(F95="Canceled","Canceled",IF(P95="DND","On Hold",IF(O95&lt;&gt;"","Completed",IF(N95&lt;&gt;"","In Progress","Not Started"))))),"")</f>
        <v/>
      </c>
      <c r="AA95" s="29">
        <f>IFERROR(IF(A95="","",IF(Z95&lt;&gt;"Completed","No",IF(Q95="Yes",IF(S95="Passed","Yes","No"),"Yes"))),"")</f>
        <v/>
      </c>
      <c r="AB95" s="29">
        <f>IFERROR(IF(AA95&lt;&gt;"Yes","",IF(K95="","Yes",IF(T95&lt;&gt;"",IF(T95&lt;=K95-'Rooms and Staff'!$B$11/1440,"Yes","No"),"No"))),"")</f>
        <v/>
      </c>
      <c r="AC95" s="23" t="n"/>
      <c r="AD95" s="23" t="n"/>
      <c r="AE95" s="29">
        <f>IFERROR(IF(A95="","",IF(C95="Room not found","Room not found",IF(COUNTIFS($A$2:$A$101,A95,$B$2:$B$101,B95)&gt;1,"Duplicate room assignment",IF(H95="","Attendant not assigned",IF(AND(N95&lt;&gt;"",O95&lt;&gt;"",O95&lt;N95),"Actual finish is before start",IF(AND(L95&lt;&gt;"",M95&lt;&gt;"",M95&lt;L95),"Planned finish is before start",IF(AND(P95="DND",O95&lt;&gt;""),"DND room marked completed",IF(AND(Q95="Yes",Z95="Completed",S95=""),"Inspection result missing",IF(S95="Failed","Inspection failed",IF(AND(K95&lt;&gt;"",J95&lt;&gt;"",K95&lt;J95),"Arrival is before check-out","OK")))))))))),"Review row")</f>
        <v/>
      </c>
      <c r="AH95">
        <f>IFERROR(IF(AND($A95='Dashboard'!$B$3,$AE95&lt;&gt;"OK",$AE95&lt;&gt;""),COUNTIFS($A$2:A95,'Dashboard'!$B$3,$AE$2:AE95,"&lt;&gt;OK",$AE$2:AE95,"&lt;&gt;"),""),"")</f>
        <v/>
      </c>
    </row>
    <row r="96">
      <c r="A96" s="22">
        <f>IFERROR(IF(B96="","",'Dashboard'!$B$3),"")</f>
        <v/>
      </c>
      <c r="B96" s="23" t="n"/>
      <c r="C96" s="24">
        <f>IFERROR(IF(B96="","",IFERROR(INDEX('Rooms and Staff'!$B$16:$B$115,MATCH(B96,'Rooms and Staff'!$A$16:$A$115,0)),"Room not found")),"")</f>
        <v/>
      </c>
      <c r="D96" s="24">
        <f>IFERROR(IF(B96="","",IFERROR(INDEX('Rooms and Staff'!$C$16:$C$115,MATCH(B96,'Rooms and Staff'!$A$16:$A$115,0)),"")),"")</f>
        <v/>
      </c>
      <c r="E96" s="23" t="n"/>
      <c r="F96" s="23" t="n"/>
      <c r="G96" s="23" t="n"/>
      <c r="H96" s="23" t="n"/>
      <c r="I96" s="23" t="n"/>
      <c r="J96" s="25" t="n"/>
      <c r="K96" s="25" t="n"/>
      <c r="L96" s="25" t="n"/>
      <c r="M96" s="25" t="n"/>
      <c r="N96" s="25" t="n"/>
      <c r="O96" s="25" t="n"/>
      <c r="P96" s="23" t="n"/>
      <c r="Q96" s="23" t="n"/>
      <c r="R96" s="23" t="n"/>
      <c r="S96" s="23" t="n"/>
      <c r="T96" s="25" t="n"/>
      <c r="U96" s="26">
        <f>IFERROR(IF(A96="","",IF(F96="Canceled",0,IF(F96="","",IF(F96="Checkout",'Rooms and Staff'!$B$4,IF(F96="Stayover",'Rooms and Staff'!$B$5,IF(F96="Deep Clean",'Rooms and Staff'!$B$6,IF(F96="Touch-Up",'Rooms and Staff'!$B$7,IF(F96="Public Area",'Rooms and Staff'!$B$8,0)))))))),"")</f>
        <v/>
      </c>
      <c r="V96" s="26">
        <f>IFERROR(IF(OR(N96="",O96=""),"",(O96-N96)*1440),"")</f>
        <v/>
      </c>
      <c r="W96" s="26">
        <f>IFERROR(IF(OR(V96="",U96=""),"",V96-U96),"")</f>
        <v/>
      </c>
      <c r="X96" s="27">
        <f>IFERROR(IF(OR(H96="",U96=""),"",(U96/60)*INDEX('Rooms and Staff'!$P$16:$P$115,MATCH(H96,'Rooms and Staff'!$J$16:$J$115,0))),"")</f>
        <v/>
      </c>
      <c r="Y96" s="27">
        <f>IFERROR(IF(OR(H96="",V96=""),"",(V96/60)*INDEX('Rooms and Staff'!$P$16:$P$115,MATCH(H96,'Rooms and Staff'!$J$16:$J$115,0))),"")</f>
        <v/>
      </c>
      <c r="Z96" s="24">
        <f>IFERROR(IF(A96="","",IF(F96="Canceled","Canceled",IF(P96="DND","On Hold",IF(O96&lt;&gt;"","Completed",IF(N96&lt;&gt;"","In Progress","Not Started"))))),"")</f>
        <v/>
      </c>
      <c r="AA96" s="24">
        <f>IFERROR(IF(A96="","",IF(Z96&lt;&gt;"Completed","No",IF(Q96="Yes",IF(S96="Passed","Yes","No"),"Yes"))),"")</f>
        <v/>
      </c>
      <c r="AB96" s="24">
        <f>IFERROR(IF(AA96&lt;&gt;"Yes","",IF(K96="","Yes",IF(T96&lt;&gt;"",IF(T96&lt;=K96-'Rooms and Staff'!$B$11/1440,"Yes","No"),"No"))),"")</f>
        <v/>
      </c>
      <c r="AC96" s="23" t="n"/>
      <c r="AD96" s="23" t="n"/>
      <c r="AE96" s="24">
        <f>IFERROR(IF(A96="","",IF(C96="Room not found","Room not found",IF(COUNTIFS($A$2:$A$101,A96,$B$2:$B$101,B96)&gt;1,"Duplicate room assignment",IF(H96="","Attendant not assigned",IF(AND(N96&lt;&gt;"",O96&lt;&gt;"",O96&lt;N96),"Actual finish is before start",IF(AND(L96&lt;&gt;"",M96&lt;&gt;"",M96&lt;L96),"Planned finish is before start",IF(AND(P96="DND",O96&lt;&gt;""),"DND room marked completed",IF(AND(Q96="Yes",Z96="Completed",S96=""),"Inspection result missing",IF(S96="Failed","Inspection failed",IF(AND(K96&lt;&gt;"",J96&lt;&gt;"",K96&lt;J96),"Arrival is before check-out","OK")))))))))),"Review row")</f>
        <v/>
      </c>
      <c r="AH96">
        <f>IFERROR(IF(AND($A96='Dashboard'!$B$3,$AE96&lt;&gt;"OK",$AE96&lt;&gt;""),COUNTIFS($A$2:A96,'Dashboard'!$B$3,$AE$2:AE96,"&lt;&gt;OK",$AE$2:AE96,"&lt;&gt;"),""),"")</f>
        <v/>
      </c>
    </row>
    <row r="97">
      <c r="A97" s="28">
        <f>IFERROR(IF(B97="","",'Dashboard'!$B$3),"")</f>
        <v/>
      </c>
      <c r="B97" s="23" t="n"/>
      <c r="C97" s="29">
        <f>IFERROR(IF(B97="","",IFERROR(INDEX('Rooms and Staff'!$B$16:$B$115,MATCH(B97,'Rooms and Staff'!$A$16:$A$115,0)),"Room not found")),"")</f>
        <v/>
      </c>
      <c r="D97" s="29">
        <f>IFERROR(IF(B97="","",IFERROR(INDEX('Rooms and Staff'!$C$16:$C$115,MATCH(B97,'Rooms and Staff'!$A$16:$A$115,0)),"")),"")</f>
        <v/>
      </c>
      <c r="E97" s="23" t="n"/>
      <c r="F97" s="23" t="n"/>
      <c r="G97" s="23" t="n"/>
      <c r="H97" s="23" t="n"/>
      <c r="I97" s="23" t="n"/>
      <c r="J97" s="25" t="n"/>
      <c r="K97" s="25" t="n"/>
      <c r="L97" s="25" t="n"/>
      <c r="M97" s="25" t="n"/>
      <c r="N97" s="25" t="n"/>
      <c r="O97" s="25" t="n"/>
      <c r="P97" s="23" t="n"/>
      <c r="Q97" s="23" t="n"/>
      <c r="R97" s="23" t="n"/>
      <c r="S97" s="23" t="n"/>
      <c r="T97" s="25" t="n"/>
      <c r="U97" s="30">
        <f>IFERROR(IF(A97="","",IF(F97="Canceled",0,IF(F97="","",IF(F97="Checkout",'Rooms and Staff'!$B$4,IF(F97="Stayover",'Rooms and Staff'!$B$5,IF(F97="Deep Clean",'Rooms and Staff'!$B$6,IF(F97="Touch-Up",'Rooms and Staff'!$B$7,IF(F97="Public Area",'Rooms and Staff'!$B$8,0)))))))),"")</f>
        <v/>
      </c>
      <c r="V97" s="30">
        <f>IFERROR(IF(OR(N97="",O97=""),"",(O97-N97)*1440),"")</f>
        <v/>
      </c>
      <c r="W97" s="30">
        <f>IFERROR(IF(OR(V97="",U97=""),"",V97-U97),"")</f>
        <v/>
      </c>
      <c r="X97" s="31">
        <f>IFERROR(IF(OR(H97="",U97=""),"",(U97/60)*INDEX('Rooms and Staff'!$P$16:$P$115,MATCH(H97,'Rooms and Staff'!$J$16:$J$115,0))),"")</f>
        <v/>
      </c>
      <c r="Y97" s="31">
        <f>IFERROR(IF(OR(H97="",V97=""),"",(V97/60)*INDEX('Rooms and Staff'!$P$16:$P$115,MATCH(H97,'Rooms and Staff'!$J$16:$J$115,0))),"")</f>
        <v/>
      </c>
      <c r="Z97" s="29">
        <f>IFERROR(IF(A97="","",IF(F97="Canceled","Canceled",IF(P97="DND","On Hold",IF(O97&lt;&gt;"","Completed",IF(N97&lt;&gt;"","In Progress","Not Started"))))),"")</f>
        <v/>
      </c>
      <c r="AA97" s="29">
        <f>IFERROR(IF(A97="","",IF(Z97&lt;&gt;"Completed","No",IF(Q97="Yes",IF(S97="Passed","Yes","No"),"Yes"))),"")</f>
        <v/>
      </c>
      <c r="AB97" s="29">
        <f>IFERROR(IF(AA97&lt;&gt;"Yes","",IF(K97="","Yes",IF(T97&lt;&gt;"",IF(T97&lt;=K97-'Rooms and Staff'!$B$11/1440,"Yes","No"),"No"))),"")</f>
        <v/>
      </c>
      <c r="AC97" s="23" t="n"/>
      <c r="AD97" s="23" t="n"/>
      <c r="AE97" s="29">
        <f>IFERROR(IF(A97="","",IF(C97="Room not found","Room not found",IF(COUNTIFS($A$2:$A$101,A97,$B$2:$B$101,B97)&gt;1,"Duplicate room assignment",IF(H97="","Attendant not assigned",IF(AND(N97&lt;&gt;"",O97&lt;&gt;"",O97&lt;N97),"Actual finish is before start",IF(AND(L97&lt;&gt;"",M97&lt;&gt;"",M97&lt;L97),"Planned finish is before start",IF(AND(P97="DND",O97&lt;&gt;""),"DND room marked completed",IF(AND(Q97="Yes",Z97="Completed",S97=""),"Inspection result missing",IF(S97="Failed","Inspection failed",IF(AND(K97&lt;&gt;"",J97&lt;&gt;"",K97&lt;J97),"Arrival is before check-out","OK")))))))))),"Review row")</f>
        <v/>
      </c>
      <c r="AH97">
        <f>IFERROR(IF(AND($A97='Dashboard'!$B$3,$AE97&lt;&gt;"OK",$AE97&lt;&gt;""),COUNTIFS($A$2:A97,'Dashboard'!$B$3,$AE$2:AE97,"&lt;&gt;OK",$AE$2:AE97,"&lt;&gt;"),""),"")</f>
        <v/>
      </c>
    </row>
    <row r="98">
      <c r="A98" s="22">
        <f>IFERROR(IF(B98="","",'Dashboard'!$B$3),"")</f>
        <v/>
      </c>
      <c r="B98" s="23" t="n"/>
      <c r="C98" s="24">
        <f>IFERROR(IF(B98="","",IFERROR(INDEX('Rooms and Staff'!$B$16:$B$115,MATCH(B98,'Rooms and Staff'!$A$16:$A$115,0)),"Room not found")),"")</f>
        <v/>
      </c>
      <c r="D98" s="24">
        <f>IFERROR(IF(B98="","",IFERROR(INDEX('Rooms and Staff'!$C$16:$C$115,MATCH(B98,'Rooms and Staff'!$A$16:$A$115,0)),"")),"")</f>
        <v/>
      </c>
      <c r="E98" s="23" t="n"/>
      <c r="F98" s="23" t="n"/>
      <c r="G98" s="23" t="n"/>
      <c r="H98" s="23" t="n"/>
      <c r="I98" s="23" t="n"/>
      <c r="J98" s="25" t="n"/>
      <c r="K98" s="25" t="n"/>
      <c r="L98" s="25" t="n"/>
      <c r="M98" s="25" t="n"/>
      <c r="N98" s="25" t="n"/>
      <c r="O98" s="25" t="n"/>
      <c r="P98" s="23" t="n"/>
      <c r="Q98" s="23" t="n"/>
      <c r="R98" s="23" t="n"/>
      <c r="S98" s="23" t="n"/>
      <c r="T98" s="25" t="n"/>
      <c r="U98" s="26">
        <f>IFERROR(IF(A98="","",IF(F98="Canceled",0,IF(F98="","",IF(F98="Checkout",'Rooms and Staff'!$B$4,IF(F98="Stayover",'Rooms and Staff'!$B$5,IF(F98="Deep Clean",'Rooms and Staff'!$B$6,IF(F98="Touch-Up",'Rooms and Staff'!$B$7,IF(F98="Public Area",'Rooms and Staff'!$B$8,0)))))))),"")</f>
        <v/>
      </c>
      <c r="V98" s="26">
        <f>IFERROR(IF(OR(N98="",O98=""),"",(O98-N98)*1440),"")</f>
        <v/>
      </c>
      <c r="W98" s="26">
        <f>IFERROR(IF(OR(V98="",U98=""),"",V98-U98),"")</f>
        <v/>
      </c>
      <c r="X98" s="27">
        <f>IFERROR(IF(OR(H98="",U98=""),"",(U98/60)*INDEX('Rooms and Staff'!$P$16:$P$115,MATCH(H98,'Rooms and Staff'!$J$16:$J$115,0))),"")</f>
        <v/>
      </c>
      <c r="Y98" s="27">
        <f>IFERROR(IF(OR(H98="",V98=""),"",(V98/60)*INDEX('Rooms and Staff'!$P$16:$P$115,MATCH(H98,'Rooms and Staff'!$J$16:$J$115,0))),"")</f>
        <v/>
      </c>
      <c r="Z98" s="24">
        <f>IFERROR(IF(A98="","",IF(F98="Canceled","Canceled",IF(P98="DND","On Hold",IF(O98&lt;&gt;"","Completed",IF(N98&lt;&gt;"","In Progress","Not Started"))))),"")</f>
        <v/>
      </c>
      <c r="AA98" s="24">
        <f>IFERROR(IF(A98="","",IF(Z98&lt;&gt;"Completed","No",IF(Q98="Yes",IF(S98="Passed","Yes","No"),"Yes"))),"")</f>
        <v/>
      </c>
      <c r="AB98" s="24">
        <f>IFERROR(IF(AA98&lt;&gt;"Yes","",IF(K98="","Yes",IF(T98&lt;&gt;"",IF(T98&lt;=K98-'Rooms and Staff'!$B$11/1440,"Yes","No"),"No"))),"")</f>
        <v/>
      </c>
      <c r="AC98" s="23" t="n"/>
      <c r="AD98" s="23" t="n"/>
      <c r="AE98" s="24">
        <f>IFERROR(IF(A98="","",IF(C98="Room not found","Room not found",IF(COUNTIFS($A$2:$A$101,A98,$B$2:$B$101,B98)&gt;1,"Duplicate room assignment",IF(H98="","Attendant not assigned",IF(AND(N98&lt;&gt;"",O98&lt;&gt;"",O98&lt;N98),"Actual finish is before start",IF(AND(L98&lt;&gt;"",M98&lt;&gt;"",M98&lt;L98),"Planned finish is before start",IF(AND(P98="DND",O98&lt;&gt;""),"DND room marked completed",IF(AND(Q98="Yes",Z98="Completed",S98=""),"Inspection result missing",IF(S98="Failed","Inspection failed",IF(AND(K98&lt;&gt;"",J98&lt;&gt;"",K98&lt;J98),"Arrival is before check-out","OK")))))))))),"Review row")</f>
        <v/>
      </c>
      <c r="AH98">
        <f>IFERROR(IF(AND($A98='Dashboard'!$B$3,$AE98&lt;&gt;"OK",$AE98&lt;&gt;""),COUNTIFS($A$2:A98,'Dashboard'!$B$3,$AE$2:AE98,"&lt;&gt;OK",$AE$2:AE98,"&lt;&gt;"),""),"")</f>
        <v/>
      </c>
    </row>
    <row r="99">
      <c r="A99" s="28">
        <f>IFERROR(IF(B99="","",'Dashboard'!$B$3),"")</f>
        <v/>
      </c>
      <c r="B99" s="23" t="n"/>
      <c r="C99" s="29">
        <f>IFERROR(IF(B99="","",IFERROR(INDEX('Rooms and Staff'!$B$16:$B$115,MATCH(B99,'Rooms and Staff'!$A$16:$A$115,0)),"Room not found")),"")</f>
        <v/>
      </c>
      <c r="D99" s="29">
        <f>IFERROR(IF(B99="","",IFERROR(INDEX('Rooms and Staff'!$C$16:$C$115,MATCH(B99,'Rooms and Staff'!$A$16:$A$115,0)),"")),"")</f>
        <v/>
      </c>
      <c r="E99" s="23" t="n"/>
      <c r="F99" s="23" t="n"/>
      <c r="G99" s="23" t="n"/>
      <c r="H99" s="23" t="n"/>
      <c r="I99" s="23" t="n"/>
      <c r="J99" s="25" t="n"/>
      <c r="K99" s="25" t="n"/>
      <c r="L99" s="25" t="n"/>
      <c r="M99" s="25" t="n"/>
      <c r="N99" s="25" t="n"/>
      <c r="O99" s="25" t="n"/>
      <c r="P99" s="23" t="n"/>
      <c r="Q99" s="23" t="n"/>
      <c r="R99" s="23" t="n"/>
      <c r="S99" s="23" t="n"/>
      <c r="T99" s="25" t="n"/>
      <c r="U99" s="30">
        <f>IFERROR(IF(A99="","",IF(F99="Canceled",0,IF(F99="","",IF(F99="Checkout",'Rooms and Staff'!$B$4,IF(F99="Stayover",'Rooms and Staff'!$B$5,IF(F99="Deep Clean",'Rooms and Staff'!$B$6,IF(F99="Touch-Up",'Rooms and Staff'!$B$7,IF(F99="Public Area",'Rooms and Staff'!$B$8,0)))))))),"")</f>
        <v/>
      </c>
      <c r="V99" s="30">
        <f>IFERROR(IF(OR(N99="",O99=""),"",(O99-N99)*1440),"")</f>
        <v/>
      </c>
      <c r="W99" s="30">
        <f>IFERROR(IF(OR(V99="",U99=""),"",V99-U99),"")</f>
        <v/>
      </c>
      <c r="X99" s="31">
        <f>IFERROR(IF(OR(H99="",U99=""),"",(U99/60)*INDEX('Rooms and Staff'!$P$16:$P$115,MATCH(H99,'Rooms and Staff'!$J$16:$J$115,0))),"")</f>
        <v/>
      </c>
      <c r="Y99" s="31">
        <f>IFERROR(IF(OR(H99="",V99=""),"",(V99/60)*INDEX('Rooms and Staff'!$P$16:$P$115,MATCH(H99,'Rooms and Staff'!$J$16:$J$115,0))),"")</f>
        <v/>
      </c>
      <c r="Z99" s="29">
        <f>IFERROR(IF(A99="","",IF(F99="Canceled","Canceled",IF(P99="DND","On Hold",IF(O99&lt;&gt;"","Completed",IF(N99&lt;&gt;"","In Progress","Not Started"))))),"")</f>
        <v/>
      </c>
      <c r="AA99" s="29">
        <f>IFERROR(IF(A99="","",IF(Z99&lt;&gt;"Completed","No",IF(Q99="Yes",IF(S99="Passed","Yes","No"),"Yes"))),"")</f>
        <v/>
      </c>
      <c r="AB99" s="29">
        <f>IFERROR(IF(AA99&lt;&gt;"Yes","",IF(K99="","Yes",IF(T99&lt;&gt;"",IF(T99&lt;=K99-'Rooms and Staff'!$B$11/1440,"Yes","No"),"No"))),"")</f>
        <v/>
      </c>
      <c r="AC99" s="23" t="n"/>
      <c r="AD99" s="23" t="n"/>
      <c r="AE99" s="29">
        <f>IFERROR(IF(A99="","",IF(C99="Room not found","Room not found",IF(COUNTIFS($A$2:$A$101,A99,$B$2:$B$101,B99)&gt;1,"Duplicate room assignment",IF(H99="","Attendant not assigned",IF(AND(N99&lt;&gt;"",O99&lt;&gt;"",O99&lt;N99),"Actual finish is before start",IF(AND(L99&lt;&gt;"",M99&lt;&gt;"",M99&lt;L99),"Planned finish is before start",IF(AND(P99="DND",O99&lt;&gt;""),"DND room marked completed",IF(AND(Q99="Yes",Z99="Completed",S99=""),"Inspection result missing",IF(S99="Failed","Inspection failed",IF(AND(K99&lt;&gt;"",J99&lt;&gt;"",K99&lt;J99),"Arrival is before check-out","OK")))))))))),"Review row")</f>
        <v/>
      </c>
      <c r="AH99">
        <f>IFERROR(IF(AND($A99='Dashboard'!$B$3,$AE99&lt;&gt;"OK",$AE99&lt;&gt;""),COUNTIFS($A$2:A99,'Dashboard'!$B$3,$AE$2:AE99,"&lt;&gt;OK",$AE$2:AE99,"&lt;&gt;"),""),"")</f>
        <v/>
      </c>
    </row>
    <row r="100">
      <c r="A100" s="22">
        <f>IFERROR(IF(B100="","",'Dashboard'!$B$3),"")</f>
        <v/>
      </c>
      <c r="B100" s="23" t="n"/>
      <c r="C100" s="24">
        <f>IFERROR(IF(B100="","",IFERROR(INDEX('Rooms and Staff'!$B$16:$B$115,MATCH(B100,'Rooms and Staff'!$A$16:$A$115,0)),"Room not found")),"")</f>
        <v/>
      </c>
      <c r="D100" s="24">
        <f>IFERROR(IF(B100="","",IFERROR(INDEX('Rooms and Staff'!$C$16:$C$115,MATCH(B100,'Rooms and Staff'!$A$16:$A$115,0)),"")),"")</f>
        <v/>
      </c>
      <c r="E100" s="23" t="n"/>
      <c r="F100" s="23" t="n"/>
      <c r="G100" s="23" t="n"/>
      <c r="H100" s="23" t="n"/>
      <c r="I100" s="23" t="n"/>
      <c r="J100" s="25" t="n"/>
      <c r="K100" s="25" t="n"/>
      <c r="L100" s="25" t="n"/>
      <c r="M100" s="25" t="n"/>
      <c r="N100" s="25" t="n"/>
      <c r="O100" s="25" t="n"/>
      <c r="P100" s="23" t="n"/>
      <c r="Q100" s="23" t="n"/>
      <c r="R100" s="23" t="n"/>
      <c r="S100" s="23" t="n"/>
      <c r="T100" s="25" t="n"/>
      <c r="U100" s="26">
        <f>IFERROR(IF(A100="","",IF(F100="Canceled",0,IF(F100="","",IF(F100="Checkout",'Rooms and Staff'!$B$4,IF(F100="Stayover",'Rooms and Staff'!$B$5,IF(F100="Deep Clean",'Rooms and Staff'!$B$6,IF(F100="Touch-Up",'Rooms and Staff'!$B$7,IF(F100="Public Area",'Rooms and Staff'!$B$8,0)))))))),"")</f>
        <v/>
      </c>
      <c r="V100" s="26">
        <f>IFERROR(IF(OR(N100="",O100=""),"",(O100-N100)*1440),"")</f>
        <v/>
      </c>
      <c r="W100" s="26">
        <f>IFERROR(IF(OR(V100="",U100=""),"",V100-U100),"")</f>
        <v/>
      </c>
      <c r="X100" s="27">
        <f>IFERROR(IF(OR(H100="",U100=""),"",(U100/60)*INDEX('Rooms and Staff'!$P$16:$P$115,MATCH(H100,'Rooms and Staff'!$J$16:$J$115,0))),"")</f>
        <v/>
      </c>
      <c r="Y100" s="27">
        <f>IFERROR(IF(OR(H100="",V100=""),"",(V100/60)*INDEX('Rooms and Staff'!$P$16:$P$115,MATCH(H100,'Rooms and Staff'!$J$16:$J$115,0))),"")</f>
        <v/>
      </c>
      <c r="Z100" s="24">
        <f>IFERROR(IF(A100="","",IF(F100="Canceled","Canceled",IF(P100="DND","On Hold",IF(O100&lt;&gt;"","Completed",IF(N100&lt;&gt;"","In Progress","Not Started"))))),"")</f>
        <v/>
      </c>
      <c r="AA100" s="24">
        <f>IFERROR(IF(A100="","",IF(Z100&lt;&gt;"Completed","No",IF(Q100="Yes",IF(S100="Passed","Yes","No"),"Yes"))),"")</f>
        <v/>
      </c>
      <c r="AB100" s="24">
        <f>IFERROR(IF(AA100&lt;&gt;"Yes","",IF(K100="","Yes",IF(T100&lt;&gt;"",IF(T100&lt;=K100-'Rooms and Staff'!$B$11/1440,"Yes","No"),"No"))),"")</f>
        <v/>
      </c>
      <c r="AC100" s="23" t="n"/>
      <c r="AD100" s="23" t="n"/>
      <c r="AE100" s="24">
        <f>IFERROR(IF(A100="","",IF(C100="Room not found","Room not found",IF(COUNTIFS($A$2:$A$101,A100,$B$2:$B$101,B100)&gt;1,"Duplicate room assignment",IF(H100="","Attendant not assigned",IF(AND(N100&lt;&gt;"",O100&lt;&gt;"",O100&lt;N100),"Actual finish is before start",IF(AND(L100&lt;&gt;"",M100&lt;&gt;"",M100&lt;L100),"Planned finish is before start",IF(AND(P100="DND",O100&lt;&gt;""),"DND room marked completed",IF(AND(Q100="Yes",Z100="Completed",S100=""),"Inspection result missing",IF(S100="Failed","Inspection failed",IF(AND(K100&lt;&gt;"",J100&lt;&gt;"",K100&lt;J100),"Arrival is before check-out","OK")))))))))),"Review row")</f>
        <v/>
      </c>
      <c r="AH100">
        <f>IFERROR(IF(AND($A100='Dashboard'!$B$3,$AE100&lt;&gt;"OK",$AE100&lt;&gt;""),COUNTIFS($A$2:A100,'Dashboard'!$B$3,$AE$2:AE100,"&lt;&gt;OK",$AE$2:AE100,"&lt;&gt;"),""),"")</f>
        <v/>
      </c>
    </row>
    <row r="101">
      <c r="A101" s="28">
        <f>IFERROR(IF(B101="","",'Dashboard'!$B$3),"")</f>
        <v/>
      </c>
      <c r="B101" s="23" t="n"/>
      <c r="C101" s="29">
        <f>IFERROR(IF(B101="","",IFERROR(INDEX('Rooms and Staff'!$B$16:$B$115,MATCH(B101,'Rooms and Staff'!$A$16:$A$115,0)),"Room not found")),"")</f>
        <v/>
      </c>
      <c r="D101" s="29">
        <f>IFERROR(IF(B101="","",IFERROR(INDEX('Rooms and Staff'!$C$16:$C$115,MATCH(B101,'Rooms and Staff'!$A$16:$A$115,0)),"")),"")</f>
        <v/>
      </c>
      <c r="E101" s="23" t="n"/>
      <c r="F101" s="23" t="n"/>
      <c r="G101" s="23" t="n"/>
      <c r="H101" s="23" t="n"/>
      <c r="I101" s="23" t="n"/>
      <c r="J101" s="25" t="n"/>
      <c r="K101" s="25" t="n"/>
      <c r="L101" s="25" t="n"/>
      <c r="M101" s="25" t="n"/>
      <c r="N101" s="25" t="n"/>
      <c r="O101" s="25" t="n"/>
      <c r="P101" s="23" t="n"/>
      <c r="Q101" s="23" t="n"/>
      <c r="R101" s="23" t="n"/>
      <c r="S101" s="23" t="n"/>
      <c r="T101" s="25" t="n"/>
      <c r="U101" s="30">
        <f>IFERROR(IF(A101="","",IF(F101="Canceled",0,IF(F101="","",IF(F101="Checkout",'Rooms and Staff'!$B$4,IF(F101="Stayover",'Rooms and Staff'!$B$5,IF(F101="Deep Clean",'Rooms and Staff'!$B$6,IF(F101="Touch-Up",'Rooms and Staff'!$B$7,IF(F101="Public Area",'Rooms and Staff'!$B$8,0)))))))),"")</f>
        <v/>
      </c>
      <c r="V101" s="30">
        <f>IFERROR(IF(OR(N101="",O101=""),"",(O101-N101)*1440),"")</f>
        <v/>
      </c>
      <c r="W101" s="30">
        <f>IFERROR(IF(OR(V101="",U101=""),"",V101-U101),"")</f>
        <v/>
      </c>
      <c r="X101" s="31">
        <f>IFERROR(IF(OR(H101="",U101=""),"",(U101/60)*INDEX('Rooms and Staff'!$P$16:$P$115,MATCH(H101,'Rooms and Staff'!$J$16:$J$115,0))),"")</f>
        <v/>
      </c>
      <c r="Y101" s="31">
        <f>IFERROR(IF(OR(H101="",V101=""),"",(V101/60)*INDEX('Rooms and Staff'!$P$16:$P$115,MATCH(H101,'Rooms and Staff'!$J$16:$J$115,0))),"")</f>
        <v/>
      </c>
      <c r="Z101" s="29">
        <f>IFERROR(IF(A101="","",IF(F101="Canceled","Canceled",IF(P101="DND","On Hold",IF(O101&lt;&gt;"","Completed",IF(N101&lt;&gt;"","In Progress","Not Started"))))),"")</f>
        <v/>
      </c>
      <c r="AA101" s="29">
        <f>IFERROR(IF(A101="","",IF(Z101&lt;&gt;"Completed","No",IF(Q101="Yes",IF(S101="Passed","Yes","No"),"Yes"))),"")</f>
        <v/>
      </c>
      <c r="AB101" s="29">
        <f>IFERROR(IF(AA101&lt;&gt;"Yes","",IF(K101="","Yes",IF(T101&lt;&gt;"",IF(T101&lt;=K101-'Rooms and Staff'!$B$11/1440,"Yes","No"),"No"))),"")</f>
        <v/>
      </c>
      <c r="AC101" s="23" t="n"/>
      <c r="AD101" s="23" t="n"/>
      <c r="AE101" s="29">
        <f>IFERROR(IF(A101="","",IF(C101="Room not found","Room not found",IF(COUNTIFS($A$2:$A$101,A101,$B$2:$B$101,B101)&gt;1,"Duplicate room assignment",IF(H101="","Attendant not assigned",IF(AND(N101&lt;&gt;"",O101&lt;&gt;"",O101&lt;N101),"Actual finish is before start",IF(AND(L101&lt;&gt;"",M101&lt;&gt;"",M101&lt;L101),"Planned finish is before start",IF(AND(P101="DND",O101&lt;&gt;""),"DND room marked completed",IF(AND(Q101="Yes",Z101="Completed",S101=""),"Inspection result missing",IF(S101="Failed","Inspection failed",IF(AND(K101&lt;&gt;"",J101&lt;&gt;"",K101&lt;J101),"Arrival is before check-out","OK")))))))))),"Review row")</f>
        <v/>
      </c>
      <c r="AH101">
        <f>IFERROR(IF(AND($A101='Dashboard'!$B$3,$AE101&lt;&gt;"OK",$AE101&lt;&gt;""),COUNTIFS($A$2:A101,'Dashboard'!$B$3,$AE$2:AE101,"&lt;&gt;OK",$AE$2:AE101,"&lt;&gt;"),""),"")</f>
        <v/>
      </c>
    </row>
  </sheetData>
  <autoFilter ref="A1:AE101"/>
  <conditionalFormatting sqref="Z2:Z101">
    <cfRule type="expression" priority="1" dxfId="1">
      <formula>AND($A2&lt;&gt;"",$Z2="Completed")</formula>
    </cfRule>
    <cfRule type="expression" priority="2" dxfId="3">
      <formula>AND($A2&lt;&gt;"",$Z2="In Progress")</formula>
    </cfRule>
    <cfRule type="expression" priority="3" dxfId="2">
      <formula>AND($A2&lt;&gt;"",$Z2="On Hold")</formula>
    </cfRule>
  </conditionalFormatting>
  <conditionalFormatting sqref="G2:G101">
    <cfRule type="expression" priority="4" dxfId="0">
      <formula>AND($A2&lt;&gt;"",$G2="Rush")</formula>
    </cfRule>
  </conditionalFormatting>
  <conditionalFormatting sqref="S2:S101">
    <cfRule type="expression" priority="5" dxfId="0">
      <formula>AND($A2&lt;&gt;"",$S2="Failed")</formula>
    </cfRule>
  </conditionalFormatting>
  <conditionalFormatting sqref="AB2:AB101">
    <cfRule type="expression" priority="6" dxfId="0">
      <formula>AND($A2&lt;&gt;"",$AB2="No")</formula>
    </cfRule>
  </conditionalFormatting>
  <conditionalFormatting sqref="AE2:AE101">
    <cfRule type="expression" priority="7" dxfId="0">
      <formula>AND($A2&lt;&gt;"",$AE2&lt;&gt;"OK",$AE2&lt;&gt;"")</formula>
    </cfRule>
    <cfRule type="expression" priority="8" dxfId="1">
      <formula>AND($A2&lt;&gt;"",$AE2="OK")</formula>
    </cfRule>
  </conditionalFormatting>
  <conditionalFormatting sqref="P2:P101">
    <cfRule type="expression" priority="9" dxfId="2">
      <formula>AND($A2&lt;&gt;"",$P2="DND")</formula>
    </cfRule>
  </conditionalFormatting>
  <dataValidations count="10">
    <dataValidation sqref="E2:E101" showDropDown="0" showInputMessage="0" showErrorMessage="1" allowBlank="0" errorTitle="Invalid selection" error="Select a value from the list." type="list">
      <formula1>"Vacant Dirty,Vacant Clean,Occupied,Due Out,Out of Order,Out of Service"</formula1>
    </dataValidation>
    <dataValidation sqref="F2:F101" showDropDown="0" showInputMessage="0" showErrorMessage="1" allowBlank="0" errorTitle="Invalid selection" error="Select a value from the list." type="list">
      <formula1>"Checkout,Stayover,Deep Clean,Touch-Up,Public Area,Canceled"</formula1>
    </dataValidation>
    <dataValidation sqref="G2:G101" showDropDown="0" showInputMessage="0" showErrorMessage="1" allowBlank="0" errorTitle="Invalid selection" error="Select a value from the list." type="list">
      <formula1>"Rush,High,Standard,Low"</formula1>
    </dataValidation>
    <dataValidation sqref="I2:I101" showDropDown="0" showInputMessage="0" showErrorMessage="1" allowBlank="0" errorTitle="Invalid selection" error="Select a value from the list." type="list">
      <formula1>"Day,Evening,Overnight"</formula1>
    </dataValidation>
    <dataValidation sqref="P2:P101" showDropDown="0" showInputMessage="0" showErrorMessage="1" allowBlank="0" errorTitle="Invalid selection" error="Select a value from the list." type="list">
      <formula1>"Clear,DND,Guest Contacted,Supervisor Override"</formula1>
    </dataValidation>
    <dataValidation sqref="Q2:Q101" showDropDown="0" showInputMessage="0" showErrorMessage="1" allowBlank="0" errorTitle="Invalid selection" error="Select a value from the list." type="list">
      <formula1>"Yes,No"</formula1>
    </dataValidation>
    <dataValidation sqref="S2:S101" showDropDown="0" showInputMessage="0" showErrorMessage="1" allowBlank="0" errorTitle="Invalid selection" error="Select a value from the list." type="list">
      <formula1>"Passed,Failed,Reinspect,Not Required"</formula1>
    </dataValidation>
    <dataValidation sqref="B2:B101" showDropDown="0" showInputMessage="0" showErrorMessage="1" allowBlank="0" errorTitle="Roster entry required" error="Select an entry from the prepared roster." type="list">
      <formula1>'Rooms and Staff'!$A$16:$A$115</formula1>
    </dataValidation>
    <dataValidation sqref="H2:H101" showDropDown="0" showInputMessage="0" showErrorMessage="1" allowBlank="0" errorTitle="Roster entry required" error="Select an entry from the prepared roster." type="list">
      <formula1>'Rooms and Staff'!$J$16:$J$115</formula1>
    </dataValidation>
    <dataValidation sqref="R2:R101" showDropDown="0" showInputMessage="0" showErrorMessage="1" allowBlank="0" errorTitle="Roster entry required" error="Select an entry from the prepared roster." type="list">
      <formula1>'Rooms and Staff'!$J$16:$J$115</formula1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15"/>
  <sheetViews>
    <sheetView zoomScale="70" zoomScaleNormal="7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49" customWidth="1" min="1" max="1"/>
    <col width="16" customWidth="1" min="2" max="2"/>
    <col width="10" customWidth="1" min="3" max="3"/>
    <col width="20" customWidth="1" min="4" max="4"/>
    <col width="22" customWidth="1" min="5" max="5"/>
    <col width="24" customWidth="1" min="6" max="6"/>
    <col width="12" customWidth="1" min="7" max="7"/>
    <col width="28" customWidth="1" min="8" max="8"/>
    <col width="3" customWidth="1" min="9" max="9"/>
    <col width="23" customWidth="1" min="10" max="10"/>
    <col width="27" customWidth="1" min="11" max="11"/>
    <col width="15" customWidth="1" min="12" max="12"/>
    <col width="14" customWidth="1" min="13" max="13"/>
    <col width="14" customWidth="1" min="14" max="14"/>
    <col width="16" customWidth="1" min="15" max="15"/>
    <col width="15" customWidth="1" min="16" max="16"/>
    <col width="16" customWidth="1" min="17" max="17"/>
    <col width="12" customWidth="1" min="18" max="18"/>
    <col width="28" customWidth="1" min="19" max="19"/>
  </cols>
  <sheetData>
    <row r="1">
      <c r="A1" s="32" t="inlineStr">
        <is>
          <t>Rooms and Staff</t>
        </is>
      </c>
    </row>
    <row r="3">
      <c r="A3" s="33" t="inlineStr">
        <is>
          <t>Property Room Count</t>
        </is>
      </c>
      <c r="B3" s="6" t="n">
        <v>75</v>
      </c>
    </row>
    <row r="4">
      <c r="A4" s="34" t="inlineStr">
        <is>
          <t>Standard Checkout Clean Minutes</t>
        </is>
      </c>
      <c r="B4" s="6" t="n">
        <v>35</v>
      </c>
    </row>
    <row r="5">
      <c r="A5" s="34" t="inlineStr">
        <is>
          <t>Standard Stayover Clean Minutes</t>
        </is>
      </c>
      <c r="B5" s="6" t="n">
        <v>20</v>
      </c>
    </row>
    <row r="6">
      <c r="A6" s="34" t="inlineStr">
        <is>
          <t>Standard Deep Clean Minutes</t>
        </is>
      </c>
      <c r="B6" s="6" t="n">
        <v>60</v>
      </c>
    </row>
    <row r="7">
      <c r="A7" s="34" t="inlineStr">
        <is>
          <t>Standard Touch-Up Minutes</t>
        </is>
      </c>
      <c r="B7" s="6" t="n">
        <v>15</v>
      </c>
    </row>
    <row r="8">
      <c r="A8" s="34" t="inlineStr">
        <is>
          <t>Standard Public Area Task Minutes</t>
        </is>
      </c>
      <c r="B8" s="6" t="n">
        <v>30</v>
      </c>
    </row>
    <row r="9">
      <c r="A9" s="34" t="inlineStr">
        <is>
          <t>Labor Target Rooms per Attendant</t>
        </is>
      </c>
      <c r="B9" s="6" t="n">
        <v>14</v>
      </c>
    </row>
    <row r="10">
      <c r="A10" s="34" t="inlineStr">
        <is>
          <t>Required Room-Ready Buffer Before Arrival (Minutes)</t>
        </is>
      </c>
      <c r="B10" s="6" t="n">
        <v>30</v>
      </c>
    </row>
    <row r="11">
      <c r="A11" s="34" t="inlineStr">
        <is>
          <t>Labor Variance Warning Threshold (Minutes)</t>
        </is>
      </c>
      <c r="B11" s="6" t="n">
        <v>10</v>
      </c>
    </row>
    <row r="12">
      <c r="A12" s="34" t="inlineStr">
        <is>
          <t>On-Time Ready Rate Target</t>
        </is>
      </c>
      <c r="B12" s="6" t="n">
        <v>0.95</v>
      </c>
    </row>
    <row r="13">
      <c r="B13" s="35" t="n"/>
    </row>
    <row r="15">
      <c r="A15" s="21" t="inlineStr">
        <is>
          <t>Room</t>
        </is>
      </c>
      <c r="B15" s="21" t="inlineStr">
        <is>
          <t>Room Type</t>
        </is>
      </c>
      <c r="C15" s="21" t="inlineStr">
        <is>
          <t>Floor</t>
        </is>
      </c>
      <c r="D15" s="21" t="inlineStr">
        <is>
          <t>Building or Wing</t>
        </is>
      </c>
      <c r="E15" s="21" t="inlineStr">
        <is>
          <t>Standard Cleaning Zone</t>
        </is>
      </c>
      <c r="F15" s="21" t="inlineStr">
        <is>
          <t>Inspection Required by Default</t>
        </is>
      </c>
      <c r="G15" s="21" t="inlineStr">
        <is>
          <t>Active</t>
        </is>
      </c>
      <c r="H15" s="21" t="inlineStr">
        <is>
          <t>Room Notes</t>
        </is>
      </c>
      <c r="J15" s="21" t="inlineStr">
        <is>
          <t>Staff Name</t>
        </is>
      </c>
      <c r="K15" s="21" t="inlineStr">
        <is>
          <t>Role</t>
        </is>
      </c>
      <c r="L15" s="21" t="inlineStr">
        <is>
          <t>Primary Shift</t>
        </is>
      </c>
      <c r="M15" s="21" t="inlineStr">
        <is>
          <t>Shift Start</t>
        </is>
      </c>
      <c r="N15" s="21" t="inlineStr">
        <is>
          <t>Shift End</t>
        </is>
      </c>
      <c r="O15" s="21" t="inlineStr">
        <is>
          <t>Scheduled Hours</t>
        </is>
      </c>
      <c r="P15" s="21" t="inlineStr">
        <is>
          <t>Hourly Rate</t>
        </is>
      </c>
      <c r="Q15" s="21" t="inlineStr">
        <is>
          <t>Primary Zone</t>
        </is>
      </c>
      <c r="R15" s="21" t="inlineStr">
        <is>
          <t>Active</t>
        </is>
      </c>
      <c r="S15" s="21" t="inlineStr">
        <is>
          <t>Supervisor Notes</t>
        </is>
      </c>
    </row>
    <row r="16">
      <c r="A16" s="36" t="inlineStr">
        <is>
          <t>101</t>
        </is>
      </c>
      <c r="B16" s="36" t="inlineStr">
        <is>
          <t>King</t>
        </is>
      </c>
      <c r="C16" s="36" t="n">
        <v>1</v>
      </c>
      <c r="D16" s="36" t="inlineStr">
        <is>
          <t>Main Building</t>
        </is>
      </c>
      <c r="E16" s="36" t="inlineStr">
        <is>
          <t>Zone A</t>
        </is>
      </c>
      <c r="F16" s="36" t="inlineStr">
        <is>
          <t>Yes</t>
        </is>
      </c>
      <c r="G16" s="36" t="inlineStr">
        <is>
          <t>Yes</t>
        </is>
      </c>
      <c r="H16" s="36" t="inlineStr">
        <is>
          <t>Near lobby</t>
        </is>
      </c>
      <c r="J16" s="36" t="inlineStr">
        <is>
          <t>Maria Lopez</t>
        </is>
      </c>
      <c r="K16" s="36" t="inlineStr">
        <is>
          <t>Room Attendant</t>
        </is>
      </c>
      <c r="L16" s="36" t="inlineStr">
        <is>
          <t>Day</t>
        </is>
      </c>
      <c r="M16" s="37" t="n">
        <v>0.3333333333333333</v>
      </c>
      <c r="N16" s="37" t="n">
        <v>0.6875</v>
      </c>
      <c r="O16" s="38" t="n">
        <v>8</v>
      </c>
      <c r="P16" s="39" t="n">
        <v>18.5</v>
      </c>
      <c r="Q16" s="36" t="inlineStr">
        <is>
          <t>Zone A</t>
        </is>
      </c>
      <c r="R16" s="36" t="inlineStr">
        <is>
          <t>Yes</t>
        </is>
      </c>
      <c r="S16" s="36" t="inlineStr"/>
    </row>
    <row r="17">
      <c r="A17" s="36" t="inlineStr">
        <is>
          <t>102</t>
        </is>
      </c>
      <c r="B17" s="36" t="inlineStr">
        <is>
          <t>Two Queens</t>
        </is>
      </c>
      <c r="C17" s="36" t="n">
        <v>1</v>
      </c>
      <c r="D17" s="36" t="inlineStr">
        <is>
          <t>Main Building</t>
        </is>
      </c>
      <c r="E17" s="36" t="inlineStr">
        <is>
          <t>Zone A</t>
        </is>
      </c>
      <c r="F17" s="36" t="inlineStr">
        <is>
          <t>No</t>
        </is>
      </c>
      <c r="G17" s="36" t="inlineStr">
        <is>
          <t>Yes</t>
        </is>
      </c>
      <c r="H17" s="36" t="inlineStr">
        <is>
          <t>Connecting door to 104</t>
        </is>
      </c>
      <c r="J17" s="36" t="inlineStr">
        <is>
          <t>James Carter</t>
        </is>
      </c>
      <c r="K17" s="36" t="inlineStr">
        <is>
          <t>Room Attendant</t>
        </is>
      </c>
      <c r="L17" s="36" t="inlineStr">
        <is>
          <t>Day</t>
        </is>
      </c>
      <c r="M17" s="37" t="n">
        <v>0.3333333333333333</v>
      </c>
      <c r="N17" s="37" t="n">
        <v>0.6875</v>
      </c>
      <c r="O17" s="38" t="n">
        <v>8</v>
      </c>
      <c r="P17" s="39" t="n">
        <v>18.25</v>
      </c>
      <c r="Q17" s="36" t="inlineStr">
        <is>
          <t>Zone A</t>
        </is>
      </c>
      <c r="R17" s="36" t="inlineStr">
        <is>
          <t>Yes</t>
        </is>
      </c>
      <c r="S17" s="36" t="inlineStr"/>
    </row>
    <row r="18">
      <c r="A18" s="36" t="inlineStr">
        <is>
          <t>103</t>
        </is>
      </c>
      <c r="B18" s="36" t="inlineStr">
        <is>
          <t>King</t>
        </is>
      </c>
      <c r="C18" s="36" t="n">
        <v>1</v>
      </c>
      <c r="D18" s="36" t="inlineStr">
        <is>
          <t>Main Building</t>
        </is>
      </c>
      <c r="E18" s="36" t="inlineStr">
        <is>
          <t>Zone A</t>
        </is>
      </c>
      <c r="F18" s="36" t="inlineStr">
        <is>
          <t>Yes</t>
        </is>
      </c>
      <c r="G18" s="36" t="inlineStr">
        <is>
          <t>Yes</t>
        </is>
      </c>
      <c r="H18" s="36" t="inlineStr">
        <is>
          <t>Courtyard view</t>
        </is>
      </c>
      <c r="J18" s="36" t="inlineStr">
        <is>
          <t>Denise Williams</t>
        </is>
      </c>
      <c r="K18" s="36" t="inlineStr">
        <is>
          <t>Room Attendant</t>
        </is>
      </c>
      <c r="L18" s="36" t="inlineStr">
        <is>
          <t>Day</t>
        </is>
      </c>
      <c r="M18" s="37" t="n">
        <v>0.3541666666666667</v>
      </c>
      <c r="N18" s="37" t="n">
        <v>0.7083333333333334</v>
      </c>
      <c r="O18" s="38" t="n">
        <v>8</v>
      </c>
      <c r="P18" s="39" t="n">
        <v>19</v>
      </c>
      <c r="Q18" s="36" t="inlineStr">
        <is>
          <t>Zone B</t>
        </is>
      </c>
      <c r="R18" s="36" t="inlineStr">
        <is>
          <t>Yes</t>
        </is>
      </c>
      <c r="S18" s="36" t="inlineStr"/>
    </row>
    <row r="19">
      <c r="A19" s="36" t="inlineStr">
        <is>
          <t>104</t>
        </is>
      </c>
      <c r="B19" s="36" t="inlineStr">
        <is>
          <t>Suite</t>
        </is>
      </c>
      <c r="C19" s="36" t="n">
        <v>1</v>
      </c>
      <c r="D19" s="36" t="inlineStr">
        <is>
          <t>Main Building</t>
        </is>
      </c>
      <c r="E19" s="36" t="inlineStr">
        <is>
          <t>Zone A</t>
        </is>
      </c>
      <c r="F19" s="36" t="inlineStr">
        <is>
          <t>Yes</t>
        </is>
      </c>
      <c r="G19" s="36" t="inlineStr">
        <is>
          <t>Yes</t>
        </is>
      </c>
      <c r="H19" s="36" t="inlineStr">
        <is>
          <t>Living room and sofa bed</t>
        </is>
      </c>
      <c r="J19" s="36" t="inlineStr">
        <is>
          <t>Kevin Nguyen</t>
        </is>
      </c>
      <c r="K19" s="36" t="inlineStr">
        <is>
          <t>Room Attendant</t>
        </is>
      </c>
      <c r="L19" s="36" t="inlineStr">
        <is>
          <t>Day</t>
        </is>
      </c>
      <c r="M19" s="37" t="n">
        <v>0.375</v>
      </c>
      <c r="N19" s="37" t="n">
        <v>0.7291666666666666</v>
      </c>
      <c r="O19" s="38" t="n">
        <v>8</v>
      </c>
      <c r="P19" s="39" t="n">
        <v>18.75</v>
      </c>
      <c r="Q19" s="36" t="inlineStr">
        <is>
          <t>Zone B</t>
        </is>
      </c>
      <c r="R19" s="36" t="inlineStr">
        <is>
          <t>Yes</t>
        </is>
      </c>
      <c r="S19" s="36" t="inlineStr"/>
    </row>
    <row r="20">
      <c r="A20" s="36" t="inlineStr">
        <is>
          <t>201</t>
        </is>
      </c>
      <c r="B20" s="36" t="inlineStr">
        <is>
          <t>Two Queens</t>
        </is>
      </c>
      <c r="C20" s="36" t="n">
        <v>2</v>
      </c>
      <c r="D20" s="36" t="inlineStr">
        <is>
          <t>Main Building</t>
        </is>
      </c>
      <c r="E20" s="36" t="inlineStr">
        <is>
          <t>Zone B</t>
        </is>
      </c>
      <c r="F20" s="36" t="inlineStr">
        <is>
          <t>No</t>
        </is>
      </c>
      <c r="G20" s="36" t="inlineStr">
        <is>
          <t>Yes</t>
        </is>
      </c>
      <c r="H20" s="36" t="inlineStr">
        <is>
          <t>Standard setup</t>
        </is>
      </c>
      <c r="J20" s="36" t="inlineStr">
        <is>
          <t>Rosa Martinez</t>
        </is>
      </c>
      <c r="K20" s="36" t="inlineStr">
        <is>
          <t>Room Attendant</t>
        </is>
      </c>
      <c r="L20" s="36" t="inlineStr">
        <is>
          <t>Day</t>
        </is>
      </c>
      <c r="M20" s="37" t="n">
        <v>0.3333333333333333</v>
      </c>
      <c r="N20" s="37" t="n">
        <v>0.6875</v>
      </c>
      <c r="O20" s="38" t="n">
        <v>8</v>
      </c>
      <c r="P20" s="39" t="n">
        <v>19.25</v>
      </c>
      <c r="Q20" s="36" t="inlineStr">
        <is>
          <t>Zone C</t>
        </is>
      </c>
      <c r="R20" s="36" t="inlineStr">
        <is>
          <t>Yes</t>
        </is>
      </c>
      <c r="S20" s="36" t="inlineStr"/>
    </row>
    <row r="21">
      <c r="A21" s="36" t="inlineStr">
        <is>
          <t>202</t>
        </is>
      </c>
      <c r="B21" s="36" t="inlineStr">
        <is>
          <t>King</t>
        </is>
      </c>
      <c r="C21" s="36" t="n">
        <v>2</v>
      </c>
      <c r="D21" s="36" t="inlineStr">
        <is>
          <t>Main Building</t>
        </is>
      </c>
      <c r="E21" s="36" t="inlineStr">
        <is>
          <t>Zone B</t>
        </is>
      </c>
      <c r="F21" s="36" t="inlineStr">
        <is>
          <t>Yes</t>
        </is>
      </c>
      <c r="G21" s="36" t="inlineStr">
        <is>
          <t>Yes</t>
        </is>
      </c>
      <c r="H21" s="36" t="inlineStr">
        <is>
          <t>Deep-clean rotation</t>
        </is>
      </c>
      <c r="J21" s="36" t="inlineStr">
        <is>
          <t>Alicia Brown</t>
        </is>
      </c>
      <c r="K21" s="36" t="inlineStr">
        <is>
          <t>Housekeeping Supervisor</t>
        </is>
      </c>
      <c r="L21" s="36" t="inlineStr">
        <is>
          <t>Day</t>
        </is>
      </c>
      <c r="M21" s="37" t="n">
        <v>0.3125</v>
      </c>
      <c r="N21" s="37" t="n">
        <v>0.6666666666666666</v>
      </c>
      <c r="O21" s="38" t="n">
        <v>8</v>
      </c>
      <c r="P21" s="39" t="n">
        <v>24</v>
      </c>
      <c r="Q21" s="36" t="inlineStr">
        <is>
          <t>All Zones</t>
        </is>
      </c>
      <c r="R21" s="36" t="inlineStr">
        <is>
          <t>Yes</t>
        </is>
      </c>
      <c r="S21" s="36" t="inlineStr">
        <is>
          <t>Daily floor coverage</t>
        </is>
      </c>
    </row>
    <row r="22">
      <c r="A22" s="36" t="inlineStr">
        <is>
          <t>203</t>
        </is>
      </c>
      <c r="B22" s="36" t="inlineStr">
        <is>
          <t>Accessible King</t>
        </is>
      </c>
      <c r="C22" s="36" t="n">
        <v>2</v>
      </c>
      <c r="D22" s="36" t="inlineStr">
        <is>
          <t>Main Building</t>
        </is>
      </c>
      <c r="E22" s="36" t="inlineStr">
        <is>
          <t>Zone B</t>
        </is>
      </c>
      <c r="F22" s="36" t="inlineStr">
        <is>
          <t>Yes</t>
        </is>
      </c>
      <c r="G22" s="36" t="inlineStr">
        <is>
          <t>Yes</t>
        </is>
      </c>
      <c r="H22" s="36" t="inlineStr">
        <is>
          <t>Accessible bathroom</t>
        </is>
      </c>
      <c r="J22" s="36" t="inlineStr">
        <is>
          <t>Thomas Reed</t>
        </is>
      </c>
      <c r="K22" s="36" t="inlineStr">
        <is>
          <t>Inspector</t>
        </is>
      </c>
      <c r="L22" s="36" t="inlineStr">
        <is>
          <t>Day</t>
        </is>
      </c>
      <c r="M22" s="37" t="n">
        <v>0.375</v>
      </c>
      <c r="N22" s="37" t="n">
        <v>0.7291666666666666</v>
      </c>
      <c r="O22" s="38" t="n">
        <v>8</v>
      </c>
      <c r="P22" s="39" t="n">
        <v>21.5</v>
      </c>
      <c r="Q22" s="36" t="inlineStr">
        <is>
          <t>All Zones</t>
        </is>
      </c>
      <c r="R22" s="36" t="inlineStr">
        <is>
          <t>Yes</t>
        </is>
      </c>
      <c r="S22" s="36" t="inlineStr">
        <is>
          <t>Primary room inspector</t>
        </is>
      </c>
    </row>
    <row r="23">
      <c r="A23" s="36" t="inlineStr">
        <is>
          <t>204</t>
        </is>
      </c>
      <c r="B23" s="36" t="inlineStr">
        <is>
          <t>Double Queen</t>
        </is>
      </c>
      <c r="C23" s="36" t="n">
        <v>2</v>
      </c>
      <c r="D23" s="36" t="inlineStr">
        <is>
          <t>Main Building</t>
        </is>
      </c>
      <c r="E23" s="36" t="inlineStr">
        <is>
          <t>Zone B</t>
        </is>
      </c>
      <c r="F23" s="36" t="inlineStr">
        <is>
          <t>No</t>
        </is>
      </c>
      <c r="G23" s="36" t="inlineStr">
        <is>
          <t>Yes</t>
        </is>
      </c>
      <c r="H23" s="36" t="inlineStr">
        <is>
          <t>Near ice machine</t>
        </is>
      </c>
      <c r="J23" s="36" t="inlineStr">
        <is>
          <t>Nicole Davis</t>
        </is>
      </c>
      <c r="K23" s="36" t="inlineStr">
        <is>
          <t>Room Attendant</t>
        </is>
      </c>
      <c r="L23" s="36" t="inlineStr">
        <is>
          <t>Evening</t>
        </is>
      </c>
      <c r="M23" s="37" t="n">
        <v>0.625</v>
      </c>
      <c r="N23" s="37" t="n">
        <v>0.9791666666666666</v>
      </c>
      <c r="O23" s="38" t="n">
        <v>8</v>
      </c>
      <c r="P23" s="39" t="n">
        <v>19.5</v>
      </c>
      <c r="Q23" s="36" t="inlineStr">
        <is>
          <t>All Zones</t>
        </is>
      </c>
      <c r="R23" s="36" t="inlineStr">
        <is>
          <t>Yes</t>
        </is>
      </c>
      <c r="S23" s="36" t="inlineStr"/>
    </row>
    <row r="24">
      <c r="A24" s="36" t="inlineStr">
        <is>
          <t>301</t>
        </is>
      </c>
      <c r="B24" s="36" t="inlineStr">
        <is>
          <t>Suite</t>
        </is>
      </c>
      <c r="C24" s="36" t="n">
        <v>3</v>
      </c>
      <c r="D24" s="36" t="inlineStr">
        <is>
          <t>West Wing</t>
        </is>
      </c>
      <c r="E24" s="36" t="inlineStr">
        <is>
          <t>Zone C</t>
        </is>
      </c>
      <c r="F24" s="36" t="inlineStr">
        <is>
          <t>Yes</t>
        </is>
      </c>
      <c r="G24" s="36" t="inlineStr">
        <is>
          <t>Yes</t>
        </is>
      </c>
      <c r="H24" s="36" t="inlineStr">
        <is>
          <t>Extended-stay layout</t>
        </is>
      </c>
      <c r="J24" s="36" t="n"/>
      <c r="K24" s="36" t="n"/>
      <c r="L24" s="36" t="n"/>
      <c r="M24" s="37" t="n"/>
      <c r="N24" s="37" t="n"/>
      <c r="O24" s="38" t="n"/>
      <c r="P24" s="39" t="n"/>
      <c r="Q24" s="36" t="n"/>
      <c r="R24" s="36" t="n"/>
      <c r="S24" s="36" t="n"/>
    </row>
    <row r="25">
      <c r="A25" s="36" t="inlineStr">
        <is>
          <t>302</t>
        </is>
      </c>
      <c r="B25" s="36" t="inlineStr">
        <is>
          <t>King</t>
        </is>
      </c>
      <c r="C25" s="36" t="n">
        <v>3</v>
      </c>
      <c r="D25" s="36" t="inlineStr">
        <is>
          <t>West Wing</t>
        </is>
      </c>
      <c r="E25" s="36" t="inlineStr">
        <is>
          <t>Zone C</t>
        </is>
      </c>
      <c r="F25" s="36" t="inlineStr">
        <is>
          <t>Yes</t>
        </is>
      </c>
      <c r="G25" s="36" t="inlineStr">
        <is>
          <t>Yes</t>
        </is>
      </c>
      <c r="H25" s="36" t="inlineStr">
        <is>
          <t>End-of-hall room</t>
        </is>
      </c>
      <c r="J25" s="36" t="n"/>
      <c r="K25" s="36" t="n"/>
      <c r="L25" s="36" t="n"/>
      <c r="M25" s="37" t="n"/>
      <c r="N25" s="37" t="n"/>
      <c r="O25" s="38" t="n"/>
      <c r="P25" s="39" t="n"/>
      <c r="Q25" s="36" t="n"/>
      <c r="R25" s="36" t="n"/>
      <c r="S25" s="36" t="n"/>
    </row>
    <row r="26">
      <c r="A26" s="36" t="n"/>
      <c r="B26" s="36" t="n"/>
      <c r="C26" s="36" t="n"/>
      <c r="D26" s="36" t="n"/>
      <c r="E26" s="36" t="n"/>
      <c r="F26" s="36" t="n"/>
      <c r="G26" s="36" t="n"/>
      <c r="H26" s="36" t="n"/>
      <c r="J26" s="36" t="n"/>
      <c r="K26" s="36" t="n"/>
      <c r="L26" s="36" t="n"/>
      <c r="M26" s="37" t="n"/>
      <c r="N26" s="37" t="n"/>
      <c r="O26" s="38" t="n"/>
      <c r="P26" s="39" t="n"/>
      <c r="Q26" s="36" t="n"/>
      <c r="R26" s="36" t="n"/>
      <c r="S26" s="36" t="n"/>
    </row>
    <row r="27">
      <c r="A27" s="36" t="n"/>
      <c r="B27" s="36" t="n"/>
      <c r="C27" s="36" t="n"/>
      <c r="D27" s="36" t="n"/>
      <c r="E27" s="36" t="n"/>
      <c r="F27" s="36" t="n"/>
      <c r="G27" s="36" t="n"/>
      <c r="H27" s="36" t="n"/>
      <c r="J27" s="36" t="n"/>
      <c r="K27" s="36" t="n"/>
      <c r="L27" s="36" t="n"/>
      <c r="M27" s="37" t="n"/>
      <c r="N27" s="37" t="n"/>
      <c r="O27" s="38" t="n"/>
      <c r="P27" s="39" t="n"/>
      <c r="Q27" s="36" t="n"/>
      <c r="R27" s="36" t="n"/>
      <c r="S27" s="36" t="n"/>
    </row>
    <row r="28">
      <c r="A28" s="36" t="n"/>
      <c r="B28" s="36" t="n"/>
      <c r="C28" s="36" t="n"/>
      <c r="D28" s="36" t="n"/>
      <c r="E28" s="36" t="n"/>
      <c r="F28" s="36" t="n"/>
      <c r="G28" s="36" t="n"/>
      <c r="H28" s="36" t="n"/>
      <c r="J28" s="36" t="n"/>
      <c r="K28" s="36" t="n"/>
      <c r="L28" s="36" t="n"/>
      <c r="M28" s="37" t="n"/>
      <c r="N28" s="37" t="n"/>
      <c r="O28" s="38" t="n"/>
      <c r="P28" s="39" t="n"/>
      <c r="Q28" s="36" t="n"/>
      <c r="R28" s="36" t="n"/>
      <c r="S28" s="36" t="n"/>
    </row>
    <row r="29">
      <c r="A29" s="36" t="n"/>
      <c r="B29" s="36" t="n"/>
      <c r="C29" s="36" t="n"/>
      <c r="D29" s="36" t="n"/>
      <c r="E29" s="36" t="n"/>
      <c r="F29" s="36" t="n"/>
      <c r="G29" s="36" t="n"/>
      <c r="H29" s="36" t="n"/>
      <c r="J29" s="36" t="n"/>
      <c r="K29" s="36" t="n"/>
      <c r="L29" s="36" t="n"/>
      <c r="M29" s="37" t="n"/>
      <c r="N29" s="37" t="n"/>
      <c r="O29" s="38" t="n"/>
      <c r="P29" s="39" t="n"/>
      <c r="Q29" s="36" t="n"/>
      <c r="R29" s="36" t="n"/>
      <c r="S29" s="36" t="n"/>
    </row>
    <row r="30">
      <c r="A30" s="36" t="n"/>
      <c r="B30" s="36" t="n"/>
      <c r="C30" s="36" t="n"/>
      <c r="D30" s="36" t="n"/>
      <c r="E30" s="36" t="n"/>
      <c r="F30" s="36" t="n"/>
      <c r="G30" s="36" t="n"/>
      <c r="H30" s="36" t="n"/>
      <c r="J30" s="36" t="n"/>
      <c r="K30" s="36" t="n"/>
      <c r="L30" s="36" t="n"/>
      <c r="M30" s="37" t="n"/>
      <c r="N30" s="37" t="n"/>
      <c r="O30" s="38" t="n"/>
      <c r="P30" s="39" t="n"/>
      <c r="Q30" s="36" t="n"/>
      <c r="R30" s="36" t="n"/>
      <c r="S30" s="36" t="n"/>
    </row>
    <row r="31">
      <c r="A31" s="36" t="n"/>
      <c r="B31" s="36" t="n"/>
      <c r="C31" s="36" t="n"/>
      <c r="D31" s="36" t="n"/>
      <c r="E31" s="36" t="n"/>
      <c r="F31" s="36" t="n"/>
      <c r="G31" s="36" t="n"/>
      <c r="H31" s="36" t="n"/>
      <c r="J31" s="36" t="n"/>
      <c r="K31" s="36" t="n"/>
      <c r="L31" s="36" t="n"/>
      <c r="M31" s="37" t="n"/>
      <c r="N31" s="37" t="n"/>
      <c r="O31" s="38" t="n"/>
      <c r="P31" s="39" t="n"/>
      <c r="Q31" s="36" t="n"/>
      <c r="R31" s="36" t="n"/>
      <c r="S31" s="36" t="n"/>
    </row>
    <row r="32">
      <c r="A32" s="36" t="n"/>
      <c r="B32" s="36" t="n"/>
      <c r="C32" s="36" t="n"/>
      <c r="D32" s="36" t="n"/>
      <c r="E32" s="36" t="n"/>
      <c r="F32" s="36" t="n"/>
      <c r="G32" s="36" t="n"/>
      <c r="H32" s="36" t="n"/>
      <c r="J32" s="36" t="n"/>
      <c r="K32" s="36" t="n"/>
      <c r="L32" s="36" t="n"/>
      <c r="M32" s="37" t="n"/>
      <c r="N32" s="37" t="n"/>
      <c r="O32" s="38" t="n"/>
      <c r="P32" s="39" t="n"/>
      <c r="Q32" s="36" t="n"/>
      <c r="R32" s="36" t="n"/>
      <c r="S32" s="36" t="n"/>
    </row>
    <row r="33">
      <c r="A33" s="36" t="n"/>
      <c r="B33" s="36" t="n"/>
      <c r="C33" s="36" t="n"/>
      <c r="D33" s="36" t="n"/>
      <c r="E33" s="36" t="n"/>
      <c r="F33" s="36" t="n"/>
      <c r="G33" s="36" t="n"/>
      <c r="H33" s="36" t="n"/>
      <c r="J33" s="36" t="n"/>
      <c r="K33" s="36" t="n"/>
      <c r="L33" s="36" t="n"/>
      <c r="M33" s="37" t="n"/>
      <c r="N33" s="37" t="n"/>
      <c r="O33" s="38" t="n"/>
      <c r="P33" s="39" t="n"/>
      <c r="Q33" s="36" t="n"/>
      <c r="R33" s="36" t="n"/>
      <c r="S33" s="36" t="n"/>
    </row>
    <row r="34">
      <c r="A34" s="36" t="n"/>
      <c r="B34" s="36" t="n"/>
      <c r="C34" s="36" t="n"/>
      <c r="D34" s="36" t="n"/>
      <c r="E34" s="36" t="n"/>
      <c r="F34" s="36" t="n"/>
      <c r="G34" s="36" t="n"/>
      <c r="H34" s="36" t="n"/>
      <c r="J34" s="36" t="n"/>
      <c r="K34" s="36" t="n"/>
      <c r="L34" s="36" t="n"/>
      <c r="M34" s="37" t="n"/>
      <c r="N34" s="37" t="n"/>
      <c r="O34" s="38" t="n"/>
      <c r="P34" s="39" t="n"/>
      <c r="Q34" s="36" t="n"/>
      <c r="R34" s="36" t="n"/>
      <c r="S34" s="36" t="n"/>
    </row>
    <row r="35">
      <c r="A35" s="36" t="n"/>
      <c r="B35" s="36" t="n"/>
      <c r="C35" s="36" t="n"/>
      <c r="D35" s="36" t="n"/>
      <c r="E35" s="36" t="n"/>
      <c r="F35" s="36" t="n"/>
      <c r="G35" s="36" t="n"/>
      <c r="H35" s="36" t="n"/>
      <c r="J35" s="36" t="n"/>
      <c r="K35" s="36" t="n"/>
      <c r="L35" s="36" t="n"/>
      <c r="M35" s="37" t="n"/>
      <c r="N35" s="37" t="n"/>
      <c r="O35" s="38" t="n"/>
      <c r="P35" s="39" t="n"/>
      <c r="Q35" s="36" t="n"/>
      <c r="R35" s="36" t="n"/>
      <c r="S35" s="36" t="n"/>
    </row>
    <row r="36">
      <c r="A36" s="36" t="n"/>
      <c r="B36" s="36" t="n"/>
      <c r="C36" s="36" t="n"/>
      <c r="D36" s="36" t="n"/>
      <c r="E36" s="36" t="n"/>
      <c r="F36" s="36" t="n"/>
      <c r="G36" s="36" t="n"/>
      <c r="H36" s="36" t="n"/>
      <c r="J36" s="36" t="n"/>
      <c r="K36" s="36" t="n"/>
      <c r="L36" s="36" t="n"/>
      <c r="M36" s="37" t="n"/>
      <c r="N36" s="37" t="n"/>
      <c r="O36" s="38" t="n"/>
      <c r="P36" s="39" t="n"/>
      <c r="Q36" s="36" t="n"/>
      <c r="R36" s="36" t="n"/>
      <c r="S36" s="36" t="n"/>
    </row>
    <row r="37">
      <c r="A37" s="36" t="n"/>
      <c r="B37" s="36" t="n"/>
      <c r="C37" s="36" t="n"/>
      <c r="D37" s="36" t="n"/>
      <c r="E37" s="36" t="n"/>
      <c r="F37" s="36" t="n"/>
      <c r="G37" s="36" t="n"/>
      <c r="H37" s="36" t="n"/>
      <c r="J37" s="36" t="n"/>
      <c r="K37" s="36" t="n"/>
      <c r="L37" s="36" t="n"/>
      <c r="M37" s="37" t="n"/>
      <c r="N37" s="37" t="n"/>
      <c r="O37" s="38" t="n"/>
      <c r="P37" s="39" t="n"/>
      <c r="Q37" s="36" t="n"/>
      <c r="R37" s="36" t="n"/>
      <c r="S37" s="36" t="n"/>
    </row>
    <row r="38">
      <c r="A38" s="36" t="n"/>
      <c r="B38" s="36" t="n"/>
      <c r="C38" s="36" t="n"/>
      <c r="D38" s="36" t="n"/>
      <c r="E38" s="36" t="n"/>
      <c r="F38" s="36" t="n"/>
      <c r="G38" s="36" t="n"/>
      <c r="H38" s="36" t="n"/>
      <c r="J38" s="36" t="n"/>
      <c r="K38" s="36" t="n"/>
      <c r="L38" s="36" t="n"/>
      <c r="M38" s="37" t="n"/>
      <c r="N38" s="37" t="n"/>
      <c r="O38" s="38" t="n"/>
      <c r="P38" s="39" t="n"/>
      <c r="Q38" s="36" t="n"/>
      <c r="R38" s="36" t="n"/>
      <c r="S38" s="36" t="n"/>
    </row>
    <row r="39">
      <c r="A39" s="36" t="n"/>
      <c r="B39" s="36" t="n"/>
      <c r="C39" s="36" t="n"/>
      <c r="D39" s="36" t="n"/>
      <c r="E39" s="36" t="n"/>
      <c r="F39" s="36" t="n"/>
      <c r="G39" s="36" t="n"/>
      <c r="H39" s="36" t="n"/>
      <c r="J39" s="36" t="n"/>
      <c r="K39" s="36" t="n"/>
      <c r="L39" s="36" t="n"/>
      <c r="M39" s="37" t="n"/>
      <c r="N39" s="37" t="n"/>
      <c r="O39" s="38" t="n"/>
      <c r="P39" s="39" t="n"/>
      <c r="Q39" s="36" t="n"/>
      <c r="R39" s="36" t="n"/>
      <c r="S39" s="36" t="n"/>
    </row>
    <row r="40">
      <c r="A40" s="36" t="n"/>
      <c r="B40" s="36" t="n"/>
      <c r="C40" s="36" t="n"/>
      <c r="D40" s="36" t="n"/>
      <c r="E40" s="36" t="n"/>
      <c r="F40" s="36" t="n"/>
      <c r="G40" s="36" t="n"/>
      <c r="H40" s="36" t="n"/>
      <c r="J40" s="36" t="n"/>
      <c r="K40" s="36" t="n"/>
      <c r="L40" s="36" t="n"/>
      <c r="M40" s="37" t="n"/>
      <c r="N40" s="37" t="n"/>
      <c r="O40" s="38" t="n"/>
      <c r="P40" s="39" t="n"/>
      <c r="Q40" s="36" t="n"/>
      <c r="R40" s="36" t="n"/>
      <c r="S40" s="36" t="n"/>
    </row>
    <row r="41">
      <c r="A41" s="36" t="n"/>
      <c r="B41" s="36" t="n"/>
      <c r="C41" s="36" t="n"/>
      <c r="D41" s="36" t="n"/>
      <c r="E41" s="36" t="n"/>
      <c r="F41" s="36" t="n"/>
      <c r="G41" s="36" t="n"/>
      <c r="H41" s="36" t="n"/>
      <c r="J41" s="36" t="n"/>
      <c r="K41" s="36" t="n"/>
      <c r="L41" s="36" t="n"/>
      <c r="M41" s="37" t="n"/>
      <c r="N41" s="37" t="n"/>
      <c r="O41" s="38" t="n"/>
      <c r="P41" s="39" t="n"/>
      <c r="Q41" s="36" t="n"/>
      <c r="R41" s="36" t="n"/>
      <c r="S41" s="36" t="n"/>
    </row>
    <row r="42">
      <c r="A42" s="36" t="n"/>
      <c r="B42" s="36" t="n"/>
      <c r="C42" s="36" t="n"/>
      <c r="D42" s="36" t="n"/>
      <c r="E42" s="36" t="n"/>
      <c r="F42" s="36" t="n"/>
      <c r="G42" s="36" t="n"/>
      <c r="H42" s="36" t="n"/>
      <c r="J42" s="36" t="n"/>
      <c r="K42" s="36" t="n"/>
      <c r="L42" s="36" t="n"/>
      <c r="M42" s="37" t="n"/>
      <c r="N42" s="37" t="n"/>
      <c r="O42" s="38" t="n"/>
      <c r="P42" s="39" t="n"/>
      <c r="Q42" s="36" t="n"/>
      <c r="R42" s="36" t="n"/>
      <c r="S42" s="36" t="n"/>
    </row>
    <row r="43">
      <c r="A43" s="36" t="n"/>
      <c r="B43" s="36" t="n"/>
      <c r="C43" s="36" t="n"/>
      <c r="D43" s="36" t="n"/>
      <c r="E43" s="36" t="n"/>
      <c r="F43" s="36" t="n"/>
      <c r="G43" s="36" t="n"/>
      <c r="H43" s="36" t="n"/>
      <c r="J43" s="36" t="n"/>
      <c r="K43" s="36" t="n"/>
      <c r="L43" s="36" t="n"/>
      <c r="M43" s="37" t="n"/>
      <c r="N43" s="37" t="n"/>
      <c r="O43" s="38" t="n"/>
      <c r="P43" s="39" t="n"/>
      <c r="Q43" s="36" t="n"/>
      <c r="R43" s="36" t="n"/>
      <c r="S43" s="36" t="n"/>
    </row>
    <row r="44">
      <c r="A44" s="36" t="n"/>
      <c r="B44" s="36" t="n"/>
      <c r="C44" s="36" t="n"/>
      <c r="D44" s="36" t="n"/>
      <c r="E44" s="36" t="n"/>
      <c r="F44" s="36" t="n"/>
      <c r="G44" s="36" t="n"/>
      <c r="H44" s="36" t="n"/>
      <c r="J44" s="36" t="n"/>
      <c r="K44" s="36" t="n"/>
      <c r="L44" s="36" t="n"/>
      <c r="M44" s="37" t="n"/>
      <c r="N44" s="37" t="n"/>
      <c r="O44" s="38" t="n"/>
      <c r="P44" s="39" t="n"/>
      <c r="Q44" s="36" t="n"/>
      <c r="R44" s="36" t="n"/>
      <c r="S44" s="36" t="n"/>
    </row>
    <row r="45">
      <c r="A45" s="36" t="n"/>
      <c r="B45" s="36" t="n"/>
      <c r="C45" s="36" t="n"/>
      <c r="D45" s="36" t="n"/>
      <c r="E45" s="36" t="n"/>
      <c r="F45" s="36" t="n"/>
      <c r="G45" s="36" t="n"/>
      <c r="H45" s="36" t="n"/>
      <c r="J45" s="36" t="n"/>
      <c r="K45" s="36" t="n"/>
      <c r="L45" s="36" t="n"/>
      <c r="M45" s="37" t="n"/>
      <c r="N45" s="37" t="n"/>
      <c r="O45" s="38" t="n"/>
      <c r="P45" s="39" t="n"/>
      <c r="Q45" s="36" t="n"/>
      <c r="R45" s="36" t="n"/>
      <c r="S45" s="36" t="n"/>
    </row>
    <row r="46">
      <c r="A46" s="36" t="n"/>
      <c r="B46" s="36" t="n"/>
      <c r="C46" s="36" t="n"/>
      <c r="D46" s="36" t="n"/>
      <c r="E46" s="36" t="n"/>
      <c r="F46" s="36" t="n"/>
      <c r="G46" s="36" t="n"/>
      <c r="H46" s="36" t="n"/>
      <c r="J46" s="36" t="n"/>
      <c r="K46" s="36" t="n"/>
      <c r="L46" s="36" t="n"/>
      <c r="M46" s="37" t="n"/>
      <c r="N46" s="37" t="n"/>
      <c r="O46" s="38" t="n"/>
      <c r="P46" s="39" t="n"/>
      <c r="Q46" s="36" t="n"/>
      <c r="R46" s="36" t="n"/>
      <c r="S46" s="36" t="n"/>
    </row>
    <row r="47">
      <c r="A47" s="36" t="n"/>
      <c r="B47" s="36" t="n"/>
      <c r="C47" s="36" t="n"/>
      <c r="D47" s="36" t="n"/>
      <c r="E47" s="36" t="n"/>
      <c r="F47" s="36" t="n"/>
      <c r="G47" s="36" t="n"/>
      <c r="H47" s="36" t="n"/>
      <c r="J47" s="36" t="n"/>
      <c r="K47" s="36" t="n"/>
      <c r="L47" s="36" t="n"/>
      <c r="M47" s="37" t="n"/>
      <c r="N47" s="37" t="n"/>
      <c r="O47" s="38" t="n"/>
      <c r="P47" s="39" t="n"/>
      <c r="Q47" s="36" t="n"/>
      <c r="R47" s="36" t="n"/>
      <c r="S47" s="36" t="n"/>
    </row>
    <row r="48">
      <c r="A48" s="36" t="n"/>
      <c r="B48" s="36" t="n"/>
      <c r="C48" s="36" t="n"/>
      <c r="D48" s="36" t="n"/>
      <c r="E48" s="36" t="n"/>
      <c r="F48" s="36" t="n"/>
      <c r="G48" s="36" t="n"/>
      <c r="H48" s="36" t="n"/>
      <c r="J48" s="36" t="n"/>
      <c r="K48" s="36" t="n"/>
      <c r="L48" s="36" t="n"/>
      <c r="M48" s="37" t="n"/>
      <c r="N48" s="37" t="n"/>
      <c r="O48" s="38" t="n"/>
      <c r="P48" s="39" t="n"/>
      <c r="Q48" s="36" t="n"/>
      <c r="R48" s="36" t="n"/>
      <c r="S48" s="36" t="n"/>
    </row>
    <row r="49">
      <c r="A49" s="36" t="n"/>
      <c r="B49" s="36" t="n"/>
      <c r="C49" s="36" t="n"/>
      <c r="D49" s="36" t="n"/>
      <c r="E49" s="36" t="n"/>
      <c r="F49" s="36" t="n"/>
      <c r="G49" s="36" t="n"/>
      <c r="H49" s="36" t="n"/>
      <c r="J49" s="36" t="n"/>
      <c r="K49" s="36" t="n"/>
      <c r="L49" s="36" t="n"/>
      <c r="M49" s="37" t="n"/>
      <c r="N49" s="37" t="n"/>
      <c r="O49" s="38" t="n"/>
      <c r="P49" s="39" t="n"/>
      <c r="Q49" s="36" t="n"/>
      <c r="R49" s="36" t="n"/>
      <c r="S49" s="36" t="n"/>
    </row>
    <row r="50">
      <c r="A50" s="36" t="n"/>
      <c r="B50" s="36" t="n"/>
      <c r="C50" s="36" t="n"/>
      <c r="D50" s="36" t="n"/>
      <c r="E50" s="36" t="n"/>
      <c r="F50" s="36" t="n"/>
      <c r="G50" s="36" t="n"/>
      <c r="H50" s="36" t="n"/>
      <c r="J50" s="36" t="n"/>
      <c r="K50" s="36" t="n"/>
      <c r="L50" s="36" t="n"/>
      <c r="M50" s="37" t="n"/>
      <c r="N50" s="37" t="n"/>
      <c r="O50" s="38" t="n"/>
      <c r="P50" s="39" t="n"/>
      <c r="Q50" s="36" t="n"/>
      <c r="R50" s="36" t="n"/>
      <c r="S50" s="36" t="n"/>
    </row>
    <row r="51">
      <c r="A51" s="36" t="n"/>
      <c r="B51" s="36" t="n"/>
      <c r="C51" s="36" t="n"/>
      <c r="D51" s="36" t="n"/>
      <c r="E51" s="36" t="n"/>
      <c r="F51" s="36" t="n"/>
      <c r="G51" s="36" t="n"/>
      <c r="H51" s="36" t="n"/>
      <c r="J51" s="36" t="n"/>
      <c r="K51" s="36" t="n"/>
      <c r="L51" s="36" t="n"/>
      <c r="M51" s="37" t="n"/>
      <c r="N51" s="37" t="n"/>
      <c r="O51" s="38" t="n"/>
      <c r="P51" s="39" t="n"/>
      <c r="Q51" s="36" t="n"/>
      <c r="R51" s="36" t="n"/>
      <c r="S51" s="36" t="n"/>
    </row>
    <row r="52">
      <c r="A52" s="36" t="n"/>
      <c r="B52" s="36" t="n"/>
      <c r="C52" s="36" t="n"/>
      <c r="D52" s="36" t="n"/>
      <c r="E52" s="36" t="n"/>
      <c r="F52" s="36" t="n"/>
      <c r="G52" s="36" t="n"/>
      <c r="H52" s="36" t="n"/>
      <c r="J52" s="36" t="n"/>
      <c r="K52" s="36" t="n"/>
      <c r="L52" s="36" t="n"/>
      <c r="M52" s="37" t="n"/>
      <c r="N52" s="37" t="n"/>
      <c r="O52" s="38" t="n"/>
      <c r="P52" s="39" t="n"/>
      <c r="Q52" s="36" t="n"/>
      <c r="R52" s="36" t="n"/>
      <c r="S52" s="36" t="n"/>
    </row>
    <row r="53">
      <c r="A53" s="36" t="n"/>
      <c r="B53" s="36" t="n"/>
      <c r="C53" s="36" t="n"/>
      <c r="D53" s="36" t="n"/>
      <c r="E53" s="36" t="n"/>
      <c r="F53" s="36" t="n"/>
      <c r="G53" s="36" t="n"/>
      <c r="H53" s="36" t="n"/>
      <c r="J53" s="36" t="n"/>
      <c r="K53" s="36" t="n"/>
      <c r="L53" s="36" t="n"/>
      <c r="M53" s="37" t="n"/>
      <c r="N53" s="37" t="n"/>
      <c r="O53" s="38" t="n"/>
      <c r="P53" s="39" t="n"/>
      <c r="Q53" s="36" t="n"/>
      <c r="R53" s="36" t="n"/>
      <c r="S53" s="36" t="n"/>
    </row>
    <row r="54">
      <c r="A54" s="36" t="n"/>
      <c r="B54" s="36" t="n"/>
      <c r="C54" s="36" t="n"/>
      <c r="D54" s="36" t="n"/>
      <c r="E54" s="36" t="n"/>
      <c r="F54" s="36" t="n"/>
      <c r="G54" s="36" t="n"/>
      <c r="H54" s="36" t="n"/>
      <c r="J54" s="36" t="n"/>
      <c r="K54" s="36" t="n"/>
      <c r="L54" s="36" t="n"/>
      <c r="M54" s="37" t="n"/>
      <c r="N54" s="37" t="n"/>
      <c r="O54" s="38" t="n"/>
      <c r="P54" s="39" t="n"/>
      <c r="Q54" s="36" t="n"/>
      <c r="R54" s="36" t="n"/>
      <c r="S54" s="36" t="n"/>
    </row>
    <row r="55">
      <c r="A55" s="36" t="n"/>
      <c r="B55" s="36" t="n"/>
      <c r="C55" s="36" t="n"/>
      <c r="D55" s="36" t="n"/>
      <c r="E55" s="36" t="n"/>
      <c r="F55" s="36" t="n"/>
      <c r="G55" s="36" t="n"/>
      <c r="H55" s="36" t="n"/>
      <c r="J55" s="36" t="n"/>
      <c r="K55" s="36" t="n"/>
      <c r="L55" s="36" t="n"/>
      <c r="M55" s="37" t="n"/>
      <c r="N55" s="37" t="n"/>
      <c r="O55" s="38" t="n"/>
      <c r="P55" s="39" t="n"/>
      <c r="Q55" s="36" t="n"/>
      <c r="R55" s="36" t="n"/>
      <c r="S55" s="36" t="n"/>
    </row>
    <row r="56">
      <c r="A56" s="36" t="n"/>
      <c r="B56" s="36" t="n"/>
      <c r="C56" s="36" t="n"/>
      <c r="D56" s="36" t="n"/>
      <c r="E56" s="36" t="n"/>
      <c r="F56" s="36" t="n"/>
      <c r="G56" s="36" t="n"/>
      <c r="H56" s="36" t="n"/>
      <c r="J56" s="36" t="n"/>
      <c r="K56" s="36" t="n"/>
      <c r="L56" s="36" t="n"/>
      <c r="M56" s="37" t="n"/>
      <c r="N56" s="37" t="n"/>
      <c r="O56" s="38" t="n"/>
      <c r="P56" s="39" t="n"/>
      <c r="Q56" s="36" t="n"/>
      <c r="R56" s="36" t="n"/>
      <c r="S56" s="36" t="n"/>
    </row>
    <row r="57">
      <c r="A57" s="36" t="n"/>
      <c r="B57" s="36" t="n"/>
      <c r="C57" s="36" t="n"/>
      <c r="D57" s="36" t="n"/>
      <c r="E57" s="36" t="n"/>
      <c r="F57" s="36" t="n"/>
      <c r="G57" s="36" t="n"/>
      <c r="H57" s="36" t="n"/>
      <c r="J57" s="36" t="n"/>
      <c r="K57" s="36" t="n"/>
      <c r="L57" s="36" t="n"/>
      <c r="M57" s="37" t="n"/>
      <c r="N57" s="37" t="n"/>
      <c r="O57" s="38" t="n"/>
      <c r="P57" s="39" t="n"/>
      <c r="Q57" s="36" t="n"/>
      <c r="R57" s="36" t="n"/>
      <c r="S57" s="36" t="n"/>
    </row>
    <row r="58">
      <c r="A58" s="36" t="n"/>
      <c r="B58" s="36" t="n"/>
      <c r="C58" s="36" t="n"/>
      <c r="D58" s="36" t="n"/>
      <c r="E58" s="36" t="n"/>
      <c r="F58" s="36" t="n"/>
      <c r="G58" s="36" t="n"/>
      <c r="H58" s="36" t="n"/>
      <c r="J58" s="36" t="n"/>
      <c r="K58" s="36" t="n"/>
      <c r="L58" s="36" t="n"/>
      <c r="M58" s="37" t="n"/>
      <c r="N58" s="37" t="n"/>
      <c r="O58" s="38" t="n"/>
      <c r="P58" s="39" t="n"/>
      <c r="Q58" s="36" t="n"/>
      <c r="R58" s="36" t="n"/>
      <c r="S58" s="36" t="n"/>
    </row>
    <row r="59">
      <c r="A59" s="36" t="n"/>
      <c r="B59" s="36" t="n"/>
      <c r="C59" s="36" t="n"/>
      <c r="D59" s="36" t="n"/>
      <c r="E59" s="36" t="n"/>
      <c r="F59" s="36" t="n"/>
      <c r="G59" s="36" t="n"/>
      <c r="H59" s="36" t="n"/>
      <c r="J59" s="36" t="n"/>
      <c r="K59" s="36" t="n"/>
      <c r="L59" s="36" t="n"/>
      <c r="M59" s="37" t="n"/>
      <c r="N59" s="37" t="n"/>
      <c r="O59" s="38" t="n"/>
      <c r="P59" s="39" t="n"/>
      <c r="Q59" s="36" t="n"/>
      <c r="R59" s="36" t="n"/>
      <c r="S59" s="36" t="n"/>
    </row>
    <row r="60">
      <c r="A60" s="36" t="n"/>
      <c r="B60" s="36" t="n"/>
      <c r="C60" s="36" t="n"/>
      <c r="D60" s="36" t="n"/>
      <c r="E60" s="36" t="n"/>
      <c r="F60" s="36" t="n"/>
      <c r="G60" s="36" t="n"/>
      <c r="H60" s="36" t="n"/>
      <c r="J60" s="36" t="n"/>
      <c r="K60" s="36" t="n"/>
      <c r="L60" s="36" t="n"/>
      <c r="M60" s="37" t="n"/>
      <c r="N60" s="37" t="n"/>
      <c r="O60" s="38" t="n"/>
      <c r="P60" s="39" t="n"/>
      <c r="Q60" s="36" t="n"/>
      <c r="R60" s="36" t="n"/>
      <c r="S60" s="36" t="n"/>
    </row>
    <row r="61">
      <c r="A61" s="36" t="n"/>
      <c r="B61" s="36" t="n"/>
      <c r="C61" s="36" t="n"/>
      <c r="D61" s="36" t="n"/>
      <c r="E61" s="36" t="n"/>
      <c r="F61" s="36" t="n"/>
      <c r="G61" s="36" t="n"/>
      <c r="H61" s="36" t="n"/>
      <c r="J61" s="36" t="n"/>
      <c r="K61" s="36" t="n"/>
      <c r="L61" s="36" t="n"/>
      <c r="M61" s="37" t="n"/>
      <c r="N61" s="37" t="n"/>
      <c r="O61" s="38" t="n"/>
      <c r="P61" s="39" t="n"/>
      <c r="Q61" s="36" t="n"/>
      <c r="R61" s="36" t="n"/>
      <c r="S61" s="36" t="n"/>
    </row>
    <row r="62">
      <c r="A62" s="36" t="n"/>
      <c r="B62" s="36" t="n"/>
      <c r="C62" s="36" t="n"/>
      <c r="D62" s="36" t="n"/>
      <c r="E62" s="36" t="n"/>
      <c r="F62" s="36" t="n"/>
      <c r="G62" s="36" t="n"/>
      <c r="H62" s="36" t="n"/>
      <c r="J62" s="36" t="n"/>
      <c r="K62" s="36" t="n"/>
      <c r="L62" s="36" t="n"/>
      <c r="M62" s="37" t="n"/>
      <c r="N62" s="37" t="n"/>
      <c r="O62" s="38" t="n"/>
      <c r="P62" s="39" t="n"/>
      <c r="Q62" s="36" t="n"/>
      <c r="R62" s="36" t="n"/>
      <c r="S62" s="36" t="n"/>
    </row>
    <row r="63">
      <c r="A63" s="36" t="n"/>
      <c r="B63" s="36" t="n"/>
      <c r="C63" s="36" t="n"/>
      <c r="D63" s="36" t="n"/>
      <c r="E63" s="36" t="n"/>
      <c r="F63" s="36" t="n"/>
      <c r="G63" s="36" t="n"/>
      <c r="H63" s="36" t="n"/>
      <c r="J63" s="36" t="n"/>
      <c r="K63" s="36" t="n"/>
      <c r="L63" s="36" t="n"/>
      <c r="M63" s="37" t="n"/>
      <c r="N63" s="37" t="n"/>
      <c r="O63" s="38" t="n"/>
      <c r="P63" s="39" t="n"/>
      <c r="Q63" s="36" t="n"/>
      <c r="R63" s="36" t="n"/>
      <c r="S63" s="36" t="n"/>
    </row>
    <row r="64">
      <c r="A64" s="36" t="n"/>
      <c r="B64" s="36" t="n"/>
      <c r="C64" s="36" t="n"/>
      <c r="D64" s="36" t="n"/>
      <c r="E64" s="36" t="n"/>
      <c r="F64" s="36" t="n"/>
      <c r="G64" s="36" t="n"/>
      <c r="H64" s="36" t="n"/>
      <c r="J64" s="36" t="n"/>
      <c r="K64" s="36" t="n"/>
      <c r="L64" s="36" t="n"/>
      <c r="M64" s="37" t="n"/>
      <c r="N64" s="37" t="n"/>
      <c r="O64" s="38" t="n"/>
      <c r="P64" s="39" t="n"/>
      <c r="Q64" s="36" t="n"/>
      <c r="R64" s="36" t="n"/>
      <c r="S64" s="36" t="n"/>
    </row>
    <row r="65">
      <c r="A65" s="36" t="n"/>
      <c r="B65" s="36" t="n"/>
      <c r="C65" s="36" t="n"/>
      <c r="D65" s="36" t="n"/>
      <c r="E65" s="36" t="n"/>
      <c r="F65" s="36" t="n"/>
      <c r="G65" s="36" t="n"/>
      <c r="H65" s="36" t="n"/>
      <c r="J65" s="36" t="n"/>
      <c r="K65" s="36" t="n"/>
      <c r="L65" s="36" t="n"/>
      <c r="M65" s="37" t="n"/>
      <c r="N65" s="37" t="n"/>
      <c r="O65" s="38" t="n"/>
      <c r="P65" s="39" t="n"/>
      <c r="Q65" s="36" t="n"/>
      <c r="R65" s="36" t="n"/>
      <c r="S65" s="36" t="n"/>
    </row>
    <row r="66">
      <c r="A66" s="36" t="n"/>
      <c r="B66" s="36" t="n"/>
      <c r="C66" s="36" t="n"/>
      <c r="D66" s="36" t="n"/>
      <c r="E66" s="36" t="n"/>
      <c r="F66" s="36" t="n"/>
      <c r="G66" s="36" t="n"/>
      <c r="H66" s="36" t="n"/>
      <c r="J66" s="36" t="n"/>
      <c r="K66" s="36" t="n"/>
      <c r="L66" s="36" t="n"/>
      <c r="M66" s="37" t="n"/>
      <c r="N66" s="37" t="n"/>
      <c r="O66" s="38" t="n"/>
      <c r="P66" s="39" t="n"/>
      <c r="Q66" s="36" t="n"/>
      <c r="R66" s="36" t="n"/>
      <c r="S66" s="36" t="n"/>
    </row>
    <row r="67">
      <c r="A67" s="36" t="n"/>
      <c r="B67" s="36" t="n"/>
      <c r="C67" s="36" t="n"/>
      <c r="D67" s="36" t="n"/>
      <c r="E67" s="36" t="n"/>
      <c r="F67" s="36" t="n"/>
      <c r="G67" s="36" t="n"/>
      <c r="H67" s="36" t="n"/>
      <c r="J67" s="36" t="n"/>
      <c r="K67" s="36" t="n"/>
      <c r="L67" s="36" t="n"/>
      <c r="M67" s="37" t="n"/>
      <c r="N67" s="37" t="n"/>
      <c r="O67" s="38" t="n"/>
      <c r="P67" s="39" t="n"/>
      <c r="Q67" s="36" t="n"/>
      <c r="R67" s="36" t="n"/>
      <c r="S67" s="36" t="n"/>
    </row>
    <row r="68">
      <c r="A68" s="36" t="n"/>
      <c r="B68" s="36" t="n"/>
      <c r="C68" s="36" t="n"/>
      <c r="D68" s="36" t="n"/>
      <c r="E68" s="36" t="n"/>
      <c r="F68" s="36" t="n"/>
      <c r="G68" s="36" t="n"/>
      <c r="H68" s="36" t="n"/>
      <c r="J68" s="36" t="n"/>
      <c r="K68" s="36" t="n"/>
      <c r="L68" s="36" t="n"/>
      <c r="M68" s="37" t="n"/>
      <c r="N68" s="37" t="n"/>
      <c r="O68" s="38" t="n"/>
      <c r="P68" s="39" t="n"/>
      <c r="Q68" s="36" t="n"/>
      <c r="R68" s="36" t="n"/>
      <c r="S68" s="36" t="n"/>
    </row>
    <row r="69">
      <c r="A69" s="36" t="n"/>
      <c r="B69" s="36" t="n"/>
      <c r="C69" s="36" t="n"/>
      <c r="D69" s="36" t="n"/>
      <c r="E69" s="36" t="n"/>
      <c r="F69" s="36" t="n"/>
      <c r="G69" s="36" t="n"/>
      <c r="H69" s="36" t="n"/>
      <c r="J69" s="36" t="n"/>
      <c r="K69" s="36" t="n"/>
      <c r="L69" s="36" t="n"/>
      <c r="M69" s="37" t="n"/>
      <c r="N69" s="37" t="n"/>
      <c r="O69" s="38" t="n"/>
      <c r="P69" s="39" t="n"/>
      <c r="Q69" s="36" t="n"/>
      <c r="R69" s="36" t="n"/>
      <c r="S69" s="36" t="n"/>
    </row>
    <row r="70">
      <c r="A70" s="36" t="n"/>
      <c r="B70" s="36" t="n"/>
      <c r="C70" s="36" t="n"/>
      <c r="D70" s="36" t="n"/>
      <c r="E70" s="36" t="n"/>
      <c r="F70" s="36" t="n"/>
      <c r="G70" s="36" t="n"/>
      <c r="H70" s="36" t="n"/>
      <c r="J70" s="36" t="n"/>
      <c r="K70" s="36" t="n"/>
      <c r="L70" s="36" t="n"/>
      <c r="M70" s="37" t="n"/>
      <c r="N70" s="37" t="n"/>
      <c r="O70" s="38" t="n"/>
      <c r="P70" s="39" t="n"/>
      <c r="Q70" s="36" t="n"/>
      <c r="R70" s="36" t="n"/>
      <c r="S70" s="36" t="n"/>
    </row>
    <row r="71">
      <c r="A71" s="36" t="n"/>
      <c r="B71" s="36" t="n"/>
      <c r="C71" s="36" t="n"/>
      <c r="D71" s="36" t="n"/>
      <c r="E71" s="36" t="n"/>
      <c r="F71" s="36" t="n"/>
      <c r="G71" s="36" t="n"/>
      <c r="H71" s="36" t="n"/>
      <c r="J71" s="36" t="n"/>
      <c r="K71" s="36" t="n"/>
      <c r="L71" s="36" t="n"/>
      <c r="M71" s="37" t="n"/>
      <c r="N71" s="37" t="n"/>
      <c r="O71" s="38" t="n"/>
      <c r="P71" s="39" t="n"/>
      <c r="Q71" s="36" t="n"/>
      <c r="R71" s="36" t="n"/>
      <c r="S71" s="36" t="n"/>
    </row>
    <row r="72">
      <c r="A72" s="36" t="n"/>
      <c r="B72" s="36" t="n"/>
      <c r="C72" s="36" t="n"/>
      <c r="D72" s="36" t="n"/>
      <c r="E72" s="36" t="n"/>
      <c r="F72" s="36" t="n"/>
      <c r="G72" s="36" t="n"/>
      <c r="H72" s="36" t="n"/>
      <c r="J72" s="36" t="n"/>
      <c r="K72" s="36" t="n"/>
      <c r="L72" s="36" t="n"/>
      <c r="M72" s="37" t="n"/>
      <c r="N72" s="37" t="n"/>
      <c r="O72" s="38" t="n"/>
      <c r="P72" s="39" t="n"/>
      <c r="Q72" s="36" t="n"/>
      <c r="R72" s="36" t="n"/>
      <c r="S72" s="36" t="n"/>
    </row>
    <row r="73">
      <c r="A73" s="36" t="n"/>
      <c r="B73" s="36" t="n"/>
      <c r="C73" s="36" t="n"/>
      <c r="D73" s="36" t="n"/>
      <c r="E73" s="36" t="n"/>
      <c r="F73" s="36" t="n"/>
      <c r="G73" s="36" t="n"/>
      <c r="H73" s="36" t="n"/>
      <c r="J73" s="36" t="n"/>
      <c r="K73" s="36" t="n"/>
      <c r="L73" s="36" t="n"/>
      <c r="M73" s="37" t="n"/>
      <c r="N73" s="37" t="n"/>
      <c r="O73" s="38" t="n"/>
      <c r="P73" s="39" t="n"/>
      <c r="Q73" s="36" t="n"/>
      <c r="R73" s="36" t="n"/>
      <c r="S73" s="36" t="n"/>
    </row>
    <row r="74">
      <c r="A74" s="36" t="n"/>
      <c r="B74" s="36" t="n"/>
      <c r="C74" s="36" t="n"/>
      <c r="D74" s="36" t="n"/>
      <c r="E74" s="36" t="n"/>
      <c r="F74" s="36" t="n"/>
      <c r="G74" s="36" t="n"/>
      <c r="H74" s="36" t="n"/>
      <c r="J74" s="36" t="n"/>
      <c r="K74" s="36" t="n"/>
      <c r="L74" s="36" t="n"/>
      <c r="M74" s="37" t="n"/>
      <c r="N74" s="37" t="n"/>
      <c r="O74" s="38" t="n"/>
      <c r="P74" s="39" t="n"/>
      <c r="Q74" s="36" t="n"/>
      <c r="R74" s="36" t="n"/>
      <c r="S74" s="36" t="n"/>
    </row>
    <row r="75">
      <c r="A75" s="36" t="n"/>
      <c r="B75" s="36" t="n"/>
      <c r="C75" s="36" t="n"/>
      <c r="D75" s="36" t="n"/>
      <c r="E75" s="36" t="n"/>
      <c r="F75" s="36" t="n"/>
      <c r="G75" s="36" t="n"/>
      <c r="H75" s="36" t="n"/>
      <c r="J75" s="36" t="n"/>
      <c r="K75" s="36" t="n"/>
      <c r="L75" s="36" t="n"/>
      <c r="M75" s="37" t="n"/>
      <c r="N75" s="37" t="n"/>
      <c r="O75" s="38" t="n"/>
      <c r="P75" s="39" t="n"/>
      <c r="Q75" s="36" t="n"/>
      <c r="R75" s="36" t="n"/>
      <c r="S75" s="36" t="n"/>
    </row>
    <row r="76">
      <c r="A76" s="36" t="n"/>
      <c r="B76" s="36" t="n"/>
      <c r="C76" s="36" t="n"/>
      <c r="D76" s="36" t="n"/>
      <c r="E76" s="36" t="n"/>
      <c r="F76" s="36" t="n"/>
      <c r="G76" s="36" t="n"/>
      <c r="H76" s="36" t="n"/>
      <c r="J76" s="36" t="n"/>
      <c r="K76" s="36" t="n"/>
      <c r="L76" s="36" t="n"/>
      <c r="M76" s="37" t="n"/>
      <c r="N76" s="37" t="n"/>
      <c r="O76" s="38" t="n"/>
      <c r="P76" s="39" t="n"/>
      <c r="Q76" s="36" t="n"/>
      <c r="R76" s="36" t="n"/>
      <c r="S76" s="36" t="n"/>
    </row>
    <row r="77">
      <c r="A77" s="36" t="n"/>
      <c r="B77" s="36" t="n"/>
      <c r="C77" s="36" t="n"/>
      <c r="D77" s="36" t="n"/>
      <c r="E77" s="36" t="n"/>
      <c r="F77" s="36" t="n"/>
      <c r="G77" s="36" t="n"/>
      <c r="H77" s="36" t="n"/>
      <c r="J77" s="36" t="n"/>
      <c r="K77" s="36" t="n"/>
      <c r="L77" s="36" t="n"/>
      <c r="M77" s="37" t="n"/>
      <c r="N77" s="37" t="n"/>
      <c r="O77" s="38" t="n"/>
      <c r="P77" s="39" t="n"/>
      <c r="Q77" s="36" t="n"/>
      <c r="R77" s="36" t="n"/>
      <c r="S77" s="36" t="n"/>
    </row>
    <row r="78">
      <c r="A78" s="36" t="n"/>
      <c r="B78" s="36" t="n"/>
      <c r="C78" s="36" t="n"/>
      <c r="D78" s="36" t="n"/>
      <c r="E78" s="36" t="n"/>
      <c r="F78" s="36" t="n"/>
      <c r="G78" s="36" t="n"/>
      <c r="H78" s="36" t="n"/>
      <c r="J78" s="36" t="n"/>
      <c r="K78" s="36" t="n"/>
      <c r="L78" s="36" t="n"/>
      <c r="M78" s="37" t="n"/>
      <c r="N78" s="37" t="n"/>
      <c r="O78" s="38" t="n"/>
      <c r="P78" s="39" t="n"/>
      <c r="Q78" s="36" t="n"/>
      <c r="R78" s="36" t="n"/>
      <c r="S78" s="36" t="n"/>
    </row>
    <row r="79">
      <c r="A79" s="36" t="n"/>
      <c r="B79" s="36" t="n"/>
      <c r="C79" s="36" t="n"/>
      <c r="D79" s="36" t="n"/>
      <c r="E79" s="36" t="n"/>
      <c r="F79" s="36" t="n"/>
      <c r="G79" s="36" t="n"/>
      <c r="H79" s="36" t="n"/>
      <c r="J79" s="36" t="n"/>
      <c r="K79" s="36" t="n"/>
      <c r="L79" s="36" t="n"/>
      <c r="M79" s="37" t="n"/>
      <c r="N79" s="37" t="n"/>
      <c r="O79" s="38" t="n"/>
      <c r="P79" s="39" t="n"/>
      <c r="Q79" s="36" t="n"/>
      <c r="R79" s="36" t="n"/>
      <c r="S79" s="36" t="n"/>
    </row>
    <row r="80">
      <c r="A80" s="36" t="n"/>
      <c r="B80" s="36" t="n"/>
      <c r="C80" s="36" t="n"/>
      <c r="D80" s="36" t="n"/>
      <c r="E80" s="36" t="n"/>
      <c r="F80" s="36" t="n"/>
      <c r="G80" s="36" t="n"/>
      <c r="H80" s="36" t="n"/>
      <c r="J80" s="36" t="n"/>
      <c r="K80" s="36" t="n"/>
      <c r="L80" s="36" t="n"/>
      <c r="M80" s="37" t="n"/>
      <c r="N80" s="37" t="n"/>
      <c r="O80" s="38" t="n"/>
      <c r="P80" s="39" t="n"/>
      <c r="Q80" s="36" t="n"/>
      <c r="R80" s="36" t="n"/>
      <c r="S80" s="36" t="n"/>
    </row>
    <row r="81">
      <c r="A81" s="36" t="n"/>
      <c r="B81" s="36" t="n"/>
      <c r="C81" s="36" t="n"/>
      <c r="D81" s="36" t="n"/>
      <c r="E81" s="36" t="n"/>
      <c r="F81" s="36" t="n"/>
      <c r="G81" s="36" t="n"/>
      <c r="H81" s="36" t="n"/>
      <c r="J81" s="36" t="n"/>
      <c r="K81" s="36" t="n"/>
      <c r="L81" s="36" t="n"/>
      <c r="M81" s="37" t="n"/>
      <c r="N81" s="37" t="n"/>
      <c r="O81" s="38" t="n"/>
      <c r="P81" s="39" t="n"/>
      <c r="Q81" s="36" t="n"/>
      <c r="R81" s="36" t="n"/>
      <c r="S81" s="36" t="n"/>
    </row>
    <row r="82">
      <c r="A82" s="36" t="n"/>
      <c r="B82" s="36" t="n"/>
      <c r="C82" s="36" t="n"/>
      <c r="D82" s="36" t="n"/>
      <c r="E82" s="36" t="n"/>
      <c r="F82" s="36" t="n"/>
      <c r="G82" s="36" t="n"/>
      <c r="H82" s="36" t="n"/>
      <c r="J82" s="36" t="n"/>
      <c r="K82" s="36" t="n"/>
      <c r="L82" s="36" t="n"/>
      <c r="M82" s="37" t="n"/>
      <c r="N82" s="37" t="n"/>
      <c r="O82" s="38" t="n"/>
      <c r="P82" s="39" t="n"/>
      <c r="Q82" s="36" t="n"/>
      <c r="R82" s="36" t="n"/>
      <c r="S82" s="36" t="n"/>
    </row>
    <row r="83">
      <c r="A83" s="36" t="n"/>
      <c r="B83" s="36" t="n"/>
      <c r="C83" s="36" t="n"/>
      <c r="D83" s="36" t="n"/>
      <c r="E83" s="36" t="n"/>
      <c r="F83" s="36" t="n"/>
      <c r="G83" s="36" t="n"/>
      <c r="H83" s="36" t="n"/>
      <c r="J83" s="36" t="n"/>
      <c r="K83" s="36" t="n"/>
      <c r="L83" s="36" t="n"/>
      <c r="M83" s="37" t="n"/>
      <c r="N83" s="37" t="n"/>
      <c r="O83" s="38" t="n"/>
      <c r="P83" s="39" t="n"/>
      <c r="Q83" s="36" t="n"/>
      <c r="R83" s="36" t="n"/>
      <c r="S83" s="36" t="n"/>
    </row>
    <row r="84">
      <c r="A84" s="36" t="n"/>
      <c r="B84" s="36" t="n"/>
      <c r="C84" s="36" t="n"/>
      <c r="D84" s="36" t="n"/>
      <c r="E84" s="36" t="n"/>
      <c r="F84" s="36" t="n"/>
      <c r="G84" s="36" t="n"/>
      <c r="H84" s="36" t="n"/>
      <c r="J84" s="36" t="n"/>
      <c r="K84" s="36" t="n"/>
      <c r="L84" s="36" t="n"/>
      <c r="M84" s="37" t="n"/>
      <c r="N84" s="37" t="n"/>
      <c r="O84" s="38" t="n"/>
      <c r="P84" s="39" t="n"/>
      <c r="Q84" s="36" t="n"/>
      <c r="R84" s="36" t="n"/>
      <c r="S84" s="36" t="n"/>
    </row>
    <row r="85">
      <c r="A85" s="36" t="n"/>
      <c r="B85" s="36" t="n"/>
      <c r="C85" s="36" t="n"/>
      <c r="D85" s="36" t="n"/>
      <c r="E85" s="36" t="n"/>
      <c r="F85" s="36" t="n"/>
      <c r="G85" s="36" t="n"/>
      <c r="H85" s="36" t="n"/>
      <c r="J85" s="36" t="n"/>
      <c r="K85" s="36" t="n"/>
      <c r="L85" s="36" t="n"/>
      <c r="M85" s="37" t="n"/>
      <c r="N85" s="37" t="n"/>
      <c r="O85" s="38" t="n"/>
      <c r="P85" s="39" t="n"/>
      <c r="Q85" s="36" t="n"/>
      <c r="R85" s="36" t="n"/>
      <c r="S85" s="36" t="n"/>
    </row>
    <row r="86">
      <c r="A86" s="36" t="n"/>
      <c r="B86" s="36" t="n"/>
      <c r="C86" s="36" t="n"/>
      <c r="D86" s="36" t="n"/>
      <c r="E86" s="36" t="n"/>
      <c r="F86" s="36" t="n"/>
      <c r="G86" s="36" t="n"/>
      <c r="H86" s="36" t="n"/>
      <c r="J86" s="36" t="n"/>
      <c r="K86" s="36" t="n"/>
      <c r="L86" s="36" t="n"/>
      <c r="M86" s="37" t="n"/>
      <c r="N86" s="37" t="n"/>
      <c r="O86" s="38" t="n"/>
      <c r="P86" s="39" t="n"/>
      <c r="Q86" s="36" t="n"/>
      <c r="R86" s="36" t="n"/>
      <c r="S86" s="36" t="n"/>
    </row>
    <row r="87">
      <c r="A87" s="36" t="n"/>
      <c r="B87" s="36" t="n"/>
      <c r="C87" s="36" t="n"/>
      <c r="D87" s="36" t="n"/>
      <c r="E87" s="36" t="n"/>
      <c r="F87" s="36" t="n"/>
      <c r="G87" s="36" t="n"/>
      <c r="H87" s="36" t="n"/>
      <c r="J87" s="36" t="n"/>
      <c r="K87" s="36" t="n"/>
      <c r="L87" s="36" t="n"/>
      <c r="M87" s="37" t="n"/>
      <c r="N87" s="37" t="n"/>
      <c r="O87" s="38" t="n"/>
      <c r="P87" s="39" t="n"/>
      <c r="Q87" s="36" t="n"/>
      <c r="R87" s="36" t="n"/>
      <c r="S87" s="36" t="n"/>
    </row>
    <row r="88">
      <c r="A88" s="36" t="n"/>
      <c r="B88" s="36" t="n"/>
      <c r="C88" s="36" t="n"/>
      <c r="D88" s="36" t="n"/>
      <c r="E88" s="36" t="n"/>
      <c r="F88" s="36" t="n"/>
      <c r="G88" s="36" t="n"/>
      <c r="H88" s="36" t="n"/>
      <c r="J88" s="36" t="n"/>
      <c r="K88" s="36" t="n"/>
      <c r="L88" s="36" t="n"/>
      <c r="M88" s="37" t="n"/>
      <c r="N88" s="37" t="n"/>
      <c r="O88" s="38" t="n"/>
      <c r="P88" s="39" t="n"/>
      <c r="Q88" s="36" t="n"/>
      <c r="R88" s="36" t="n"/>
      <c r="S88" s="36" t="n"/>
    </row>
    <row r="89">
      <c r="A89" s="36" t="n"/>
      <c r="B89" s="36" t="n"/>
      <c r="C89" s="36" t="n"/>
      <c r="D89" s="36" t="n"/>
      <c r="E89" s="36" t="n"/>
      <c r="F89" s="36" t="n"/>
      <c r="G89" s="36" t="n"/>
      <c r="H89" s="36" t="n"/>
      <c r="J89" s="36" t="n"/>
      <c r="K89" s="36" t="n"/>
      <c r="L89" s="36" t="n"/>
      <c r="M89" s="37" t="n"/>
      <c r="N89" s="37" t="n"/>
      <c r="O89" s="38" t="n"/>
      <c r="P89" s="39" t="n"/>
      <c r="Q89" s="36" t="n"/>
      <c r="R89" s="36" t="n"/>
      <c r="S89" s="36" t="n"/>
    </row>
    <row r="90">
      <c r="A90" s="36" t="n"/>
      <c r="B90" s="36" t="n"/>
      <c r="C90" s="36" t="n"/>
      <c r="D90" s="36" t="n"/>
      <c r="E90" s="36" t="n"/>
      <c r="F90" s="36" t="n"/>
      <c r="G90" s="36" t="n"/>
      <c r="H90" s="36" t="n"/>
      <c r="J90" s="36" t="n"/>
      <c r="K90" s="36" t="n"/>
      <c r="L90" s="36" t="n"/>
      <c r="M90" s="37" t="n"/>
      <c r="N90" s="37" t="n"/>
      <c r="O90" s="38" t="n"/>
      <c r="P90" s="39" t="n"/>
      <c r="Q90" s="36" t="n"/>
      <c r="R90" s="36" t="n"/>
      <c r="S90" s="36" t="n"/>
    </row>
    <row r="91">
      <c r="A91" s="36" t="n"/>
      <c r="B91" s="36" t="n"/>
      <c r="C91" s="36" t="n"/>
      <c r="D91" s="36" t="n"/>
      <c r="E91" s="36" t="n"/>
      <c r="F91" s="36" t="n"/>
      <c r="G91" s="36" t="n"/>
      <c r="H91" s="36" t="n"/>
      <c r="J91" s="36" t="n"/>
      <c r="K91" s="36" t="n"/>
      <c r="L91" s="36" t="n"/>
      <c r="M91" s="37" t="n"/>
      <c r="N91" s="37" t="n"/>
      <c r="O91" s="38" t="n"/>
      <c r="P91" s="39" t="n"/>
      <c r="Q91" s="36" t="n"/>
      <c r="R91" s="36" t="n"/>
      <c r="S91" s="36" t="n"/>
    </row>
    <row r="92">
      <c r="A92" s="36" t="n"/>
      <c r="B92" s="36" t="n"/>
      <c r="C92" s="36" t="n"/>
      <c r="D92" s="36" t="n"/>
      <c r="E92" s="36" t="n"/>
      <c r="F92" s="36" t="n"/>
      <c r="G92" s="36" t="n"/>
      <c r="H92" s="36" t="n"/>
      <c r="J92" s="36" t="n"/>
      <c r="K92" s="36" t="n"/>
      <c r="L92" s="36" t="n"/>
      <c r="M92" s="37" t="n"/>
      <c r="N92" s="37" t="n"/>
      <c r="O92" s="38" t="n"/>
      <c r="P92" s="39" t="n"/>
      <c r="Q92" s="36" t="n"/>
      <c r="R92" s="36" t="n"/>
      <c r="S92" s="36" t="n"/>
    </row>
    <row r="93">
      <c r="A93" s="36" t="n"/>
      <c r="B93" s="36" t="n"/>
      <c r="C93" s="36" t="n"/>
      <c r="D93" s="36" t="n"/>
      <c r="E93" s="36" t="n"/>
      <c r="F93" s="36" t="n"/>
      <c r="G93" s="36" t="n"/>
      <c r="H93" s="36" t="n"/>
      <c r="J93" s="36" t="n"/>
      <c r="K93" s="36" t="n"/>
      <c r="L93" s="36" t="n"/>
      <c r="M93" s="37" t="n"/>
      <c r="N93" s="37" t="n"/>
      <c r="O93" s="38" t="n"/>
      <c r="P93" s="39" t="n"/>
      <c r="Q93" s="36" t="n"/>
      <c r="R93" s="36" t="n"/>
      <c r="S93" s="36" t="n"/>
    </row>
    <row r="94">
      <c r="A94" s="36" t="n"/>
      <c r="B94" s="36" t="n"/>
      <c r="C94" s="36" t="n"/>
      <c r="D94" s="36" t="n"/>
      <c r="E94" s="36" t="n"/>
      <c r="F94" s="36" t="n"/>
      <c r="G94" s="36" t="n"/>
      <c r="H94" s="36" t="n"/>
      <c r="J94" s="36" t="n"/>
      <c r="K94" s="36" t="n"/>
      <c r="L94" s="36" t="n"/>
      <c r="M94" s="37" t="n"/>
      <c r="N94" s="37" t="n"/>
      <c r="O94" s="38" t="n"/>
      <c r="P94" s="39" t="n"/>
      <c r="Q94" s="36" t="n"/>
      <c r="R94" s="36" t="n"/>
      <c r="S94" s="36" t="n"/>
    </row>
    <row r="95">
      <c r="A95" s="36" t="n"/>
      <c r="B95" s="36" t="n"/>
      <c r="C95" s="36" t="n"/>
      <c r="D95" s="36" t="n"/>
      <c r="E95" s="36" t="n"/>
      <c r="F95" s="36" t="n"/>
      <c r="G95" s="36" t="n"/>
      <c r="H95" s="36" t="n"/>
      <c r="J95" s="36" t="n"/>
      <c r="K95" s="36" t="n"/>
      <c r="L95" s="36" t="n"/>
      <c r="M95" s="37" t="n"/>
      <c r="N95" s="37" t="n"/>
      <c r="O95" s="38" t="n"/>
      <c r="P95" s="39" t="n"/>
      <c r="Q95" s="36" t="n"/>
      <c r="R95" s="36" t="n"/>
      <c r="S95" s="36" t="n"/>
    </row>
    <row r="96">
      <c r="A96" s="36" t="n"/>
      <c r="B96" s="36" t="n"/>
      <c r="C96" s="36" t="n"/>
      <c r="D96" s="36" t="n"/>
      <c r="E96" s="36" t="n"/>
      <c r="F96" s="36" t="n"/>
      <c r="G96" s="36" t="n"/>
      <c r="H96" s="36" t="n"/>
      <c r="J96" s="36" t="n"/>
      <c r="K96" s="36" t="n"/>
      <c r="L96" s="36" t="n"/>
      <c r="M96" s="37" t="n"/>
      <c r="N96" s="37" t="n"/>
      <c r="O96" s="38" t="n"/>
      <c r="P96" s="39" t="n"/>
      <c r="Q96" s="36" t="n"/>
      <c r="R96" s="36" t="n"/>
      <c r="S96" s="36" t="n"/>
    </row>
    <row r="97">
      <c r="A97" s="36" t="n"/>
      <c r="B97" s="36" t="n"/>
      <c r="C97" s="36" t="n"/>
      <c r="D97" s="36" t="n"/>
      <c r="E97" s="36" t="n"/>
      <c r="F97" s="36" t="n"/>
      <c r="G97" s="36" t="n"/>
      <c r="H97" s="36" t="n"/>
      <c r="J97" s="36" t="n"/>
      <c r="K97" s="36" t="n"/>
      <c r="L97" s="36" t="n"/>
      <c r="M97" s="37" t="n"/>
      <c r="N97" s="37" t="n"/>
      <c r="O97" s="38" t="n"/>
      <c r="P97" s="39" t="n"/>
      <c r="Q97" s="36" t="n"/>
      <c r="R97" s="36" t="n"/>
      <c r="S97" s="36" t="n"/>
    </row>
    <row r="98">
      <c r="A98" s="36" t="n"/>
      <c r="B98" s="36" t="n"/>
      <c r="C98" s="36" t="n"/>
      <c r="D98" s="36" t="n"/>
      <c r="E98" s="36" t="n"/>
      <c r="F98" s="36" t="n"/>
      <c r="G98" s="36" t="n"/>
      <c r="H98" s="36" t="n"/>
      <c r="J98" s="36" t="n"/>
      <c r="K98" s="36" t="n"/>
      <c r="L98" s="36" t="n"/>
      <c r="M98" s="37" t="n"/>
      <c r="N98" s="37" t="n"/>
      <c r="O98" s="38" t="n"/>
      <c r="P98" s="39" t="n"/>
      <c r="Q98" s="36" t="n"/>
      <c r="R98" s="36" t="n"/>
      <c r="S98" s="36" t="n"/>
    </row>
    <row r="99">
      <c r="A99" s="36" t="n"/>
      <c r="B99" s="36" t="n"/>
      <c r="C99" s="36" t="n"/>
      <c r="D99" s="36" t="n"/>
      <c r="E99" s="36" t="n"/>
      <c r="F99" s="36" t="n"/>
      <c r="G99" s="36" t="n"/>
      <c r="H99" s="36" t="n"/>
      <c r="J99" s="36" t="n"/>
      <c r="K99" s="36" t="n"/>
      <c r="L99" s="36" t="n"/>
      <c r="M99" s="37" t="n"/>
      <c r="N99" s="37" t="n"/>
      <c r="O99" s="38" t="n"/>
      <c r="P99" s="39" t="n"/>
      <c r="Q99" s="36" t="n"/>
      <c r="R99" s="36" t="n"/>
      <c r="S99" s="36" t="n"/>
    </row>
    <row r="100">
      <c r="A100" s="36" t="n"/>
      <c r="B100" s="36" t="n"/>
      <c r="C100" s="36" t="n"/>
      <c r="D100" s="36" t="n"/>
      <c r="E100" s="36" t="n"/>
      <c r="F100" s="36" t="n"/>
      <c r="G100" s="36" t="n"/>
      <c r="H100" s="36" t="n"/>
      <c r="J100" s="36" t="n"/>
      <c r="K100" s="36" t="n"/>
      <c r="L100" s="36" t="n"/>
      <c r="M100" s="37" t="n"/>
      <c r="N100" s="37" t="n"/>
      <c r="O100" s="38" t="n"/>
      <c r="P100" s="39" t="n"/>
      <c r="Q100" s="36" t="n"/>
      <c r="R100" s="36" t="n"/>
      <c r="S100" s="36" t="n"/>
    </row>
    <row r="101">
      <c r="A101" s="36" t="n"/>
      <c r="B101" s="36" t="n"/>
      <c r="C101" s="36" t="n"/>
      <c r="D101" s="36" t="n"/>
      <c r="E101" s="36" t="n"/>
      <c r="F101" s="36" t="n"/>
      <c r="G101" s="36" t="n"/>
      <c r="H101" s="36" t="n"/>
      <c r="J101" s="36" t="n"/>
      <c r="K101" s="36" t="n"/>
      <c r="L101" s="36" t="n"/>
      <c r="M101" s="37" t="n"/>
      <c r="N101" s="37" t="n"/>
      <c r="O101" s="38" t="n"/>
      <c r="P101" s="39" t="n"/>
      <c r="Q101" s="36" t="n"/>
      <c r="R101" s="36" t="n"/>
      <c r="S101" s="36" t="n"/>
    </row>
    <row r="102">
      <c r="A102" s="36" t="n"/>
      <c r="B102" s="36" t="n"/>
      <c r="C102" s="36" t="n"/>
      <c r="D102" s="36" t="n"/>
      <c r="E102" s="36" t="n"/>
      <c r="F102" s="36" t="n"/>
      <c r="G102" s="36" t="n"/>
      <c r="H102" s="36" t="n"/>
      <c r="J102" s="36" t="n"/>
      <c r="K102" s="36" t="n"/>
      <c r="L102" s="36" t="n"/>
      <c r="M102" s="37" t="n"/>
      <c r="N102" s="37" t="n"/>
      <c r="O102" s="38" t="n"/>
      <c r="P102" s="39" t="n"/>
      <c r="Q102" s="36" t="n"/>
      <c r="R102" s="36" t="n"/>
      <c r="S102" s="36" t="n"/>
    </row>
    <row r="103">
      <c r="A103" s="36" t="n"/>
      <c r="B103" s="36" t="n"/>
      <c r="C103" s="36" t="n"/>
      <c r="D103" s="36" t="n"/>
      <c r="E103" s="36" t="n"/>
      <c r="F103" s="36" t="n"/>
      <c r="G103" s="36" t="n"/>
      <c r="H103" s="36" t="n"/>
      <c r="J103" s="36" t="n"/>
      <c r="K103" s="36" t="n"/>
      <c r="L103" s="36" t="n"/>
      <c r="M103" s="37" t="n"/>
      <c r="N103" s="37" t="n"/>
      <c r="O103" s="38" t="n"/>
      <c r="P103" s="39" t="n"/>
      <c r="Q103" s="36" t="n"/>
      <c r="R103" s="36" t="n"/>
      <c r="S103" s="36" t="n"/>
    </row>
    <row r="104">
      <c r="A104" s="36" t="n"/>
      <c r="B104" s="36" t="n"/>
      <c r="C104" s="36" t="n"/>
      <c r="D104" s="36" t="n"/>
      <c r="E104" s="36" t="n"/>
      <c r="F104" s="36" t="n"/>
      <c r="G104" s="36" t="n"/>
      <c r="H104" s="36" t="n"/>
      <c r="J104" s="36" t="n"/>
      <c r="K104" s="36" t="n"/>
      <c r="L104" s="36" t="n"/>
      <c r="M104" s="37" t="n"/>
      <c r="N104" s="37" t="n"/>
      <c r="O104" s="38" t="n"/>
      <c r="P104" s="39" t="n"/>
      <c r="Q104" s="36" t="n"/>
      <c r="R104" s="36" t="n"/>
      <c r="S104" s="36" t="n"/>
    </row>
    <row r="105">
      <c r="A105" s="36" t="n"/>
      <c r="B105" s="36" t="n"/>
      <c r="C105" s="36" t="n"/>
      <c r="D105" s="36" t="n"/>
      <c r="E105" s="36" t="n"/>
      <c r="F105" s="36" t="n"/>
      <c r="G105" s="36" t="n"/>
      <c r="H105" s="36" t="n"/>
      <c r="J105" s="36" t="n"/>
      <c r="K105" s="36" t="n"/>
      <c r="L105" s="36" t="n"/>
      <c r="M105" s="37" t="n"/>
      <c r="N105" s="37" t="n"/>
      <c r="O105" s="38" t="n"/>
      <c r="P105" s="39" t="n"/>
      <c r="Q105" s="36" t="n"/>
      <c r="R105" s="36" t="n"/>
      <c r="S105" s="36" t="n"/>
    </row>
    <row r="106">
      <c r="A106" s="36" t="n"/>
      <c r="B106" s="36" t="n"/>
      <c r="C106" s="36" t="n"/>
      <c r="D106" s="36" t="n"/>
      <c r="E106" s="36" t="n"/>
      <c r="F106" s="36" t="n"/>
      <c r="G106" s="36" t="n"/>
      <c r="H106" s="36" t="n"/>
      <c r="J106" s="36" t="n"/>
      <c r="K106" s="36" t="n"/>
      <c r="L106" s="36" t="n"/>
      <c r="M106" s="37" t="n"/>
      <c r="N106" s="37" t="n"/>
      <c r="O106" s="38" t="n"/>
      <c r="P106" s="39" t="n"/>
      <c r="Q106" s="36" t="n"/>
      <c r="R106" s="36" t="n"/>
      <c r="S106" s="36" t="n"/>
    </row>
    <row r="107">
      <c r="A107" s="36" t="n"/>
      <c r="B107" s="36" t="n"/>
      <c r="C107" s="36" t="n"/>
      <c r="D107" s="36" t="n"/>
      <c r="E107" s="36" t="n"/>
      <c r="F107" s="36" t="n"/>
      <c r="G107" s="36" t="n"/>
      <c r="H107" s="36" t="n"/>
      <c r="J107" s="36" t="n"/>
      <c r="K107" s="36" t="n"/>
      <c r="L107" s="36" t="n"/>
      <c r="M107" s="37" t="n"/>
      <c r="N107" s="37" t="n"/>
      <c r="O107" s="38" t="n"/>
      <c r="P107" s="39" t="n"/>
      <c r="Q107" s="36" t="n"/>
      <c r="R107" s="36" t="n"/>
      <c r="S107" s="36" t="n"/>
    </row>
    <row r="108">
      <c r="A108" s="36" t="n"/>
      <c r="B108" s="36" t="n"/>
      <c r="C108" s="36" t="n"/>
      <c r="D108" s="36" t="n"/>
      <c r="E108" s="36" t="n"/>
      <c r="F108" s="36" t="n"/>
      <c r="G108" s="36" t="n"/>
      <c r="H108" s="36" t="n"/>
      <c r="J108" s="36" t="n"/>
      <c r="K108" s="36" t="n"/>
      <c r="L108" s="36" t="n"/>
      <c r="M108" s="37" t="n"/>
      <c r="N108" s="37" t="n"/>
      <c r="O108" s="38" t="n"/>
      <c r="P108" s="39" t="n"/>
      <c r="Q108" s="36" t="n"/>
      <c r="R108" s="36" t="n"/>
      <c r="S108" s="36" t="n"/>
    </row>
    <row r="109">
      <c r="A109" s="36" t="n"/>
      <c r="B109" s="36" t="n"/>
      <c r="C109" s="36" t="n"/>
      <c r="D109" s="36" t="n"/>
      <c r="E109" s="36" t="n"/>
      <c r="F109" s="36" t="n"/>
      <c r="G109" s="36" t="n"/>
      <c r="H109" s="36" t="n"/>
      <c r="J109" s="36" t="n"/>
      <c r="K109" s="36" t="n"/>
      <c r="L109" s="36" t="n"/>
      <c r="M109" s="37" t="n"/>
      <c r="N109" s="37" t="n"/>
      <c r="O109" s="38" t="n"/>
      <c r="P109" s="39" t="n"/>
      <c r="Q109" s="36" t="n"/>
      <c r="R109" s="36" t="n"/>
      <c r="S109" s="36" t="n"/>
    </row>
    <row r="110">
      <c r="A110" s="36" t="n"/>
      <c r="B110" s="36" t="n"/>
      <c r="C110" s="36" t="n"/>
      <c r="D110" s="36" t="n"/>
      <c r="E110" s="36" t="n"/>
      <c r="F110" s="36" t="n"/>
      <c r="G110" s="36" t="n"/>
      <c r="H110" s="36" t="n"/>
      <c r="J110" s="36" t="n"/>
      <c r="K110" s="36" t="n"/>
      <c r="L110" s="36" t="n"/>
      <c r="M110" s="37" t="n"/>
      <c r="N110" s="37" t="n"/>
      <c r="O110" s="38" t="n"/>
      <c r="P110" s="39" t="n"/>
      <c r="Q110" s="36" t="n"/>
      <c r="R110" s="36" t="n"/>
      <c r="S110" s="36" t="n"/>
    </row>
    <row r="111">
      <c r="A111" s="36" t="n"/>
      <c r="B111" s="36" t="n"/>
      <c r="C111" s="36" t="n"/>
      <c r="D111" s="36" t="n"/>
      <c r="E111" s="36" t="n"/>
      <c r="F111" s="36" t="n"/>
      <c r="G111" s="36" t="n"/>
      <c r="H111" s="36" t="n"/>
      <c r="J111" s="36" t="n"/>
      <c r="K111" s="36" t="n"/>
      <c r="L111" s="36" t="n"/>
      <c r="M111" s="37" t="n"/>
      <c r="N111" s="37" t="n"/>
      <c r="O111" s="38" t="n"/>
      <c r="P111" s="39" t="n"/>
      <c r="Q111" s="36" t="n"/>
      <c r="R111" s="36" t="n"/>
      <c r="S111" s="36" t="n"/>
    </row>
    <row r="112">
      <c r="A112" s="36" t="n"/>
      <c r="B112" s="36" t="n"/>
      <c r="C112" s="36" t="n"/>
      <c r="D112" s="36" t="n"/>
      <c r="E112" s="36" t="n"/>
      <c r="F112" s="36" t="n"/>
      <c r="G112" s="36" t="n"/>
      <c r="H112" s="36" t="n"/>
      <c r="J112" s="36" t="n"/>
      <c r="K112" s="36" t="n"/>
      <c r="L112" s="36" t="n"/>
      <c r="M112" s="37" t="n"/>
      <c r="N112" s="37" t="n"/>
      <c r="O112" s="38" t="n"/>
      <c r="P112" s="39" t="n"/>
      <c r="Q112" s="36" t="n"/>
      <c r="R112" s="36" t="n"/>
      <c r="S112" s="36" t="n"/>
    </row>
    <row r="113">
      <c r="A113" s="36" t="n"/>
      <c r="B113" s="36" t="n"/>
      <c r="C113" s="36" t="n"/>
      <c r="D113" s="36" t="n"/>
      <c r="E113" s="36" t="n"/>
      <c r="F113" s="36" t="n"/>
      <c r="G113" s="36" t="n"/>
      <c r="H113" s="36" t="n"/>
      <c r="J113" s="36" t="n"/>
      <c r="K113" s="36" t="n"/>
      <c r="L113" s="36" t="n"/>
      <c r="M113" s="37" t="n"/>
      <c r="N113" s="37" t="n"/>
      <c r="O113" s="38" t="n"/>
      <c r="P113" s="39" t="n"/>
      <c r="Q113" s="36" t="n"/>
      <c r="R113" s="36" t="n"/>
      <c r="S113" s="36" t="n"/>
    </row>
    <row r="114">
      <c r="A114" s="36" t="n"/>
      <c r="B114" s="36" t="n"/>
      <c r="C114" s="36" t="n"/>
      <c r="D114" s="36" t="n"/>
      <c r="E114" s="36" t="n"/>
      <c r="F114" s="36" t="n"/>
      <c r="G114" s="36" t="n"/>
      <c r="H114" s="36" t="n"/>
      <c r="J114" s="36" t="n"/>
      <c r="K114" s="36" t="n"/>
      <c r="L114" s="36" t="n"/>
      <c r="M114" s="37" t="n"/>
      <c r="N114" s="37" t="n"/>
      <c r="O114" s="38" t="n"/>
      <c r="P114" s="39" t="n"/>
      <c r="Q114" s="36" t="n"/>
      <c r="R114" s="36" t="n"/>
      <c r="S114" s="36" t="n"/>
    </row>
    <row r="115">
      <c r="A115" s="36" t="n"/>
      <c r="B115" s="36" t="n"/>
      <c r="C115" s="36" t="n"/>
      <c r="D115" s="36" t="n"/>
      <c r="E115" s="36" t="n"/>
      <c r="F115" s="36" t="n"/>
      <c r="G115" s="36" t="n"/>
      <c r="H115" s="36" t="n"/>
      <c r="J115" s="36" t="n"/>
      <c r="K115" s="36" t="n"/>
      <c r="L115" s="36" t="n"/>
      <c r="M115" s="37" t="n"/>
      <c r="N115" s="37" t="n"/>
      <c r="O115" s="38" t="n"/>
      <c r="P115" s="39" t="n"/>
      <c r="Q115" s="36" t="n"/>
      <c r="R115" s="36" t="n"/>
      <c r="S115" s="36" t="n"/>
    </row>
  </sheetData>
  <mergeCells count="1">
    <mergeCell ref="A1:H1"/>
  </mergeCells>
  <dataValidations count="5">
    <dataValidation sqref="F16:F115" showDropDown="0" showInputMessage="0" showErrorMessage="1" allowBlank="0" errorTitle="Invalid selection" error="Select a value from the list." type="list">
      <formula1>"Yes,No"</formula1>
    </dataValidation>
    <dataValidation sqref="G16:G115" showDropDown="0" showInputMessage="0" showErrorMessage="1" allowBlank="0" errorTitle="Invalid selection" error="Select a value from the list." type="list">
      <formula1>"Yes,No"</formula1>
    </dataValidation>
    <dataValidation sqref="K16:K115" showDropDown="0" showInputMessage="0" showErrorMessage="1" allowBlank="0" errorTitle="Invalid selection" error="Select a value from the list." type="list">
      <formula1>"Room Attendant,Housekeeping Supervisor,Inspector,Houseperson,Public Area Attendant"</formula1>
    </dataValidation>
    <dataValidation sqref="L16:L115" showDropDown="0" showInputMessage="0" showErrorMessage="1" allowBlank="0" errorTitle="Invalid selection" error="Select a value from the list." type="list">
      <formula1>"Day,Evening,Overnight"</formula1>
    </dataValidation>
    <dataValidation sqref="R16:R115" showDropDown="0" showInputMessage="0" showErrorMessage="1" allowBlank="0" errorTitle="Invalid selection" error="Select a value from the list." type="list">
      <formula1>"Yes,No"</formula1>
    </dataValidation>
  </dataValidations>
  <pageMargins left="0.75" right="0.75" top="1" bottom="1" header="0.5" footer="0.5"/>
  <pageSetup orientation="landscape" fitToWidth="1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8"/>
  <sheetViews>
    <sheetView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32" t="inlineStr">
        <is>
          <t>Housekeeping Schedule Instructions</t>
        </is>
      </c>
    </row>
    <row r="3">
      <c r="A3" s="40" t="inlineStr">
        <is>
          <t>Daily Setup</t>
        </is>
      </c>
    </row>
    <row r="4" ht="27" customHeight="1">
      <c r="A4" s="41" t="inlineStr">
        <is>
          <t>1. Update the operating date on the Dashboard.</t>
        </is>
      </c>
      <c r="B4" s="42" t="n"/>
      <c r="C4" s="42" t="n"/>
      <c r="D4" s="42" t="n"/>
      <c r="E4" s="42" t="n"/>
      <c r="F4" s="42" t="n"/>
      <c r="G4" s="42" t="n"/>
      <c r="H4" s="43" t="n"/>
    </row>
    <row r="5" ht="27" customHeight="1">
      <c r="A5" s="41" t="inlineStr">
        <is>
          <t>2. Review editable assumptions on Rooms and Staff.</t>
        </is>
      </c>
      <c r="B5" s="42" t="n"/>
      <c r="C5" s="42" t="n"/>
      <c r="D5" s="42" t="n"/>
      <c r="E5" s="42" t="n"/>
      <c r="F5" s="42" t="n"/>
      <c r="G5" s="42" t="n"/>
      <c r="H5" s="43" t="n"/>
    </row>
    <row r="6" ht="27" customHeight="1">
      <c r="A6" s="41" t="inlineStr">
        <is>
          <t>3. Confirm active rooms and staff.</t>
        </is>
      </c>
      <c r="B6" s="42" t="n"/>
      <c r="C6" s="42" t="n"/>
      <c r="D6" s="42" t="n"/>
      <c r="E6" s="42" t="n"/>
      <c r="F6" s="42" t="n"/>
      <c r="G6" s="42" t="n"/>
      <c r="H6" s="43" t="n"/>
    </row>
    <row r="7" ht="27" customHeight="1">
      <c r="A7" s="41" t="inlineStr">
        <is>
          <t>4. Enter the day’s room assignments into Housekeeping Schedule.</t>
        </is>
      </c>
      <c r="B7" s="42" t="n"/>
      <c r="C7" s="42" t="n"/>
      <c r="D7" s="42" t="n"/>
      <c r="E7" s="42" t="n"/>
      <c r="F7" s="42" t="n"/>
      <c r="G7" s="42" t="n"/>
      <c r="H7" s="43" t="n"/>
    </row>
    <row r="8" ht="27" customHeight="1">
      <c r="A8" s="41" t="inlineStr">
        <is>
          <t>5. Assign attendants and planned times.</t>
        </is>
      </c>
      <c r="B8" s="42" t="n"/>
      <c r="C8" s="42" t="n"/>
      <c r="D8" s="42" t="n"/>
      <c r="E8" s="42" t="n"/>
      <c r="F8" s="42" t="n"/>
      <c r="G8" s="42" t="n"/>
      <c r="H8" s="43" t="n"/>
    </row>
    <row r="9" ht="27" customHeight="1">
      <c r="A9" s="41" t="inlineStr">
        <is>
          <t>6. Enter actual and inspection details during the day.</t>
        </is>
      </c>
      <c r="B9" s="42" t="n"/>
      <c r="C9" s="42" t="n"/>
      <c r="D9" s="42" t="n"/>
      <c r="E9" s="42" t="n"/>
      <c r="F9" s="42" t="n"/>
      <c r="G9" s="42" t="n"/>
      <c r="H9" s="43" t="n"/>
    </row>
    <row r="10" ht="27" customHeight="1">
      <c r="A10" s="41" t="inlineStr">
        <is>
          <t>7. Review Dashboard alerts before guest arrivals.</t>
        </is>
      </c>
      <c r="B10" s="42" t="n"/>
      <c r="C10" s="42" t="n"/>
      <c r="D10" s="42" t="n"/>
      <c r="E10" s="42" t="n"/>
      <c r="F10" s="42" t="n"/>
      <c r="G10" s="42" t="n"/>
      <c r="H10" s="43" t="n"/>
    </row>
    <row r="12">
      <c r="A12" s="40" t="inlineStr">
        <is>
          <t>Field Guidance</t>
        </is>
      </c>
    </row>
    <row r="13" ht="27" customHeight="1">
      <c r="A13" s="41" t="inlineStr">
        <is>
          <t>Check-Out Time is the expected or confirmed departure time.</t>
        </is>
      </c>
      <c r="B13" s="42" t="n"/>
      <c r="C13" s="42" t="n"/>
      <c r="D13" s="42" t="n"/>
      <c r="E13" s="42" t="n"/>
      <c r="F13" s="42" t="n"/>
      <c r="G13" s="42" t="n"/>
      <c r="H13" s="43" t="n"/>
    </row>
    <row r="14" ht="27" customHeight="1">
      <c r="A14" s="41" t="inlineStr">
        <is>
          <t>Next Arrival is the expected arrival time for the next guest.</t>
        </is>
      </c>
      <c r="B14" s="42" t="n"/>
      <c r="C14" s="42" t="n"/>
      <c r="D14" s="42" t="n"/>
      <c r="E14" s="42" t="n"/>
      <c r="F14" s="42" t="n"/>
      <c r="G14" s="42" t="n"/>
      <c r="H14" s="43" t="n"/>
    </row>
    <row r="15" ht="27" customHeight="1">
      <c r="A15" s="41" t="inlineStr">
        <is>
          <t>Ready Time is when the room is fully released for guest use.</t>
        </is>
      </c>
      <c r="B15" s="42" t="n"/>
      <c r="C15" s="42" t="n"/>
      <c r="D15" s="42" t="n"/>
      <c r="E15" s="42" t="n"/>
      <c r="F15" s="42" t="n"/>
      <c r="G15" s="42" t="n"/>
      <c r="H15" s="43" t="n"/>
    </row>
    <row r="16" ht="27" customHeight="1">
      <c r="A16" s="41" t="inlineStr">
        <is>
          <t>Operational Check highlights issues requiring review.</t>
        </is>
      </c>
      <c r="B16" s="42" t="n"/>
      <c r="C16" s="42" t="n"/>
      <c r="D16" s="42" t="n"/>
      <c r="E16" s="42" t="n"/>
      <c r="F16" s="42" t="n"/>
      <c r="G16" s="42" t="n"/>
      <c r="H16" s="43" t="n"/>
    </row>
    <row r="18">
      <c r="A18" s="40" t="inlineStr">
        <is>
          <t>Status Logic</t>
        </is>
      </c>
    </row>
    <row r="19" ht="27" customHeight="1">
      <c r="A19" s="41" t="inlineStr">
        <is>
          <t>A row is Not Started when no actual start is entered.</t>
        </is>
      </c>
      <c r="B19" s="42" t="n"/>
      <c r="C19" s="42" t="n"/>
      <c r="D19" s="42" t="n"/>
      <c r="E19" s="42" t="n"/>
      <c r="F19" s="42" t="n"/>
      <c r="G19" s="42" t="n"/>
      <c r="H19" s="43" t="n"/>
    </row>
    <row r="20" ht="27" customHeight="1">
      <c r="A20" s="41" t="inlineStr">
        <is>
          <t>A row is In Progress when actual start is entered but actual finish is blank.</t>
        </is>
      </c>
      <c r="B20" s="42" t="n"/>
      <c r="C20" s="42" t="n"/>
      <c r="D20" s="42" t="n"/>
      <c r="E20" s="42" t="n"/>
      <c r="F20" s="42" t="n"/>
      <c r="G20" s="42" t="n"/>
      <c r="H20" s="43" t="n"/>
    </row>
    <row r="21" ht="27" customHeight="1">
      <c r="A21" s="41" t="inlineStr">
        <is>
          <t>A row is Completed when actual finish is entered.</t>
        </is>
      </c>
      <c r="B21" s="42" t="n"/>
      <c r="C21" s="42" t="n"/>
      <c r="D21" s="42" t="n"/>
      <c r="E21" s="42" t="n"/>
      <c r="F21" s="42" t="n"/>
      <c r="G21" s="42" t="n"/>
      <c r="H21" s="43" t="n"/>
    </row>
    <row r="22" ht="27" customHeight="1">
      <c r="A22" s="41" t="inlineStr">
        <is>
          <t>A row is On Hold when DND is selected.</t>
        </is>
      </c>
      <c r="B22" s="42" t="n"/>
      <c r="C22" s="42" t="n"/>
      <c r="D22" s="42" t="n"/>
      <c r="E22" s="42" t="n"/>
      <c r="F22" s="42" t="n"/>
      <c r="G22" s="42" t="n"/>
      <c r="H22" s="43" t="n"/>
    </row>
    <row r="24">
      <c r="A24" s="40" t="inlineStr">
        <is>
          <t>Data Entry Notes</t>
        </is>
      </c>
    </row>
    <row r="25" ht="27" customHeight="1">
      <c r="A25" s="41" t="inlineStr">
        <is>
          <t>Enter real Excel dates and times, not text.</t>
        </is>
      </c>
      <c r="B25" s="42" t="n"/>
      <c r="C25" s="42" t="n"/>
      <c r="D25" s="42" t="n"/>
      <c r="E25" s="42" t="n"/>
      <c r="F25" s="42" t="n"/>
      <c r="G25" s="42" t="n"/>
      <c r="H25" s="43" t="n"/>
    </row>
    <row r="26" ht="27" customHeight="1">
      <c r="A26" s="41" t="inlineStr">
        <is>
          <t>Do not overwrite formula columns.</t>
        </is>
      </c>
      <c r="B26" s="42" t="n"/>
      <c r="C26" s="42" t="n"/>
      <c r="D26" s="42" t="n"/>
      <c r="E26" s="42" t="n"/>
      <c r="F26" s="42" t="n"/>
      <c r="G26" s="42" t="n"/>
      <c r="H26" s="43" t="n"/>
    </row>
    <row r="27" ht="27" customHeight="1">
      <c r="A27" s="41" t="inlineStr">
        <is>
          <t>Use one schedule row per room task.</t>
        </is>
      </c>
      <c r="B27" s="42" t="n"/>
      <c r="C27" s="42" t="n"/>
      <c r="D27" s="42" t="n"/>
      <c r="E27" s="42" t="n"/>
      <c r="F27" s="42" t="n"/>
      <c r="G27" s="42" t="n"/>
      <c r="H27" s="43" t="n"/>
    </row>
    <row r="28" ht="27" customHeight="1">
      <c r="A28" s="41" t="inlineStr">
        <is>
          <t>Review duplicate-room alerts before dispatching attendants.</t>
        </is>
      </c>
      <c r="B28" s="42" t="n"/>
      <c r="C28" s="42" t="n"/>
      <c r="D28" s="42" t="n"/>
      <c r="E28" s="42" t="n"/>
      <c r="F28" s="42" t="n"/>
      <c r="G28" s="42" t="n"/>
      <c r="H28" s="43" t="n"/>
    </row>
  </sheetData>
  <mergeCells count="24">
    <mergeCell ref="A9:H9"/>
    <mergeCell ref="A15:H15"/>
    <mergeCell ref="A24:H24"/>
    <mergeCell ref="A1:H1"/>
    <mergeCell ref="A6:H6"/>
    <mergeCell ref="A7:H7"/>
    <mergeCell ref="A25:H25"/>
    <mergeCell ref="A16:H16"/>
    <mergeCell ref="A27:H27"/>
    <mergeCell ref="A12:H12"/>
    <mergeCell ref="A18:H18"/>
    <mergeCell ref="A3:H3"/>
    <mergeCell ref="A21:H21"/>
    <mergeCell ref="A26:H26"/>
    <mergeCell ref="A14:H14"/>
    <mergeCell ref="A5:H5"/>
    <mergeCell ref="A8:H8"/>
    <mergeCell ref="A22:H22"/>
    <mergeCell ref="A4:H4"/>
    <mergeCell ref="A20:H20"/>
    <mergeCell ref="A10:H10"/>
    <mergeCell ref="A28:H28"/>
    <mergeCell ref="A13:H13"/>
    <mergeCell ref="A19:H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2026-09-06T21:26:45Z</dcterms:created>
  <dcterms:modified xmlns:dcterms="http://purl.org/dc/terms/" xmlns:xsi="http://www.w3.org/2001/XMLSchema-instance" xsi:type="dcterms:W3CDTF">2026-09-06T21:26:47+00:00Z</dcterms:modified>
</cp:coreProperties>
</file>